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82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DB17 .M620</t>
        </is>
      </c>
      <c r="C2" t="inlineStr">
        <is>
          <t>0                      DB 0017000M  620</t>
        </is>
      </c>
      <c r="D2" t="inlineStr">
        <is>
          <t>Modern Austria / editor, Kurt Steiner ; co-editors, Fritz Fellner, Hubert Feichtlbauer ; editorial committee, Hubert Feichtlbauer ... [et al.].</t>
        </is>
      </c>
      <c r="F2" t="inlineStr">
        <is>
          <t>No</t>
        </is>
      </c>
      <c r="G2" t="inlineStr">
        <is>
          <t>1</t>
        </is>
      </c>
      <c r="H2" t="inlineStr">
        <is>
          <t>No</t>
        </is>
      </c>
      <c r="I2" t="inlineStr">
        <is>
          <t>No</t>
        </is>
      </c>
      <c r="J2" t="inlineStr">
        <is>
          <t>0</t>
        </is>
      </c>
      <c r="L2" t="inlineStr">
        <is>
          <t>Palo Alto, Calif. : Society for the Promotion of Science and Scholarship, c1981.</t>
        </is>
      </c>
      <c r="M2" t="inlineStr">
        <is>
          <t>1981</t>
        </is>
      </c>
      <c r="O2" t="inlineStr">
        <is>
          <t>eng</t>
        </is>
      </c>
      <c r="P2" t="inlineStr">
        <is>
          <t>cau</t>
        </is>
      </c>
      <c r="R2" t="inlineStr">
        <is>
          <t xml:space="preserve">DB </t>
        </is>
      </c>
      <c r="S2" t="n">
        <v>10</v>
      </c>
      <c r="T2" t="n">
        <v>10</v>
      </c>
      <c r="U2" t="inlineStr">
        <is>
          <t>1998-09-30</t>
        </is>
      </c>
      <c r="V2" t="inlineStr">
        <is>
          <t>1998-09-30</t>
        </is>
      </c>
      <c r="W2" t="inlineStr">
        <is>
          <t>1990-11-19</t>
        </is>
      </c>
      <c r="X2" t="inlineStr">
        <is>
          <t>1990-11-19</t>
        </is>
      </c>
      <c r="Y2" t="n">
        <v>549</v>
      </c>
      <c r="Z2" t="n">
        <v>447</v>
      </c>
      <c r="AA2" t="n">
        <v>454</v>
      </c>
      <c r="AB2" t="n">
        <v>4</v>
      </c>
      <c r="AC2" t="n">
        <v>4</v>
      </c>
      <c r="AD2" t="n">
        <v>17</v>
      </c>
      <c r="AE2" t="n">
        <v>17</v>
      </c>
      <c r="AF2" t="n">
        <v>4</v>
      </c>
      <c r="AG2" t="n">
        <v>4</v>
      </c>
      <c r="AH2" t="n">
        <v>6</v>
      </c>
      <c r="AI2" t="n">
        <v>6</v>
      </c>
      <c r="AJ2" t="n">
        <v>9</v>
      </c>
      <c r="AK2" t="n">
        <v>9</v>
      </c>
      <c r="AL2" t="n">
        <v>3</v>
      </c>
      <c r="AM2" t="n">
        <v>3</v>
      </c>
      <c r="AN2" t="n">
        <v>0</v>
      </c>
      <c r="AO2" t="n">
        <v>0</v>
      </c>
      <c r="AP2" t="inlineStr">
        <is>
          <t>No</t>
        </is>
      </c>
      <c r="AQ2" t="inlineStr">
        <is>
          <t>Yes</t>
        </is>
      </c>
      <c r="AR2">
        <f>HYPERLINK("http://catalog.hathitrust.org/Record/000763143","HathiTrust Record")</f>
        <v/>
      </c>
      <c r="AS2">
        <f>HYPERLINK("https://creighton-primo.hosted.exlibrisgroup.com/primo-explore/search?tab=default_tab&amp;search_scope=EVERYTHING&amp;vid=01CRU&amp;lang=en_US&amp;offset=0&amp;query=any,contains,991005149019702656","Catalog Record")</f>
        <v/>
      </c>
      <c r="AT2">
        <f>HYPERLINK("http://www.worldcat.org/oclc/7697647","WorldCat Record")</f>
        <v/>
      </c>
      <c r="AU2" t="inlineStr">
        <is>
          <t>3943637674:eng</t>
        </is>
      </c>
      <c r="AV2" t="inlineStr">
        <is>
          <t>7697647</t>
        </is>
      </c>
      <c r="AW2" t="inlineStr">
        <is>
          <t>991005149019702656</t>
        </is>
      </c>
      <c r="AX2" t="inlineStr">
        <is>
          <t>991005149019702656</t>
        </is>
      </c>
      <c r="AY2" t="inlineStr">
        <is>
          <t>2267037120002656</t>
        </is>
      </c>
      <c r="AZ2" t="inlineStr">
        <is>
          <t>BOOK</t>
        </is>
      </c>
      <c r="BB2" t="inlineStr">
        <is>
          <t>9780930664039</t>
        </is>
      </c>
      <c r="BC2" t="inlineStr">
        <is>
          <t>32285000392646</t>
        </is>
      </c>
      <c r="BD2" t="inlineStr">
        <is>
          <t>893430939</t>
        </is>
      </c>
    </row>
    <row r="3">
      <c r="A3" t="inlineStr">
        <is>
          <t>No</t>
        </is>
      </c>
      <c r="B3" t="inlineStr">
        <is>
          <t>DB18 .S4</t>
        </is>
      </c>
      <c r="C3" t="inlineStr">
        <is>
          <t>0                      DB 0018000S  4</t>
        </is>
      </c>
      <c r="D3" t="inlineStr">
        <is>
          <t>Austria-Hungary: the polyglot empire, by Wolf von Schierbrand ... With a map in colours.</t>
        </is>
      </c>
      <c r="F3" t="inlineStr">
        <is>
          <t>No</t>
        </is>
      </c>
      <c r="G3" t="inlineStr">
        <is>
          <t>1</t>
        </is>
      </c>
      <c r="H3" t="inlineStr">
        <is>
          <t>No</t>
        </is>
      </c>
      <c r="I3" t="inlineStr">
        <is>
          <t>No</t>
        </is>
      </c>
      <c r="J3" t="inlineStr">
        <is>
          <t>0</t>
        </is>
      </c>
      <c r="K3" t="inlineStr">
        <is>
          <t>Schierbrand, Wolf von.</t>
        </is>
      </c>
      <c r="L3" t="inlineStr">
        <is>
          <t>New York, Frederick A. Stokes Company [c1917]</t>
        </is>
      </c>
      <c r="M3" t="inlineStr">
        <is>
          <t>1917</t>
        </is>
      </c>
      <c r="O3" t="inlineStr">
        <is>
          <t>eng</t>
        </is>
      </c>
      <c r="P3" t="inlineStr">
        <is>
          <t>nyu</t>
        </is>
      </c>
      <c r="R3" t="inlineStr">
        <is>
          <t xml:space="preserve">DB </t>
        </is>
      </c>
      <c r="S3" t="n">
        <v>1</v>
      </c>
      <c r="T3" t="n">
        <v>1</v>
      </c>
      <c r="U3" t="inlineStr">
        <is>
          <t>2007-04-18</t>
        </is>
      </c>
      <c r="V3" t="inlineStr">
        <is>
          <t>2007-04-18</t>
        </is>
      </c>
      <c r="W3" t="inlineStr">
        <is>
          <t>1996-10-22</t>
        </is>
      </c>
      <c r="X3" t="inlineStr">
        <is>
          <t>1996-10-22</t>
        </is>
      </c>
      <c r="Y3" t="n">
        <v>177</v>
      </c>
      <c r="Z3" t="n">
        <v>156</v>
      </c>
      <c r="AA3" t="n">
        <v>171</v>
      </c>
      <c r="AB3" t="n">
        <v>2</v>
      </c>
      <c r="AC3" t="n">
        <v>2</v>
      </c>
      <c r="AD3" t="n">
        <v>6</v>
      </c>
      <c r="AE3" t="n">
        <v>6</v>
      </c>
      <c r="AF3" t="n">
        <v>1</v>
      </c>
      <c r="AG3" t="n">
        <v>1</v>
      </c>
      <c r="AH3" t="n">
        <v>1</v>
      </c>
      <c r="AI3" t="n">
        <v>1</v>
      </c>
      <c r="AJ3" t="n">
        <v>4</v>
      </c>
      <c r="AK3" t="n">
        <v>4</v>
      </c>
      <c r="AL3" t="n">
        <v>1</v>
      </c>
      <c r="AM3" t="n">
        <v>1</v>
      </c>
      <c r="AN3" t="n">
        <v>0</v>
      </c>
      <c r="AO3" t="n">
        <v>0</v>
      </c>
      <c r="AP3" t="inlineStr">
        <is>
          <t>Yes</t>
        </is>
      </c>
      <c r="AQ3" t="inlineStr">
        <is>
          <t>No</t>
        </is>
      </c>
      <c r="AR3">
        <f>HYPERLINK("http://catalog.hathitrust.org/Record/001599653","HathiTrust Record")</f>
        <v/>
      </c>
      <c r="AS3">
        <f>HYPERLINK("https://creighton-primo.hosted.exlibrisgroup.com/primo-explore/search?tab=default_tab&amp;search_scope=EVERYTHING&amp;vid=01CRU&amp;lang=en_US&amp;offset=0&amp;query=any,contains,991002644779702656","Catalog Record")</f>
        <v/>
      </c>
      <c r="AT3">
        <f>HYPERLINK("http://www.worldcat.org/oclc/385480","WorldCat Record")</f>
        <v/>
      </c>
      <c r="AU3" t="inlineStr">
        <is>
          <t>1507605:eng</t>
        </is>
      </c>
      <c r="AV3" t="inlineStr">
        <is>
          <t>385480</t>
        </is>
      </c>
      <c r="AW3" t="inlineStr">
        <is>
          <t>991002644779702656</t>
        </is>
      </c>
      <c r="AX3" t="inlineStr">
        <is>
          <t>991002644779702656</t>
        </is>
      </c>
      <c r="AY3" t="inlineStr">
        <is>
          <t>2258942060002656</t>
        </is>
      </c>
      <c r="AZ3" t="inlineStr">
        <is>
          <t>BOOK</t>
        </is>
      </c>
      <c r="BC3" t="inlineStr">
        <is>
          <t>32285002376126</t>
        </is>
      </c>
      <c r="BD3" t="inlineStr">
        <is>
          <t>893233218</t>
        </is>
      </c>
    </row>
    <row r="4">
      <c r="A4" t="inlineStr">
        <is>
          <t>No</t>
        </is>
      </c>
      <c r="B4" t="inlineStr">
        <is>
          <t>DB205 .B4 1969</t>
        </is>
      </c>
      <c r="C4" t="inlineStr">
        <is>
          <t>0                      DB 0205000B  4           1969</t>
        </is>
      </c>
      <c r="D4" t="inlineStr">
        <is>
          <t>Essays in Czech history, by R. R. Betts.</t>
        </is>
      </c>
      <c r="F4" t="inlineStr">
        <is>
          <t>No</t>
        </is>
      </c>
      <c r="G4" t="inlineStr">
        <is>
          <t>1</t>
        </is>
      </c>
      <c r="H4" t="inlineStr">
        <is>
          <t>No</t>
        </is>
      </c>
      <c r="I4" t="inlineStr">
        <is>
          <t>No</t>
        </is>
      </c>
      <c r="J4" t="inlineStr">
        <is>
          <t>0</t>
        </is>
      </c>
      <c r="K4" t="inlineStr">
        <is>
          <t>Betts, R. R. (Reginald Robert), 1903-1961.</t>
        </is>
      </c>
      <c r="L4" t="inlineStr">
        <is>
          <t>London, Athlone P., 1969.</t>
        </is>
      </c>
      <c r="M4" t="inlineStr">
        <is>
          <t>1969</t>
        </is>
      </c>
      <c r="O4" t="inlineStr">
        <is>
          <t>eng</t>
        </is>
      </c>
      <c r="P4" t="inlineStr">
        <is>
          <t>enk</t>
        </is>
      </c>
      <c r="R4" t="inlineStr">
        <is>
          <t xml:space="preserve">DB </t>
        </is>
      </c>
      <c r="S4" t="n">
        <v>0</v>
      </c>
      <c r="T4" t="n">
        <v>0</v>
      </c>
      <c r="U4" t="inlineStr">
        <is>
          <t>2007-01-19</t>
        </is>
      </c>
      <c r="V4" t="inlineStr">
        <is>
          <t>2007-01-19</t>
        </is>
      </c>
      <c r="W4" t="inlineStr">
        <is>
          <t>1996-10-22</t>
        </is>
      </c>
      <c r="X4" t="inlineStr">
        <is>
          <t>1996-10-22</t>
        </is>
      </c>
      <c r="Y4" t="n">
        <v>531</v>
      </c>
      <c r="Z4" t="n">
        <v>382</v>
      </c>
      <c r="AA4" t="n">
        <v>383</v>
      </c>
      <c r="AB4" t="n">
        <v>4</v>
      </c>
      <c r="AC4" t="n">
        <v>4</v>
      </c>
      <c r="AD4" t="n">
        <v>20</v>
      </c>
      <c r="AE4" t="n">
        <v>20</v>
      </c>
      <c r="AF4" t="n">
        <v>3</v>
      </c>
      <c r="AG4" t="n">
        <v>3</v>
      </c>
      <c r="AH4" t="n">
        <v>7</v>
      </c>
      <c r="AI4" t="n">
        <v>7</v>
      </c>
      <c r="AJ4" t="n">
        <v>12</v>
      </c>
      <c r="AK4" t="n">
        <v>12</v>
      </c>
      <c r="AL4" t="n">
        <v>3</v>
      </c>
      <c r="AM4" t="n">
        <v>3</v>
      </c>
      <c r="AN4" t="n">
        <v>0</v>
      </c>
      <c r="AO4" t="n">
        <v>0</v>
      </c>
      <c r="AP4" t="inlineStr">
        <is>
          <t>No</t>
        </is>
      </c>
      <c r="AQ4" t="inlineStr">
        <is>
          <t>Yes</t>
        </is>
      </c>
      <c r="AR4">
        <f>HYPERLINK("http://catalog.hathitrust.org/Record/001600055","HathiTrust Record")</f>
        <v/>
      </c>
      <c r="AS4">
        <f>HYPERLINK("https://creighton-primo.hosted.exlibrisgroup.com/primo-explore/search?tab=default_tab&amp;search_scope=EVERYTHING&amp;vid=01CRU&amp;lang=en_US&amp;offset=0&amp;query=any,contains,991000063209702656","Catalog Record")</f>
        <v/>
      </c>
      <c r="AT4">
        <f>HYPERLINK("http://www.worldcat.org/oclc/25660","WorldCat Record")</f>
        <v/>
      </c>
      <c r="AU4" t="inlineStr">
        <is>
          <t>1165187:eng</t>
        </is>
      </c>
      <c r="AV4" t="inlineStr">
        <is>
          <t>25660</t>
        </is>
      </c>
      <c r="AW4" t="inlineStr">
        <is>
          <t>991000063209702656</t>
        </is>
      </c>
      <c r="AX4" t="inlineStr">
        <is>
          <t>991000063209702656</t>
        </is>
      </c>
      <c r="AY4" t="inlineStr">
        <is>
          <t>2268580520002656</t>
        </is>
      </c>
      <c r="AZ4" t="inlineStr">
        <is>
          <t>BOOK</t>
        </is>
      </c>
      <c r="BB4" t="inlineStr">
        <is>
          <t>9780485110951</t>
        </is>
      </c>
      <c r="BC4" t="inlineStr">
        <is>
          <t>32285002376910</t>
        </is>
      </c>
      <c r="BD4" t="inlineStr">
        <is>
          <t>893890365</t>
        </is>
      </c>
    </row>
    <row r="5">
      <c r="A5" t="inlineStr">
        <is>
          <t>No</t>
        </is>
      </c>
      <c r="B5" t="inlineStr">
        <is>
          <t>DB215.5 .G5</t>
        </is>
      </c>
      <c r="C5" t="inlineStr">
        <is>
          <t>0                      DB 0215500G  5</t>
        </is>
      </c>
      <c r="D5" t="inlineStr">
        <is>
          <t>The Czechoslovak reform movement : communism in crisis, 1962-1968.</t>
        </is>
      </c>
      <c r="F5" t="inlineStr">
        <is>
          <t>No</t>
        </is>
      </c>
      <c r="G5" t="inlineStr">
        <is>
          <t>1</t>
        </is>
      </c>
      <c r="H5" t="inlineStr">
        <is>
          <t>No</t>
        </is>
      </c>
      <c r="I5" t="inlineStr">
        <is>
          <t>No</t>
        </is>
      </c>
      <c r="J5" t="inlineStr">
        <is>
          <t>0</t>
        </is>
      </c>
      <c r="K5" t="inlineStr">
        <is>
          <t>Golan, Galia.</t>
        </is>
      </c>
      <c r="L5" t="inlineStr">
        <is>
          <t>Cambridge [Eng.] : University Press, 1971.</t>
        </is>
      </c>
      <c r="M5" t="inlineStr">
        <is>
          <t>1971</t>
        </is>
      </c>
      <c r="O5" t="inlineStr">
        <is>
          <t>eng</t>
        </is>
      </c>
      <c r="P5" t="inlineStr">
        <is>
          <t>enk</t>
        </is>
      </c>
      <c r="Q5" t="inlineStr">
        <is>
          <t>Soviet and East European studies</t>
        </is>
      </c>
      <c r="R5" t="inlineStr">
        <is>
          <t xml:space="preserve">DB </t>
        </is>
      </c>
      <c r="S5" t="n">
        <v>2</v>
      </c>
      <c r="T5" t="n">
        <v>2</v>
      </c>
      <c r="U5" t="inlineStr">
        <is>
          <t>1998-02-16</t>
        </is>
      </c>
      <c r="V5" t="inlineStr">
        <is>
          <t>1998-02-16</t>
        </is>
      </c>
      <c r="W5" t="inlineStr">
        <is>
          <t>1991-10-31</t>
        </is>
      </c>
      <c r="X5" t="inlineStr">
        <is>
          <t>1991-10-31</t>
        </is>
      </c>
      <c r="Y5" t="n">
        <v>692</v>
      </c>
      <c r="Z5" t="n">
        <v>528</v>
      </c>
      <c r="AA5" t="n">
        <v>537</v>
      </c>
      <c r="AB5" t="n">
        <v>2</v>
      </c>
      <c r="AC5" t="n">
        <v>2</v>
      </c>
      <c r="AD5" t="n">
        <v>28</v>
      </c>
      <c r="AE5" t="n">
        <v>28</v>
      </c>
      <c r="AF5" t="n">
        <v>13</v>
      </c>
      <c r="AG5" t="n">
        <v>13</v>
      </c>
      <c r="AH5" t="n">
        <v>7</v>
      </c>
      <c r="AI5" t="n">
        <v>7</v>
      </c>
      <c r="AJ5" t="n">
        <v>13</v>
      </c>
      <c r="AK5" t="n">
        <v>13</v>
      </c>
      <c r="AL5" t="n">
        <v>1</v>
      </c>
      <c r="AM5" t="n">
        <v>1</v>
      </c>
      <c r="AN5" t="n">
        <v>0</v>
      </c>
      <c r="AO5" t="n">
        <v>0</v>
      </c>
      <c r="AP5" t="inlineStr">
        <is>
          <t>No</t>
        </is>
      </c>
      <c r="AQ5" t="inlineStr">
        <is>
          <t>No</t>
        </is>
      </c>
      <c r="AS5">
        <f>HYPERLINK("https://creighton-primo.hosted.exlibrisgroup.com/primo-explore/search?tab=default_tab&amp;search_scope=EVERYTHING&amp;vid=01CRU&amp;lang=en_US&amp;offset=0&amp;query=any,contains,991001270169702656","Catalog Record")</f>
        <v/>
      </c>
      <c r="AT5">
        <f>HYPERLINK("http://www.worldcat.org/oclc/211732","WorldCat Record")</f>
        <v/>
      </c>
      <c r="AU5" t="inlineStr">
        <is>
          <t>1288543:eng</t>
        </is>
      </c>
      <c r="AV5" t="inlineStr">
        <is>
          <t>211732</t>
        </is>
      </c>
      <c r="AW5" t="inlineStr">
        <is>
          <t>991001270169702656</t>
        </is>
      </c>
      <c r="AX5" t="inlineStr">
        <is>
          <t>991001270169702656</t>
        </is>
      </c>
      <c r="AY5" t="inlineStr">
        <is>
          <t>2263943760002656</t>
        </is>
      </c>
      <c r="AZ5" t="inlineStr">
        <is>
          <t>BOOK</t>
        </is>
      </c>
      <c r="BC5" t="inlineStr">
        <is>
          <t>32285000802636</t>
        </is>
      </c>
      <c r="BD5" t="inlineStr">
        <is>
          <t>893225749</t>
        </is>
      </c>
    </row>
    <row r="6">
      <c r="A6" t="inlineStr">
        <is>
          <t>No</t>
        </is>
      </c>
      <c r="B6" t="inlineStr">
        <is>
          <t>DB215.5 .K633 1971</t>
        </is>
      </c>
      <c r="C6" t="inlineStr">
        <is>
          <t>0                      DB 0215500K  633         1971</t>
        </is>
      </c>
      <c r="D6" t="inlineStr">
        <is>
          <t>The Czechoslovak political trials, 1950-1954; the suppressed report of the Dubček Government's commission of inquiry, 1968 / Edited with a pref. and a postscript by Jiři Pelikán.</t>
        </is>
      </c>
      <c r="F6" t="inlineStr">
        <is>
          <t>No</t>
        </is>
      </c>
      <c r="G6" t="inlineStr">
        <is>
          <t>1</t>
        </is>
      </c>
      <c r="H6" t="inlineStr">
        <is>
          <t>No</t>
        </is>
      </c>
      <c r="I6" t="inlineStr">
        <is>
          <t>No</t>
        </is>
      </c>
      <c r="J6" t="inlineStr">
        <is>
          <t>0</t>
        </is>
      </c>
      <c r="K6" t="inlineStr">
        <is>
          <t>Komunistická strana Československa. Ústřední výbor. Komise pro vyřizování stranických rehabilitací.</t>
        </is>
      </c>
      <c r="L6" t="inlineStr">
        <is>
          <t>Stanford, Calif., Stanford University Press, 1971.</t>
        </is>
      </c>
      <c r="M6" t="inlineStr">
        <is>
          <t>1971</t>
        </is>
      </c>
      <c r="O6" t="inlineStr">
        <is>
          <t>eng</t>
        </is>
      </c>
      <c r="P6" t="inlineStr">
        <is>
          <t>cau</t>
        </is>
      </c>
      <c r="R6" t="inlineStr">
        <is>
          <t xml:space="preserve">DB </t>
        </is>
      </c>
      <c r="S6" t="n">
        <v>1</v>
      </c>
      <c r="T6" t="n">
        <v>1</v>
      </c>
      <c r="U6" t="inlineStr">
        <is>
          <t>1998-11-20</t>
        </is>
      </c>
      <c r="V6" t="inlineStr">
        <is>
          <t>1998-11-20</t>
        </is>
      </c>
      <c r="W6" t="inlineStr">
        <is>
          <t>1990-11-20</t>
        </is>
      </c>
      <c r="X6" t="inlineStr">
        <is>
          <t>1990-11-20</t>
        </is>
      </c>
      <c r="Y6" t="n">
        <v>699</v>
      </c>
      <c r="Z6" t="n">
        <v>633</v>
      </c>
      <c r="AA6" t="n">
        <v>633</v>
      </c>
      <c r="AB6" t="n">
        <v>5</v>
      </c>
      <c r="AC6" t="n">
        <v>5</v>
      </c>
      <c r="AD6" t="n">
        <v>35</v>
      </c>
      <c r="AE6" t="n">
        <v>35</v>
      </c>
      <c r="AF6" t="n">
        <v>12</v>
      </c>
      <c r="AG6" t="n">
        <v>12</v>
      </c>
      <c r="AH6" t="n">
        <v>8</v>
      </c>
      <c r="AI6" t="n">
        <v>8</v>
      </c>
      <c r="AJ6" t="n">
        <v>14</v>
      </c>
      <c r="AK6" t="n">
        <v>14</v>
      </c>
      <c r="AL6" t="n">
        <v>4</v>
      </c>
      <c r="AM6" t="n">
        <v>4</v>
      </c>
      <c r="AN6" t="n">
        <v>4</v>
      </c>
      <c r="AO6" t="n">
        <v>4</v>
      </c>
      <c r="AP6" t="inlineStr">
        <is>
          <t>No</t>
        </is>
      </c>
      <c r="AQ6" t="inlineStr">
        <is>
          <t>No</t>
        </is>
      </c>
      <c r="AS6">
        <f>HYPERLINK("https://creighton-primo.hosted.exlibrisgroup.com/primo-explore/search?tab=default_tab&amp;search_scope=EVERYTHING&amp;vid=01CRU&amp;lang=en_US&amp;offset=0&amp;query=any,contains,991001223709702656","Catalog Record")</f>
        <v/>
      </c>
      <c r="AT6">
        <f>HYPERLINK("http://www.worldcat.org/oclc/198482","WorldCat Record")</f>
        <v/>
      </c>
      <c r="AU6" t="inlineStr">
        <is>
          <t>5609725880:eng</t>
        </is>
      </c>
      <c r="AV6" t="inlineStr">
        <is>
          <t>198482</t>
        </is>
      </c>
      <c r="AW6" t="inlineStr">
        <is>
          <t>991001223709702656</t>
        </is>
      </c>
      <c r="AX6" t="inlineStr">
        <is>
          <t>991001223709702656</t>
        </is>
      </c>
      <c r="AY6" t="inlineStr">
        <is>
          <t>2271416950002656</t>
        </is>
      </c>
      <c r="AZ6" t="inlineStr">
        <is>
          <t>BOOK</t>
        </is>
      </c>
      <c r="BB6" t="inlineStr">
        <is>
          <t>9780804707695</t>
        </is>
      </c>
      <c r="BC6" t="inlineStr">
        <is>
          <t>32285000392901</t>
        </is>
      </c>
      <c r="BD6" t="inlineStr">
        <is>
          <t>893334163</t>
        </is>
      </c>
    </row>
    <row r="7">
      <c r="A7" t="inlineStr">
        <is>
          <t>No</t>
        </is>
      </c>
      <c r="B7" t="inlineStr">
        <is>
          <t>DB215.5 .K87</t>
        </is>
      </c>
      <c r="C7" t="inlineStr">
        <is>
          <t>0                      DB 0215500K  87</t>
        </is>
      </c>
      <c r="D7" t="inlineStr">
        <is>
          <t>The intellectual origins of the Prague spring ; the development of reformist ideas in Czechoslovakia, 1956-1967 / by Vladimir V. Kusin.</t>
        </is>
      </c>
      <c r="F7" t="inlineStr">
        <is>
          <t>No</t>
        </is>
      </c>
      <c r="G7" t="inlineStr">
        <is>
          <t>1</t>
        </is>
      </c>
      <c r="H7" t="inlineStr">
        <is>
          <t>No</t>
        </is>
      </c>
      <c r="I7" t="inlineStr">
        <is>
          <t>No</t>
        </is>
      </c>
      <c r="J7" t="inlineStr">
        <is>
          <t>0</t>
        </is>
      </c>
      <c r="K7" t="inlineStr">
        <is>
          <t>Kusin, Vladimir V.</t>
        </is>
      </c>
      <c r="L7" t="inlineStr">
        <is>
          <t>Cambridge [Eng.] : University Press, 1971.</t>
        </is>
      </c>
      <c r="M7" t="inlineStr">
        <is>
          <t>1971</t>
        </is>
      </c>
      <c r="O7" t="inlineStr">
        <is>
          <t>eng</t>
        </is>
      </c>
      <c r="P7" t="inlineStr">
        <is>
          <t>enk</t>
        </is>
      </c>
      <c r="Q7" t="inlineStr">
        <is>
          <t>Soviet and East European studies</t>
        </is>
      </c>
      <c r="R7" t="inlineStr">
        <is>
          <t xml:space="preserve">DB </t>
        </is>
      </c>
      <c r="S7" t="n">
        <v>1</v>
      </c>
      <c r="T7" t="n">
        <v>1</v>
      </c>
      <c r="U7" t="inlineStr">
        <is>
          <t>2007-09-05</t>
        </is>
      </c>
      <c r="V7" t="inlineStr">
        <is>
          <t>2007-09-05</t>
        </is>
      </c>
      <c r="W7" t="inlineStr">
        <is>
          <t>1990-11-20</t>
        </is>
      </c>
      <c r="X7" t="inlineStr">
        <is>
          <t>1990-11-20</t>
        </is>
      </c>
      <c r="Y7" t="n">
        <v>712</v>
      </c>
      <c r="Z7" t="n">
        <v>556</v>
      </c>
      <c r="AA7" t="n">
        <v>569</v>
      </c>
      <c r="AB7" t="n">
        <v>6</v>
      </c>
      <c r="AC7" t="n">
        <v>6</v>
      </c>
      <c r="AD7" t="n">
        <v>28</v>
      </c>
      <c r="AE7" t="n">
        <v>30</v>
      </c>
      <c r="AF7" t="n">
        <v>8</v>
      </c>
      <c r="AG7" t="n">
        <v>9</v>
      </c>
      <c r="AH7" t="n">
        <v>7</v>
      </c>
      <c r="AI7" t="n">
        <v>8</v>
      </c>
      <c r="AJ7" t="n">
        <v>14</v>
      </c>
      <c r="AK7" t="n">
        <v>15</v>
      </c>
      <c r="AL7" t="n">
        <v>5</v>
      </c>
      <c r="AM7" t="n">
        <v>5</v>
      </c>
      <c r="AN7" t="n">
        <v>0</v>
      </c>
      <c r="AO7" t="n">
        <v>0</v>
      </c>
      <c r="AP7" t="inlineStr">
        <is>
          <t>No</t>
        </is>
      </c>
      <c r="AQ7" t="inlineStr">
        <is>
          <t>No</t>
        </is>
      </c>
      <c r="AS7">
        <f>HYPERLINK("https://creighton-primo.hosted.exlibrisgroup.com/primo-explore/search?tab=default_tab&amp;search_scope=EVERYTHING&amp;vid=01CRU&amp;lang=en_US&amp;offset=0&amp;query=any,contains,991000820109702656","Catalog Record")</f>
        <v/>
      </c>
      <c r="AT7">
        <f>HYPERLINK("http://www.worldcat.org/oclc/144352","WorldCat Record")</f>
        <v/>
      </c>
      <c r="AU7" t="inlineStr">
        <is>
          <t>807714759:eng</t>
        </is>
      </c>
      <c r="AV7" t="inlineStr">
        <is>
          <t>144352</t>
        </is>
      </c>
      <c r="AW7" t="inlineStr">
        <is>
          <t>991000820109702656</t>
        </is>
      </c>
      <c r="AX7" t="inlineStr">
        <is>
          <t>991000820109702656</t>
        </is>
      </c>
      <c r="AY7" t="inlineStr">
        <is>
          <t>2257500910002656</t>
        </is>
      </c>
      <c r="AZ7" t="inlineStr">
        <is>
          <t>BOOK</t>
        </is>
      </c>
      <c r="BB7" t="inlineStr">
        <is>
          <t>9780521081245</t>
        </is>
      </c>
      <c r="BC7" t="inlineStr">
        <is>
          <t>32285000392919</t>
        </is>
      </c>
      <c r="BD7" t="inlineStr">
        <is>
          <t>893231440</t>
        </is>
      </c>
    </row>
    <row r="8">
      <c r="A8" t="inlineStr">
        <is>
          <t>No</t>
        </is>
      </c>
      <c r="B8" t="inlineStr">
        <is>
          <t>DB215.6 .S58</t>
        </is>
      </c>
      <c r="C8" t="inlineStr">
        <is>
          <t>0                      DB 0215600S  58</t>
        </is>
      </c>
      <c r="D8" t="inlineStr">
        <is>
          <t>Czechoslovakia's interrupted revolution / H. Gordon Skilling.</t>
        </is>
      </c>
      <c r="F8" t="inlineStr">
        <is>
          <t>No</t>
        </is>
      </c>
      <c r="G8" t="inlineStr">
        <is>
          <t>1</t>
        </is>
      </c>
      <c r="H8" t="inlineStr">
        <is>
          <t>No</t>
        </is>
      </c>
      <c r="I8" t="inlineStr">
        <is>
          <t>No</t>
        </is>
      </c>
      <c r="J8" t="inlineStr">
        <is>
          <t>0</t>
        </is>
      </c>
      <c r="K8" t="inlineStr">
        <is>
          <t>Skilling, H. Gordon (Harold Gordon), 1912-2001.</t>
        </is>
      </c>
      <c r="L8" t="inlineStr">
        <is>
          <t>Princeton, N.J. : Princeton University Press, c1976.</t>
        </is>
      </c>
      <c r="M8" t="inlineStr">
        <is>
          <t>1976</t>
        </is>
      </c>
      <c r="O8" t="inlineStr">
        <is>
          <t>eng</t>
        </is>
      </c>
      <c r="P8" t="inlineStr">
        <is>
          <t>nju</t>
        </is>
      </c>
      <c r="R8" t="inlineStr">
        <is>
          <t xml:space="preserve">DB </t>
        </is>
      </c>
      <c r="S8" t="n">
        <v>3</v>
      </c>
      <c r="T8" t="n">
        <v>3</v>
      </c>
      <c r="U8" t="inlineStr">
        <is>
          <t>1993-11-22</t>
        </is>
      </c>
      <c r="V8" t="inlineStr">
        <is>
          <t>1993-11-22</t>
        </is>
      </c>
      <c r="W8" t="inlineStr">
        <is>
          <t>1992-08-24</t>
        </is>
      </c>
      <c r="X8" t="inlineStr">
        <is>
          <t>1992-08-24</t>
        </is>
      </c>
      <c r="Y8" t="n">
        <v>670</v>
      </c>
      <c r="Z8" t="n">
        <v>483</v>
      </c>
      <c r="AA8" t="n">
        <v>692</v>
      </c>
      <c r="AB8" t="n">
        <v>4</v>
      </c>
      <c r="AC8" t="n">
        <v>6</v>
      </c>
      <c r="AD8" t="n">
        <v>24</v>
      </c>
      <c r="AE8" t="n">
        <v>33</v>
      </c>
      <c r="AF8" t="n">
        <v>8</v>
      </c>
      <c r="AG8" t="n">
        <v>14</v>
      </c>
      <c r="AH8" t="n">
        <v>8</v>
      </c>
      <c r="AI8" t="n">
        <v>10</v>
      </c>
      <c r="AJ8" t="n">
        <v>14</v>
      </c>
      <c r="AK8" t="n">
        <v>17</v>
      </c>
      <c r="AL8" t="n">
        <v>3</v>
      </c>
      <c r="AM8" t="n">
        <v>4</v>
      </c>
      <c r="AN8" t="n">
        <v>0</v>
      </c>
      <c r="AO8" t="n">
        <v>0</v>
      </c>
      <c r="AP8" t="inlineStr">
        <is>
          <t>No</t>
        </is>
      </c>
      <c r="AQ8" t="inlineStr">
        <is>
          <t>No</t>
        </is>
      </c>
      <c r="AS8">
        <f>HYPERLINK("https://creighton-primo.hosted.exlibrisgroup.com/primo-explore/search?tab=default_tab&amp;search_scope=EVERYTHING&amp;vid=01CRU&amp;lang=en_US&amp;offset=0&amp;query=any,contains,991003987259702656","Catalog Record")</f>
        <v/>
      </c>
      <c r="AT8">
        <f>HYPERLINK("http://www.worldcat.org/oclc/2034754","WorldCat Record")</f>
        <v/>
      </c>
      <c r="AU8" t="inlineStr">
        <is>
          <t>146949936:eng</t>
        </is>
      </c>
      <c r="AV8" t="inlineStr">
        <is>
          <t>2034754</t>
        </is>
      </c>
      <c r="AW8" t="inlineStr">
        <is>
          <t>991003987259702656</t>
        </is>
      </c>
      <c r="AX8" t="inlineStr">
        <is>
          <t>991003987259702656</t>
        </is>
      </c>
      <c r="AY8" t="inlineStr">
        <is>
          <t>2270277020002656</t>
        </is>
      </c>
      <c r="AZ8" t="inlineStr">
        <is>
          <t>BOOK</t>
        </is>
      </c>
      <c r="BB8" t="inlineStr">
        <is>
          <t>9780691052342</t>
        </is>
      </c>
      <c r="BC8" t="inlineStr">
        <is>
          <t>32285001270528</t>
        </is>
      </c>
      <c r="BD8" t="inlineStr">
        <is>
          <t>893349475</t>
        </is>
      </c>
    </row>
    <row r="9">
      <c r="A9" t="inlineStr">
        <is>
          <t>No</t>
        </is>
      </c>
      <c r="B9" t="inlineStr">
        <is>
          <t>DB2178.7 .R43 1992</t>
        </is>
      </c>
      <c r="C9" t="inlineStr">
        <is>
          <t>0                      DB 2178700R  43          1992</t>
        </is>
      </c>
      <c r="D9" t="inlineStr">
        <is>
          <t>The Czechs during World War I : the path to independence / H. Louis Rees.</t>
        </is>
      </c>
      <c r="F9" t="inlineStr">
        <is>
          <t>No</t>
        </is>
      </c>
      <c r="G9" t="inlineStr">
        <is>
          <t>1</t>
        </is>
      </c>
      <c r="H9" t="inlineStr">
        <is>
          <t>No</t>
        </is>
      </c>
      <c r="I9" t="inlineStr">
        <is>
          <t>No</t>
        </is>
      </c>
      <c r="J9" t="inlineStr">
        <is>
          <t>0</t>
        </is>
      </c>
      <c r="K9" t="inlineStr">
        <is>
          <t>Rees, H. Louis.</t>
        </is>
      </c>
      <c r="L9" t="inlineStr">
        <is>
          <t>Boulder : East European Monographs ; New York : Distributed by Columbia University Press, 1992.</t>
        </is>
      </c>
      <c r="M9" t="inlineStr">
        <is>
          <t>1992</t>
        </is>
      </c>
      <c r="O9" t="inlineStr">
        <is>
          <t>eng</t>
        </is>
      </c>
      <c r="P9" t="inlineStr">
        <is>
          <t>cou</t>
        </is>
      </c>
      <c r="Q9" t="inlineStr">
        <is>
          <t>East European monographs ; no. 339</t>
        </is>
      </c>
      <c r="R9" t="inlineStr">
        <is>
          <t xml:space="preserve">DB </t>
        </is>
      </c>
      <c r="S9" t="n">
        <v>0</v>
      </c>
      <c r="T9" t="n">
        <v>0</v>
      </c>
      <c r="U9" t="inlineStr">
        <is>
          <t>2005-11-03</t>
        </is>
      </c>
      <c r="V9" t="inlineStr">
        <is>
          <t>2005-11-03</t>
        </is>
      </c>
      <c r="W9" t="inlineStr">
        <is>
          <t>1993-01-28</t>
        </is>
      </c>
      <c r="X9" t="inlineStr">
        <is>
          <t>1993-01-28</t>
        </is>
      </c>
      <c r="Y9" t="n">
        <v>183</v>
      </c>
      <c r="Z9" t="n">
        <v>137</v>
      </c>
      <c r="AA9" t="n">
        <v>139</v>
      </c>
      <c r="AB9" t="n">
        <v>3</v>
      </c>
      <c r="AC9" t="n">
        <v>3</v>
      </c>
      <c r="AD9" t="n">
        <v>8</v>
      </c>
      <c r="AE9" t="n">
        <v>8</v>
      </c>
      <c r="AF9" t="n">
        <v>3</v>
      </c>
      <c r="AG9" t="n">
        <v>3</v>
      </c>
      <c r="AH9" t="n">
        <v>2</v>
      </c>
      <c r="AI9" t="n">
        <v>2</v>
      </c>
      <c r="AJ9" t="n">
        <v>4</v>
      </c>
      <c r="AK9" t="n">
        <v>4</v>
      </c>
      <c r="AL9" t="n">
        <v>2</v>
      </c>
      <c r="AM9" t="n">
        <v>2</v>
      </c>
      <c r="AN9" t="n">
        <v>0</v>
      </c>
      <c r="AO9" t="n">
        <v>0</v>
      </c>
      <c r="AP9" t="inlineStr">
        <is>
          <t>No</t>
        </is>
      </c>
      <c r="AQ9" t="inlineStr">
        <is>
          <t>Yes</t>
        </is>
      </c>
      <c r="AR9">
        <f>HYPERLINK("http://catalog.hathitrust.org/Record/002570612","HathiTrust Record")</f>
        <v/>
      </c>
      <c r="AS9">
        <f>HYPERLINK("https://creighton-primo.hosted.exlibrisgroup.com/primo-explore/search?tab=default_tab&amp;search_scope=EVERYTHING&amp;vid=01CRU&amp;lang=en_US&amp;offset=0&amp;query=any,contains,991002037879702656","Catalog Record")</f>
        <v/>
      </c>
      <c r="AT9">
        <f>HYPERLINK("http://www.worldcat.org/oclc/25998469","WorldCat Record")</f>
        <v/>
      </c>
      <c r="AU9" t="inlineStr">
        <is>
          <t>795680565:eng</t>
        </is>
      </c>
      <c r="AV9" t="inlineStr">
        <is>
          <t>25998469</t>
        </is>
      </c>
      <c r="AW9" t="inlineStr">
        <is>
          <t>991002037879702656</t>
        </is>
      </c>
      <c r="AX9" t="inlineStr">
        <is>
          <t>991002037879702656</t>
        </is>
      </c>
      <c r="AY9" t="inlineStr">
        <is>
          <t>2260808850002656</t>
        </is>
      </c>
      <c r="AZ9" t="inlineStr">
        <is>
          <t>BOOK</t>
        </is>
      </c>
      <c r="BC9" t="inlineStr">
        <is>
          <t>32285001448702</t>
        </is>
      </c>
      <c r="BD9" t="inlineStr">
        <is>
          <t>893779348</t>
        </is>
      </c>
    </row>
    <row r="10">
      <c r="A10" t="inlineStr">
        <is>
          <t>No</t>
        </is>
      </c>
      <c r="B10" t="inlineStr">
        <is>
          <t>DB2191.M38 S96</t>
        </is>
      </c>
      <c r="C10" t="inlineStr">
        <is>
          <t>0                      DB 2191000M  38                 S  96</t>
        </is>
      </c>
      <c r="D10" t="inlineStr">
        <is>
          <t>The political thought of Thomas G. Masaryk / by Roman Szporluk.</t>
        </is>
      </c>
      <c r="F10" t="inlineStr">
        <is>
          <t>No</t>
        </is>
      </c>
      <c r="G10" t="inlineStr">
        <is>
          <t>1</t>
        </is>
      </c>
      <c r="H10" t="inlineStr">
        <is>
          <t>No</t>
        </is>
      </c>
      <c r="I10" t="inlineStr">
        <is>
          <t>No</t>
        </is>
      </c>
      <c r="J10" t="inlineStr">
        <is>
          <t>0</t>
        </is>
      </c>
      <c r="K10" t="inlineStr">
        <is>
          <t>Szporluk, Roman.</t>
        </is>
      </c>
      <c r="L10" t="inlineStr">
        <is>
          <t>Boulder [Colo.] : East European Monographs ; New York : Distributed by Columbia University Press, 1981.</t>
        </is>
      </c>
      <c r="M10" t="inlineStr">
        <is>
          <t>1981</t>
        </is>
      </c>
      <c r="O10" t="inlineStr">
        <is>
          <t>eng</t>
        </is>
      </c>
      <c r="P10" t="inlineStr">
        <is>
          <t>cou</t>
        </is>
      </c>
      <c r="Q10" t="inlineStr">
        <is>
          <t>East European monographs ; no. 85</t>
        </is>
      </c>
      <c r="R10" t="inlineStr">
        <is>
          <t xml:space="preserve">DB </t>
        </is>
      </c>
      <c r="S10" t="n">
        <v>3</v>
      </c>
      <c r="T10" t="n">
        <v>3</v>
      </c>
      <c r="U10" t="inlineStr">
        <is>
          <t>2004-08-23</t>
        </is>
      </c>
      <c r="V10" t="inlineStr">
        <is>
          <t>2004-08-23</t>
        </is>
      </c>
      <c r="W10" t="inlineStr">
        <is>
          <t>1991-10-24</t>
        </is>
      </c>
      <c r="X10" t="inlineStr">
        <is>
          <t>1991-10-24</t>
        </is>
      </c>
      <c r="Y10" t="n">
        <v>281</v>
      </c>
      <c r="Z10" t="n">
        <v>203</v>
      </c>
      <c r="AA10" t="n">
        <v>204</v>
      </c>
      <c r="AB10" t="n">
        <v>2</v>
      </c>
      <c r="AC10" t="n">
        <v>2</v>
      </c>
      <c r="AD10" t="n">
        <v>9</v>
      </c>
      <c r="AE10" t="n">
        <v>9</v>
      </c>
      <c r="AF10" t="n">
        <v>0</v>
      </c>
      <c r="AG10" t="n">
        <v>0</v>
      </c>
      <c r="AH10" t="n">
        <v>5</v>
      </c>
      <c r="AI10" t="n">
        <v>5</v>
      </c>
      <c r="AJ10" t="n">
        <v>6</v>
      </c>
      <c r="AK10" t="n">
        <v>6</v>
      </c>
      <c r="AL10" t="n">
        <v>1</v>
      </c>
      <c r="AM10" t="n">
        <v>1</v>
      </c>
      <c r="AN10" t="n">
        <v>0</v>
      </c>
      <c r="AO10" t="n">
        <v>0</v>
      </c>
      <c r="AP10" t="inlineStr">
        <is>
          <t>No</t>
        </is>
      </c>
      <c r="AQ10" t="inlineStr">
        <is>
          <t>Yes</t>
        </is>
      </c>
      <c r="AR10">
        <f>HYPERLINK("http://catalog.hathitrust.org/Record/000265083","HathiTrust Record")</f>
        <v/>
      </c>
      <c r="AS10">
        <f>HYPERLINK("https://creighton-primo.hosted.exlibrisgroup.com/primo-explore/search?tab=default_tab&amp;search_scope=EVERYTHING&amp;vid=01CRU&amp;lang=en_US&amp;offset=0&amp;query=any,contains,991005179409702656","Catalog Record")</f>
        <v/>
      </c>
      <c r="AT10">
        <f>HYPERLINK("http://www.worldcat.org/oclc/7939809","WorldCat Record")</f>
        <v/>
      </c>
      <c r="AU10" t="inlineStr">
        <is>
          <t>584730:eng</t>
        </is>
      </c>
      <c r="AV10" t="inlineStr">
        <is>
          <t>7939809</t>
        </is>
      </c>
      <c r="AW10" t="inlineStr">
        <is>
          <t>991005179409702656</t>
        </is>
      </c>
      <c r="AX10" t="inlineStr">
        <is>
          <t>991005179409702656</t>
        </is>
      </c>
      <c r="AY10" t="inlineStr">
        <is>
          <t>2257955590002656</t>
        </is>
      </c>
      <c r="AZ10" t="inlineStr">
        <is>
          <t>BOOK</t>
        </is>
      </c>
      <c r="BB10" t="inlineStr">
        <is>
          <t>9780914710790</t>
        </is>
      </c>
      <c r="BC10" t="inlineStr">
        <is>
          <t>32285000654201</t>
        </is>
      </c>
      <c r="BD10" t="inlineStr">
        <is>
          <t>893719930</t>
        </is>
      </c>
    </row>
    <row r="11">
      <c r="A11" t="inlineStr">
        <is>
          <t>No</t>
        </is>
      </c>
      <c r="B11" t="inlineStr">
        <is>
          <t>DB2228.7 .K87 1978b</t>
        </is>
      </c>
      <c r="C11" t="inlineStr">
        <is>
          <t>0                      DB 2228700K  87          1978b</t>
        </is>
      </c>
      <c r="D11" t="inlineStr">
        <is>
          <t>From Dubček to Charter 77 : a study of "normalization" in Czechoslovakia, 1968-1978 / Vladimir V. Kusin.</t>
        </is>
      </c>
      <c r="F11" t="inlineStr">
        <is>
          <t>No</t>
        </is>
      </c>
      <c r="G11" t="inlineStr">
        <is>
          <t>1</t>
        </is>
      </c>
      <c r="H11" t="inlineStr">
        <is>
          <t>No</t>
        </is>
      </c>
      <c r="I11" t="inlineStr">
        <is>
          <t>No</t>
        </is>
      </c>
      <c r="J11" t="inlineStr">
        <is>
          <t>0</t>
        </is>
      </c>
      <c r="K11" t="inlineStr">
        <is>
          <t>Kusin, Vladimir V.</t>
        </is>
      </c>
      <c r="L11" t="inlineStr">
        <is>
          <t>New York : St. Martin's Press, 1978.</t>
        </is>
      </c>
      <c r="M11" t="inlineStr">
        <is>
          <t>1978</t>
        </is>
      </c>
      <c r="O11" t="inlineStr">
        <is>
          <t>eng</t>
        </is>
      </c>
      <c r="P11" t="inlineStr">
        <is>
          <t>nyu</t>
        </is>
      </c>
      <c r="R11" t="inlineStr">
        <is>
          <t xml:space="preserve">DB </t>
        </is>
      </c>
      <c r="S11" t="n">
        <v>2</v>
      </c>
      <c r="T11" t="n">
        <v>2</v>
      </c>
      <c r="U11" t="inlineStr">
        <is>
          <t>1997-12-04</t>
        </is>
      </c>
      <c r="V11" t="inlineStr">
        <is>
          <t>1997-12-04</t>
        </is>
      </c>
      <c r="W11" t="inlineStr">
        <is>
          <t>1997-02-21</t>
        </is>
      </c>
      <c r="X11" t="inlineStr">
        <is>
          <t>1997-02-21</t>
        </is>
      </c>
      <c r="Y11" t="n">
        <v>385</v>
      </c>
      <c r="Z11" t="n">
        <v>346</v>
      </c>
      <c r="AA11" t="n">
        <v>400</v>
      </c>
      <c r="AB11" t="n">
        <v>3</v>
      </c>
      <c r="AC11" t="n">
        <v>4</v>
      </c>
      <c r="AD11" t="n">
        <v>13</v>
      </c>
      <c r="AE11" t="n">
        <v>16</v>
      </c>
      <c r="AF11" t="n">
        <v>5</v>
      </c>
      <c r="AG11" t="n">
        <v>5</v>
      </c>
      <c r="AH11" t="n">
        <v>4</v>
      </c>
      <c r="AI11" t="n">
        <v>5</v>
      </c>
      <c r="AJ11" t="n">
        <v>6</v>
      </c>
      <c r="AK11" t="n">
        <v>8</v>
      </c>
      <c r="AL11" t="n">
        <v>2</v>
      </c>
      <c r="AM11" t="n">
        <v>3</v>
      </c>
      <c r="AN11" t="n">
        <v>0</v>
      </c>
      <c r="AO11" t="n">
        <v>0</v>
      </c>
      <c r="AP11" t="inlineStr">
        <is>
          <t>No</t>
        </is>
      </c>
      <c r="AQ11" t="inlineStr">
        <is>
          <t>No</t>
        </is>
      </c>
      <c r="AS11">
        <f>HYPERLINK("https://creighton-primo.hosted.exlibrisgroup.com/primo-explore/search?tab=default_tab&amp;search_scope=EVERYTHING&amp;vid=01CRU&amp;lang=en_US&amp;offset=0&amp;query=any,contains,991004637799702656","Catalog Record")</f>
        <v/>
      </c>
      <c r="AT11">
        <f>HYPERLINK("http://www.worldcat.org/oclc/4431651","WorldCat Record")</f>
        <v/>
      </c>
      <c r="AU11" t="inlineStr">
        <is>
          <t>15077200:eng</t>
        </is>
      </c>
      <c r="AV11" t="inlineStr">
        <is>
          <t>4431651</t>
        </is>
      </c>
      <c r="AW11" t="inlineStr">
        <is>
          <t>991004637799702656</t>
        </is>
      </c>
      <c r="AX11" t="inlineStr">
        <is>
          <t>991004637799702656</t>
        </is>
      </c>
      <c r="AY11" t="inlineStr">
        <is>
          <t>2272642260002656</t>
        </is>
      </c>
      <c r="AZ11" t="inlineStr">
        <is>
          <t>BOOK</t>
        </is>
      </c>
      <c r="BB11" t="inlineStr">
        <is>
          <t>9780312307172</t>
        </is>
      </c>
      <c r="BC11" t="inlineStr">
        <is>
          <t>32285000654219</t>
        </is>
      </c>
      <c r="BD11" t="inlineStr">
        <is>
          <t>893513496</t>
        </is>
      </c>
    </row>
    <row r="12">
      <c r="A12" t="inlineStr">
        <is>
          <t>No</t>
        </is>
      </c>
      <c r="B12" t="inlineStr">
        <is>
          <t>DB2232 .W55 1997</t>
        </is>
      </c>
      <c r="C12" t="inlineStr">
        <is>
          <t>0                      DB 2232000W  55          1997</t>
        </is>
      </c>
      <c r="D12" t="inlineStr">
        <is>
          <t>The Prague spring and its aftermath : Czechoslovak politics, 1968-1970 / Kieran Williams.</t>
        </is>
      </c>
      <c r="F12" t="inlineStr">
        <is>
          <t>No</t>
        </is>
      </c>
      <c r="G12" t="inlineStr">
        <is>
          <t>1</t>
        </is>
      </c>
      <c r="H12" t="inlineStr">
        <is>
          <t>No</t>
        </is>
      </c>
      <c r="I12" t="inlineStr">
        <is>
          <t>No</t>
        </is>
      </c>
      <c r="J12" t="inlineStr">
        <is>
          <t>0</t>
        </is>
      </c>
      <c r="K12" t="inlineStr">
        <is>
          <t>Williams, Kieran.</t>
        </is>
      </c>
      <c r="L12" t="inlineStr">
        <is>
          <t>Cambridge ; New York : Cambridge University Press, 1997.</t>
        </is>
      </c>
      <c r="M12" t="inlineStr">
        <is>
          <t>1997</t>
        </is>
      </c>
      <c r="O12" t="inlineStr">
        <is>
          <t>eng</t>
        </is>
      </c>
      <c r="P12" t="inlineStr">
        <is>
          <t>enk</t>
        </is>
      </c>
      <c r="R12" t="inlineStr">
        <is>
          <t xml:space="preserve">DB </t>
        </is>
      </c>
      <c r="S12" t="n">
        <v>0</v>
      </c>
      <c r="T12" t="n">
        <v>0</v>
      </c>
      <c r="U12" t="inlineStr">
        <is>
          <t>2007-09-05</t>
        </is>
      </c>
      <c r="V12" t="inlineStr">
        <is>
          <t>2007-09-05</t>
        </is>
      </c>
      <c r="W12" t="inlineStr">
        <is>
          <t>1998-10-20</t>
        </is>
      </c>
      <c r="X12" t="inlineStr">
        <is>
          <t>1998-10-20</t>
        </is>
      </c>
      <c r="Y12" t="n">
        <v>692</v>
      </c>
      <c r="Z12" t="n">
        <v>539</v>
      </c>
      <c r="AA12" t="n">
        <v>543</v>
      </c>
      <c r="AB12" t="n">
        <v>5</v>
      </c>
      <c r="AC12" t="n">
        <v>5</v>
      </c>
      <c r="AD12" t="n">
        <v>34</v>
      </c>
      <c r="AE12" t="n">
        <v>34</v>
      </c>
      <c r="AF12" t="n">
        <v>15</v>
      </c>
      <c r="AG12" t="n">
        <v>15</v>
      </c>
      <c r="AH12" t="n">
        <v>8</v>
      </c>
      <c r="AI12" t="n">
        <v>8</v>
      </c>
      <c r="AJ12" t="n">
        <v>17</v>
      </c>
      <c r="AK12" t="n">
        <v>17</v>
      </c>
      <c r="AL12" t="n">
        <v>4</v>
      </c>
      <c r="AM12" t="n">
        <v>4</v>
      </c>
      <c r="AN12" t="n">
        <v>0</v>
      </c>
      <c r="AO12" t="n">
        <v>0</v>
      </c>
      <c r="AP12" t="inlineStr">
        <is>
          <t>No</t>
        </is>
      </c>
      <c r="AQ12" t="inlineStr">
        <is>
          <t>No</t>
        </is>
      </c>
      <c r="AS12">
        <f>HYPERLINK("https://creighton-primo.hosted.exlibrisgroup.com/primo-explore/search?tab=default_tab&amp;search_scope=EVERYTHING&amp;vid=01CRU&amp;lang=en_US&amp;offset=0&amp;query=any,contains,991002715019702656","Catalog Record")</f>
        <v/>
      </c>
      <c r="AT12">
        <f>HYPERLINK("http://www.worldcat.org/oclc/35620376","WorldCat Record")</f>
        <v/>
      </c>
      <c r="AU12" t="inlineStr">
        <is>
          <t>40423742:eng</t>
        </is>
      </c>
      <c r="AV12" t="inlineStr">
        <is>
          <t>35620376</t>
        </is>
      </c>
      <c r="AW12" t="inlineStr">
        <is>
          <t>991002715019702656</t>
        </is>
      </c>
      <c r="AX12" t="inlineStr">
        <is>
          <t>991002715019702656</t>
        </is>
      </c>
      <c r="AY12" t="inlineStr">
        <is>
          <t>2259844810002656</t>
        </is>
      </c>
      <c r="AZ12" t="inlineStr">
        <is>
          <t>BOOK</t>
        </is>
      </c>
      <c r="BB12" t="inlineStr">
        <is>
          <t>9780521582261</t>
        </is>
      </c>
      <c r="BC12" t="inlineStr">
        <is>
          <t>32285003474805</t>
        </is>
      </c>
      <c r="BD12" t="inlineStr">
        <is>
          <t>893780126</t>
        </is>
      </c>
    </row>
    <row r="13">
      <c r="A13" t="inlineStr">
        <is>
          <t>No</t>
        </is>
      </c>
      <c r="B13" t="inlineStr">
        <is>
          <t>DB2241.H38 A513 1990</t>
        </is>
      </c>
      <c r="C13" t="inlineStr">
        <is>
          <t>0                      DB 2241000H  38                 A  513         1990</t>
        </is>
      </c>
      <c r="D13" t="inlineStr">
        <is>
          <t>Disturbing the peace : a conversation with Karel Hvizdala / Vaclav Havel ; translated from the Czech and with an introduction by Paul Wilson.</t>
        </is>
      </c>
      <c r="F13" t="inlineStr">
        <is>
          <t>No</t>
        </is>
      </c>
      <c r="G13" t="inlineStr">
        <is>
          <t>1</t>
        </is>
      </c>
      <c r="H13" t="inlineStr">
        <is>
          <t>No</t>
        </is>
      </c>
      <c r="I13" t="inlineStr">
        <is>
          <t>No</t>
        </is>
      </c>
      <c r="J13" t="inlineStr">
        <is>
          <t>0</t>
        </is>
      </c>
      <c r="K13" t="inlineStr">
        <is>
          <t>Havel, Václav.</t>
        </is>
      </c>
      <c r="L13" t="inlineStr">
        <is>
          <t>New York : Knopf, 1990.</t>
        </is>
      </c>
      <c r="M13" t="inlineStr">
        <is>
          <t>1990</t>
        </is>
      </c>
      <c r="N13" t="inlineStr">
        <is>
          <t>1st American ed.</t>
        </is>
      </c>
      <c r="O13" t="inlineStr">
        <is>
          <t>eng</t>
        </is>
      </c>
      <c r="P13" t="inlineStr">
        <is>
          <t>nyu</t>
        </is>
      </c>
      <c r="R13" t="inlineStr">
        <is>
          <t xml:space="preserve">DB </t>
        </is>
      </c>
      <c r="S13" t="n">
        <v>5</v>
      </c>
      <c r="T13" t="n">
        <v>5</v>
      </c>
      <c r="U13" t="inlineStr">
        <is>
          <t>2006-02-02</t>
        </is>
      </c>
      <c r="V13" t="inlineStr">
        <is>
          <t>2006-02-02</t>
        </is>
      </c>
      <c r="W13" t="inlineStr">
        <is>
          <t>1990-08-17</t>
        </is>
      </c>
      <c r="X13" t="inlineStr">
        <is>
          <t>1990-08-17</t>
        </is>
      </c>
      <c r="Y13" t="n">
        <v>1418</v>
      </c>
      <c r="Z13" t="n">
        <v>1329</v>
      </c>
      <c r="AA13" t="n">
        <v>1534</v>
      </c>
      <c r="AB13" t="n">
        <v>10</v>
      </c>
      <c r="AC13" t="n">
        <v>14</v>
      </c>
      <c r="AD13" t="n">
        <v>37</v>
      </c>
      <c r="AE13" t="n">
        <v>47</v>
      </c>
      <c r="AF13" t="n">
        <v>13</v>
      </c>
      <c r="AG13" t="n">
        <v>16</v>
      </c>
      <c r="AH13" t="n">
        <v>10</v>
      </c>
      <c r="AI13" t="n">
        <v>11</v>
      </c>
      <c r="AJ13" t="n">
        <v>16</v>
      </c>
      <c r="AK13" t="n">
        <v>20</v>
      </c>
      <c r="AL13" t="n">
        <v>6</v>
      </c>
      <c r="AM13" t="n">
        <v>10</v>
      </c>
      <c r="AN13" t="n">
        <v>1</v>
      </c>
      <c r="AO13" t="n">
        <v>2</v>
      </c>
      <c r="AP13" t="inlineStr">
        <is>
          <t>No</t>
        </is>
      </c>
      <c r="AQ13" t="inlineStr">
        <is>
          <t>Yes</t>
        </is>
      </c>
      <c r="AR13">
        <f>HYPERLINK("http://catalog.hathitrust.org/Record/002171069","HathiTrust Record")</f>
        <v/>
      </c>
      <c r="AS13">
        <f>HYPERLINK("https://creighton-primo.hosted.exlibrisgroup.com/primo-explore/search?tab=default_tab&amp;search_scope=EVERYTHING&amp;vid=01CRU&amp;lang=en_US&amp;offset=0&amp;query=any,contains,991001683569702656","Catalog Record")</f>
        <v/>
      </c>
      <c r="AT13">
        <f>HYPERLINK("http://www.worldcat.org/oclc/21375999","WorldCat Record")</f>
        <v/>
      </c>
      <c r="AU13" t="inlineStr">
        <is>
          <t>4535713823:eng</t>
        </is>
      </c>
      <c r="AV13" t="inlineStr">
        <is>
          <t>21375999</t>
        </is>
      </c>
      <c r="AW13" t="inlineStr">
        <is>
          <t>991001683569702656</t>
        </is>
      </c>
      <c r="AX13" t="inlineStr">
        <is>
          <t>991001683569702656</t>
        </is>
      </c>
      <c r="AY13" t="inlineStr">
        <is>
          <t>2265151600002656</t>
        </is>
      </c>
      <c r="AZ13" t="inlineStr">
        <is>
          <t>BOOK</t>
        </is>
      </c>
      <c r="BB13" t="inlineStr">
        <is>
          <t>9780394584416</t>
        </is>
      </c>
      <c r="BC13" t="inlineStr">
        <is>
          <t>32285000244433</t>
        </is>
      </c>
      <c r="BD13" t="inlineStr">
        <is>
          <t>893785309</t>
        </is>
      </c>
    </row>
    <row r="14">
      <c r="A14" t="inlineStr">
        <is>
          <t>No</t>
        </is>
      </c>
      <c r="B14" t="inlineStr">
        <is>
          <t>DB2241.H38 K7513 1993b</t>
        </is>
      </c>
      <c r="C14" t="inlineStr">
        <is>
          <t>0                      DB 2241000H  38                 K  7513        1993b</t>
        </is>
      </c>
      <c r="D14" t="inlineStr">
        <is>
          <t>Václav Havel : the authorized biography / Eda Kriseová ; translated by Caleb Crain.</t>
        </is>
      </c>
      <c r="F14" t="inlineStr">
        <is>
          <t>No</t>
        </is>
      </c>
      <c r="G14" t="inlineStr">
        <is>
          <t>1</t>
        </is>
      </c>
      <c r="H14" t="inlineStr">
        <is>
          <t>No</t>
        </is>
      </c>
      <c r="I14" t="inlineStr">
        <is>
          <t>No</t>
        </is>
      </c>
      <c r="J14" t="inlineStr">
        <is>
          <t>0</t>
        </is>
      </c>
      <c r="K14" t="inlineStr">
        <is>
          <t>Kriseová, Eda, 1940-</t>
        </is>
      </c>
      <c r="L14" t="inlineStr">
        <is>
          <t>New York : St. Martin's Press, 1993.</t>
        </is>
      </c>
      <c r="M14" t="inlineStr">
        <is>
          <t>1993</t>
        </is>
      </c>
      <c r="N14" t="inlineStr">
        <is>
          <t>1st ed.</t>
        </is>
      </c>
      <c r="O14" t="inlineStr">
        <is>
          <t>eng</t>
        </is>
      </c>
      <c r="P14" t="inlineStr">
        <is>
          <t>nyu</t>
        </is>
      </c>
      <c r="R14" t="inlineStr">
        <is>
          <t xml:space="preserve">DB </t>
        </is>
      </c>
      <c r="S14" t="n">
        <v>3</v>
      </c>
      <c r="T14" t="n">
        <v>3</v>
      </c>
      <c r="U14" t="inlineStr">
        <is>
          <t>2006-02-02</t>
        </is>
      </c>
      <c r="V14" t="inlineStr">
        <is>
          <t>2006-02-02</t>
        </is>
      </c>
      <c r="W14" t="inlineStr">
        <is>
          <t>1993-10-26</t>
        </is>
      </c>
      <c r="X14" t="inlineStr">
        <is>
          <t>1993-10-26</t>
        </is>
      </c>
      <c r="Y14" t="n">
        <v>622</v>
      </c>
      <c r="Z14" t="n">
        <v>573</v>
      </c>
      <c r="AA14" t="n">
        <v>581</v>
      </c>
      <c r="AB14" t="n">
        <v>8</v>
      </c>
      <c r="AC14" t="n">
        <v>8</v>
      </c>
      <c r="AD14" t="n">
        <v>24</v>
      </c>
      <c r="AE14" t="n">
        <v>24</v>
      </c>
      <c r="AF14" t="n">
        <v>3</v>
      </c>
      <c r="AG14" t="n">
        <v>3</v>
      </c>
      <c r="AH14" t="n">
        <v>10</v>
      </c>
      <c r="AI14" t="n">
        <v>10</v>
      </c>
      <c r="AJ14" t="n">
        <v>12</v>
      </c>
      <c r="AK14" t="n">
        <v>12</v>
      </c>
      <c r="AL14" t="n">
        <v>5</v>
      </c>
      <c r="AM14" t="n">
        <v>5</v>
      </c>
      <c r="AN14" t="n">
        <v>0</v>
      </c>
      <c r="AO14" t="n">
        <v>0</v>
      </c>
      <c r="AP14" t="inlineStr">
        <is>
          <t>No</t>
        </is>
      </c>
      <c r="AQ14" t="inlineStr">
        <is>
          <t>No</t>
        </is>
      </c>
      <c r="AS14">
        <f>HYPERLINK("https://creighton-primo.hosted.exlibrisgroup.com/primo-explore/search?tab=default_tab&amp;search_scope=EVERYTHING&amp;vid=01CRU&amp;lang=en_US&amp;offset=0&amp;query=any,contains,991002241539702656","Catalog Record")</f>
        <v/>
      </c>
      <c r="AT14">
        <f>HYPERLINK("http://www.worldcat.org/oclc/27383051","WorldCat Record")</f>
        <v/>
      </c>
      <c r="AU14" t="inlineStr">
        <is>
          <t>4495008454:eng</t>
        </is>
      </c>
      <c r="AV14" t="inlineStr">
        <is>
          <t>27383051</t>
        </is>
      </c>
      <c r="AW14" t="inlineStr">
        <is>
          <t>991002241539702656</t>
        </is>
      </c>
      <c r="AX14" t="inlineStr">
        <is>
          <t>991002241539702656</t>
        </is>
      </c>
      <c r="AY14" t="inlineStr">
        <is>
          <t>2266504390002656</t>
        </is>
      </c>
      <c r="AZ14" t="inlineStr">
        <is>
          <t>BOOK</t>
        </is>
      </c>
      <c r="BB14" t="inlineStr">
        <is>
          <t>9780312103170</t>
        </is>
      </c>
      <c r="BC14" t="inlineStr">
        <is>
          <t>32285001788446</t>
        </is>
      </c>
      <c r="BD14" t="inlineStr">
        <is>
          <t>893421102</t>
        </is>
      </c>
    </row>
    <row r="15">
      <c r="A15" t="inlineStr">
        <is>
          <t>No</t>
        </is>
      </c>
      <c r="B15" t="inlineStr">
        <is>
          <t>DB2763 .K57 1995</t>
        </is>
      </c>
      <c r="C15" t="inlineStr">
        <is>
          <t>0                      DB 2763000K  57          1995</t>
        </is>
      </c>
      <c r="D15" t="inlineStr">
        <is>
          <t>A history of Slovakia : the struggle for survival / Stanislav J. Kirschbaum.</t>
        </is>
      </c>
      <c r="F15" t="inlineStr">
        <is>
          <t>No</t>
        </is>
      </c>
      <c r="G15" t="inlineStr">
        <is>
          <t>1</t>
        </is>
      </c>
      <c r="H15" t="inlineStr">
        <is>
          <t>No</t>
        </is>
      </c>
      <c r="I15" t="inlineStr">
        <is>
          <t>No</t>
        </is>
      </c>
      <c r="J15" t="inlineStr">
        <is>
          <t>0</t>
        </is>
      </c>
      <c r="K15" t="inlineStr">
        <is>
          <t>Kirschbaum, Stanislav J.</t>
        </is>
      </c>
      <c r="L15" t="inlineStr">
        <is>
          <t>New York : St. Martin's Press, 1995.</t>
        </is>
      </c>
      <c r="M15" t="inlineStr">
        <is>
          <t>1995</t>
        </is>
      </c>
      <c r="O15" t="inlineStr">
        <is>
          <t>eng</t>
        </is>
      </c>
      <c r="P15" t="inlineStr">
        <is>
          <t>nyu</t>
        </is>
      </c>
      <c r="R15" t="inlineStr">
        <is>
          <t xml:space="preserve">DB </t>
        </is>
      </c>
      <c r="S15" t="n">
        <v>2</v>
      </c>
      <c r="T15" t="n">
        <v>2</v>
      </c>
      <c r="U15" t="inlineStr">
        <is>
          <t>1997-10-20</t>
        </is>
      </c>
      <c r="V15" t="inlineStr">
        <is>
          <t>1997-10-20</t>
        </is>
      </c>
      <c r="W15" t="inlineStr">
        <is>
          <t>1995-04-17</t>
        </is>
      </c>
      <c r="X15" t="inlineStr">
        <is>
          <t>1995-04-17</t>
        </is>
      </c>
      <c r="Y15" t="n">
        <v>855</v>
      </c>
      <c r="Z15" t="n">
        <v>766</v>
      </c>
      <c r="AA15" t="n">
        <v>1000</v>
      </c>
      <c r="AB15" t="n">
        <v>6</v>
      </c>
      <c r="AC15" t="n">
        <v>9</v>
      </c>
      <c r="AD15" t="n">
        <v>32</v>
      </c>
      <c r="AE15" t="n">
        <v>38</v>
      </c>
      <c r="AF15" t="n">
        <v>11</v>
      </c>
      <c r="AG15" t="n">
        <v>13</v>
      </c>
      <c r="AH15" t="n">
        <v>8</v>
      </c>
      <c r="AI15" t="n">
        <v>9</v>
      </c>
      <c r="AJ15" t="n">
        <v>19</v>
      </c>
      <c r="AK15" t="n">
        <v>20</v>
      </c>
      <c r="AL15" t="n">
        <v>4</v>
      </c>
      <c r="AM15" t="n">
        <v>7</v>
      </c>
      <c r="AN15" t="n">
        <v>0</v>
      </c>
      <c r="AO15" t="n">
        <v>0</v>
      </c>
      <c r="AP15" t="inlineStr">
        <is>
          <t>No</t>
        </is>
      </c>
      <c r="AQ15" t="inlineStr">
        <is>
          <t>No</t>
        </is>
      </c>
      <c r="AS15">
        <f>HYPERLINK("https://creighton-primo.hosted.exlibrisgroup.com/primo-explore/search?tab=default_tab&amp;search_scope=EVERYTHING&amp;vid=01CRU&amp;lang=en_US&amp;offset=0&amp;query=any,contains,991002369099702656","Catalog Record")</f>
        <v/>
      </c>
      <c r="AT15">
        <f>HYPERLINK("http://www.worldcat.org/oclc/30783512","WorldCat Record")</f>
        <v/>
      </c>
      <c r="AU15" t="inlineStr">
        <is>
          <t>29522:eng</t>
        </is>
      </c>
      <c r="AV15" t="inlineStr">
        <is>
          <t>30783512</t>
        </is>
      </c>
      <c r="AW15" t="inlineStr">
        <is>
          <t>991002369099702656</t>
        </is>
      </c>
      <c r="AX15" t="inlineStr">
        <is>
          <t>991002369099702656</t>
        </is>
      </c>
      <c r="AY15" t="inlineStr">
        <is>
          <t>2265368400002656</t>
        </is>
      </c>
      <c r="AZ15" t="inlineStr">
        <is>
          <t>BOOK</t>
        </is>
      </c>
      <c r="BB15" t="inlineStr">
        <is>
          <t>9780312104030</t>
        </is>
      </c>
      <c r="BC15" t="inlineStr">
        <is>
          <t>32285002018686</t>
        </is>
      </c>
      <c r="BD15" t="inlineStr">
        <is>
          <t>893792374</t>
        </is>
      </c>
    </row>
    <row r="16">
      <c r="A16" t="inlineStr">
        <is>
          <t>No</t>
        </is>
      </c>
      <c r="B16" t="inlineStr">
        <is>
          <t>DB36 .W43 1995</t>
        </is>
      </c>
      <c r="C16" t="inlineStr">
        <is>
          <t>0                      DB 0036000W  43          1995</t>
        </is>
      </c>
      <c r="D16" t="inlineStr">
        <is>
          <t>The Habsburgs : embodying empire / Andrew Wheatcroft.</t>
        </is>
      </c>
      <c r="F16" t="inlineStr">
        <is>
          <t>No</t>
        </is>
      </c>
      <c r="G16" t="inlineStr">
        <is>
          <t>1</t>
        </is>
      </c>
      <c r="H16" t="inlineStr">
        <is>
          <t>No</t>
        </is>
      </c>
      <c r="I16" t="inlineStr">
        <is>
          <t>No</t>
        </is>
      </c>
      <c r="J16" t="inlineStr">
        <is>
          <t>0</t>
        </is>
      </c>
      <c r="K16" t="inlineStr">
        <is>
          <t>Wheatcroft, Andrew.</t>
        </is>
      </c>
      <c r="L16" t="inlineStr">
        <is>
          <t>London ; New York, N.Y. : Viking, 1995.</t>
        </is>
      </c>
      <c r="M16" t="inlineStr">
        <is>
          <t>1995</t>
        </is>
      </c>
      <c r="N16" t="inlineStr">
        <is>
          <t>1st ed.</t>
        </is>
      </c>
      <c r="O16" t="inlineStr">
        <is>
          <t>eng</t>
        </is>
      </c>
      <c r="P16" t="inlineStr">
        <is>
          <t>enk</t>
        </is>
      </c>
      <c r="R16" t="inlineStr">
        <is>
          <t xml:space="preserve">DB </t>
        </is>
      </c>
      <c r="S16" t="n">
        <v>1</v>
      </c>
      <c r="T16" t="n">
        <v>1</v>
      </c>
      <c r="U16" t="inlineStr">
        <is>
          <t>2008-06-10</t>
        </is>
      </c>
      <c r="V16" t="inlineStr">
        <is>
          <t>2008-06-10</t>
        </is>
      </c>
      <c r="W16" t="inlineStr">
        <is>
          <t>2008-06-10</t>
        </is>
      </c>
      <c r="X16" t="inlineStr">
        <is>
          <t>2008-06-10</t>
        </is>
      </c>
      <c r="Y16" t="n">
        <v>648</v>
      </c>
      <c r="Z16" t="n">
        <v>503</v>
      </c>
      <c r="AA16" t="n">
        <v>658</v>
      </c>
      <c r="AB16" t="n">
        <v>9</v>
      </c>
      <c r="AC16" t="n">
        <v>10</v>
      </c>
      <c r="AD16" t="n">
        <v>20</v>
      </c>
      <c r="AE16" t="n">
        <v>22</v>
      </c>
      <c r="AF16" t="n">
        <v>5</v>
      </c>
      <c r="AG16" t="n">
        <v>6</v>
      </c>
      <c r="AH16" t="n">
        <v>5</v>
      </c>
      <c r="AI16" t="n">
        <v>5</v>
      </c>
      <c r="AJ16" t="n">
        <v>11</v>
      </c>
      <c r="AK16" t="n">
        <v>11</v>
      </c>
      <c r="AL16" t="n">
        <v>5</v>
      </c>
      <c r="AM16" t="n">
        <v>6</v>
      </c>
      <c r="AN16" t="n">
        <v>0</v>
      </c>
      <c r="AO16" t="n">
        <v>0</v>
      </c>
      <c r="AP16" t="inlineStr">
        <is>
          <t>No</t>
        </is>
      </c>
      <c r="AQ16" t="inlineStr">
        <is>
          <t>Yes</t>
        </is>
      </c>
      <c r="AR16">
        <f>HYPERLINK("http://catalog.hathitrust.org/Record/003021516","HathiTrust Record")</f>
        <v/>
      </c>
      <c r="AS16">
        <f>HYPERLINK("https://creighton-primo.hosted.exlibrisgroup.com/primo-explore/search?tab=default_tab&amp;search_scope=EVERYTHING&amp;vid=01CRU&amp;lang=en_US&amp;offset=0&amp;query=any,contains,991005232919702656","Catalog Record")</f>
        <v/>
      </c>
      <c r="AT16">
        <f>HYPERLINK("http://www.worldcat.org/oclc/33939771","WorldCat Record")</f>
        <v/>
      </c>
      <c r="AU16" t="inlineStr">
        <is>
          <t>15977729:eng</t>
        </is>
      </c>
      <c r="AV16" t="inlineStr">
        <is>
          <t>33939771</t>
        </is>
      </c>
      <c r="AW16" t="inlineStr">
        <is>
          <t>991005232919702656</t>
        </is>
      </c>
      <c r="AX16" t="inlineStr">
        <is>
          <t>991005232919702656</t>
        </is>
      </c>
      <c r="AY16" t="inlineStr">
        <is>
          <t>2262518790002656</t>
        </is>
      </c>
      <c r="AZ16" t="inlineStr">
        <is>
          <t>BOOK</t>
        </is>
      </c>
      <c r="BB16" t="inlineStr">
        <is>
          <t>9780670854905</t>
        </is>
      </c>
      <c r="BC16" t="inlineStr">
        <is>
          <t>32285005444111</t>
        </is>
      </c>
      <c r="BD16" t="inlineStr">
        <is>
          <t>893789657</t>
        </is>
      </c>
    </row>
    <row r="17">
      <c r="A17" t="inlineStr">
        <is>
          <t>No</t>
        </is>
      </c>
      <c r="B17" t="inlineStr">
        <is>
          <t>DB36.1 .W313</t>
        </is>
      </c>
      <c r="C17" t="inlineStr">
        <is>
          <t>0                      DB 0036100W  313</t>
        </is>
      </c>
      <c r="D17" t="inlineStr">
        <is>
          <t>The House of Habsburg; six hundred years of a European dynasty. Translated from the original German by Cathleen and Hans Epstein.</t>
        </is>
      </c>
      <c r="F17" t="inlineStr">
        <is>
          <t>No</t>
        </is>
      </c>
      <c r="G17" t="inlineStr">
        <is>
          <t>1</t>
        </is>
      </c>
      <c r="H17" t="inlineStr">
        <is>
          <t>No</t>
        </is>
      </c>
      <c r="I17" t="inlineStr">
        <is>
          <t>No</t>
        </is>
      </c>
      <c r="J17" t="inlineStr">
        <is>
          <t>0</t>
        </is>
      </c>
      <c r="K17" t="inlineStr">
        <is>
          <t>Wandruszka, Adam, 1914-1997.</t>
        </is>
      </c>
      <c r="L17" t="inlineStr">
        <is>
          <t>Garden City, N.Y., Doubleday [1964]</t>
        </is>
      </c>
      <c r="M17" t="inlineStr">
        <is>
          <t>1964</t>
        </is>
      </c>
      <c r="N17" t="inlineStr">
        <is>
          <t>[1st ed. in the U.S.A.]</t>
        </is>
      </c>
      <c r="O17" t="inlineStr">
        <is>
          <t>eng</t>
        </is>
      </c>
      <c r="P17" t="inlineStr">
        <is>
          <t>nyu</t>
        </is>
      </c>
      <c r="R17" t="inlineStr">
        <is>
          <t xml:space="preserve">DB </t>
        </is>
      </c>
      <c r="S17" t="n">
        <v>1</v>
      </c>
      <c r="T17" t="n">
        <v>1</v>
      </c>
      <c r="U17" t="inlineStr">
        <is>
          <t>2005-03-03</t>
        </is>
      </c>
      <c r="V17" t="inlineStr">
        <is>
          <t>2005-03-03</t>
        </is>
      </c>
      <c r="W17" t="inlineStr">
        <is>
          <t>1996-10-22</t>
        </is>
      </c>
      <c r="X17" t="inlineStr">
        <is>
          <t>1996-10-22</t>
        </is>
      </c>
      <c r="Y17" t="n">
        <v>641</v>
      </c>
      <c r="Z17" t="n">
        <v>608</v>
      </c>
      <c r="AA17" t="n">
        <v>891</v>
      </c>
      <c r="AB17" t="n">
        <v>8</v>
      </c>
      <c r="AC17" t="n">
        <v>9</v>
      </c>
      <c r="AD17" t="n">
        <v>23</v>
      </c>
      <c r="AE17" t="n">
        <v>34</v>
      </c>
      <c r="AF17" t="n">
        <v>9</v>
      </c>
      <c r="AG17" t="n">
        <v>13</v>
      </c>
      <c r="AH17" t="n">
        <v>3</v>
      </c>
      <c r="AI17" t="n">
        <v>7</v>
      </c>
      <c r="AJ17" t="n">
        <v>9</v>
      </c>
      <c r="AK17" t="n">
        <v>13</v>
      </c>
      <c r="AL17" t="n">
        <v>6</v>
      </c>
      <c r="AM17" t="n">
        <v>7</v>
      </c>
      <c r="AN17" t="n">
        <v>0</v>
      </c>
      <c r="AO17" t="n">
        <v>0</v>
      </c>
      <c r="AP17" t="inlineStr">
        <is>
          <t>No</t>
        </is>
      </c>
      <c r="AQ17" t="inlineStr">
        <is>
          <t>Yes</t>
        </is>
      </c>
      <c r="AR17">
        <f>HYPERLINK("http://catalog.hathitrust.org/Record/001599617","HathiTrust Record")</f>
        <v/>
      </c>
      <c r="AS17">
        <f>HYPERLINK("https://creighton-primo.hosted.exlibrisgroup.com/primo-explore/search?tab=default_tab&amp;search_scope=EVERYTHING&amp;vid=01CRU&amp;lang=en_US&amp;offset=0&amp;query=any,contains,991003727509702656","Catalog Record")</f>
        <v/>
      </c>
      <c r="AT17">
        <f>HYPERLINK("http://www.worldcat.org/oclc/1376309","WorldCat Record")</f>
        <v/>
      </c>
      <c r="AU17" t="inlineStr">
        <is>
          <t>3901031299:eng</t>
        </is>
      </c>
      <c r="AV17" t="inlineStr">
        <is>
          <t>1376309</t>
        </is>
      </c>
      <c r="AW17" t="inlineStr">
        <is>
          <t>991003727509702656</t>
        </is>
      </c>
      <c r="AX17" t="inlineStr">
        <is>
          <t>991003727509702656</t>
        </is>
      </c>
      <c r="AY17" t="inlineStr">
        <is>
          <t>2257442130002656</t>
        </is>
      </c>
      <c r="AZ17" t="inlineStr">
        <is>
          <t>BOOK</t>
        </is>
      </c>
      <c r="BC17" t="inlineStr">
        <is>
          <t>32285002376183</t>
        </is>
      </c>
      <c r="BD17" t="inlineStr">
        <is>
          <t>893881473</t>
        </is>
      </c>
    </row>
    <row r="18">
      <c r="A18" t="inlineStr">
        <is>
          <t>No</t>
        </is>
      </c>
      <c r="B18" t="inlineStr">
        <is>
          <t>DB71 .C7 1970</t>
        </is>
      </c>
      <c r="C18" t="inlineStr">
        <is>
          <t>0                      DB 0071000C  7           1970</t>
        </is>
      </c>
      <c r="D18" t="inlineStr">
        <is>
          <t>Maria Theresa.</t>
        </is>
      </c>
      <c r="F18" t="inlineStr">
        <is>
          <t>No</t>
        </is>
      </c>
      <c r="G18" t="inlineStr">
        <is>
          <t>1</t>
        </is>
      </c>
      <c r="H18" t="inlineStr">
        <is>
          <t>No</t>
        </is>
      </c>
      <c r="I18" t="inlineStr">
        <is>
          <t>No</t>
        </is>
      </c>
      <c r="J18" t="inlineStr">
        <is>
          <t>0</t>
        </is>
      </c>
      <c r="K18" t="inlineStr">
        <is>
          <t>Crankshaw, Edward.</t>
        </is>
      </c>
      <c r="L18" t="inlineStr">
        <is>
          <t>New York : Viking Press, [1970, c1969]</t>
        </is>
      </c>
      <c r="M18" t="inlineStr">
        <is>
          <t>1970</t>
        </is>
      </c>
      <c r="O18" t="inlineStr">
        <is>
          <t>eng</t>
        </is>
      </c>
      <c r="P18" t="inlineStr">
        <is>
          <t>nyu</t>
        </is>
      </c>
      <c r="R18" t="inlineStr">
        <is>
          <t xml:space="preserve">DB </t>
        </is>
      </c>
      <c r="S18" t="n">
        <v>4</v>
      </c>
      <c r="T18" t="n">
        <v>4</v>
      </c>
      <c r="U18" t="inlineStr">
        <is>
          <t>1993-04-23</t>
        </is>
      </c>
      <c r="V18" t="inlineStr">
        <is>
          <t>1993-04-23</t>
        </is>
      </c>
      <c r="W18" t="inlineStr">
        <is>
          <t>1990-06-08</t>
        </is>
      </c>
      <c r="X18" t="inlineStr">
        <is>
          <t>1990-06-08</t>
        </is>
      </c>
      <c r="Y18" t="n">
        <v>964</v>
      </c>
      <c r="Z18" t="n">
        <v>932</v>
      </c>
      <c r="AA18" t="n">
        <v>1116</v>
      </c>
      <c r="AB18" t="n">
        <v>8</v>
      </c>
      <c r="AC18" t="n">
        <v>9</v>
      </c>
      <c r="AD18" t="n">
        <v>28</v>
      </c>
      <c r="AE18" t="n">
        <v>34</v>
      </c>
      <c r="AF18" t="n">
        <v>11</v>
      </c>
      <c r="AG18" t="n">
        <v>14</v>
      </c>
      <c r="AH18" t="n">
        <v>5</v>
      </c>
      <c r="AI18" t="n">
        <v>6</v>
      </c>
      <c r="AJ18" t="n">
        <v>15</v>
      </c>
      <c r="AK18" t="n">
        <v>18</v>
      </c>
      <c r="AL18" t="n">
        <v>4</v>
      </c>
      <c r="AM18" t="n">
        <v>5</v>
      </c>
      <c r="AN18" t="n">
        <v>0</v>
      </c>
      <c r="AO18" t="n">
        <v>0</v>
      </c>
      <c r="AP18" t="inlineStr">
        <is>
          <t>No</t>
        </is>
      </c>
      <c r="AQ18" t="inlineStr">
        <is>
          <t>Yes</t>
        </is>
      </c>
      <c r="AR18">
        <f>HYPERLINK("http://catalog.hathitrust.org/Record/001604381","HathiTrust Record")</f>
        <v/>
      </c>
      <c r="AS18">
        <f>HYPERLINK("https://creighton-primo.hosted.exlibrisgroup.com/primo-explore/search?tab=default_tab&amp;search_scope=EVERYTHING&amp;vid=01CRU&amp;lang=en_US&amp;offset=0&amp;query=any,contains,991000158119702656","Catalog Record")</f>
        <v/>
      </c>
      <c r="AT18">
        <f>HYPERLINK("http://www.worldcat.org/oclc/60648","WorldCat Record")</f>
        <v/>
      </c>
      <c r="AU18" t="inlineStr">
        <is>
          <t>1221668:eng</t>
        </is>
      </c>
      <c r="AV18" t="inlineStr">
        <is>
          <t>60648</t>
        </is>
      </c>
      <c r="AW18" t="inlineStr">
        <is>
          <t>991000158119702656</t>
        </is>
      </c>
      <c r="AX18" t="inlineStr">
        <is>
          <t>991000158119702656</t>
        </is>
      </c>
      <c r="AY18" t="inlineStr">
        <is>
          <t>2271702380002656</t>
        </is>
      </c>
      <c r="AZ18" t="inlineStr">
        <is>
          <t>BOOK</t>
        </is>
      </c>
      <c r="BB18" t="inlineStr">
        <is>
          <t>9780670456314</t>
        </is>
      </c>
      <c r="BC18" t="inlineStr">
        <is>
          <t>32285000177161</t>
        </is>
      </c>
      <c r="BD18" t="inlineStr">
        <is>
          <t>893884179</t>
        </is>
      </c>
    </row>
    <row r="19">
      <c r="A19" t="inlineStr">
        <is>
          <t>No</t>
        </is>
      </c>
      <c r="B19" t="inlineStr">
        <is>
          <t>DB71 .G63 1965</t>
        </is>
      </c>
      <c r="C19" t="inlineStr">
        <is>
          <t>0                      DB 0071000G  63          1965</t>
        </is>
      </c>
      <c r="D19" t="inlineStr">
        <is>
          <t>Maria Theresa : and other studies / [by] G.P. Gooch.</t>
        </is>
      </c>
      <c r="F19" t="inlineStr">
        <is>
          <t>No</t>
        </is>
      </c>
      <c r="G19" t="inlineStr">
        <is>
          <t>1</t>
        </is>
      </c>
      <c r="H19" t="inlineStr">
        <is>
          <t>No</t>
        </is>
      </c>
      <c r="I19" t="inlineStr">
        <is>
          <t>No</t>
        </is>
      </c>
      <c r="J19" t="inlineStr">
        <is>
          <t>0</t>
        </is>
      </c>
      <c r="K19" t="inlineStr">
        <is>
          <t>Gooch, G. P. (George Peabody), 1873-1968.</t>
        </is>
      </c>
      <c r="L19" t="inlineStr">
        <is>
          <t>[Hamden, Conn.] : Archon Books, 1965.</t>
        </is>
      </c>
      <c r="M19" t="inlineStr">
        <is>
          <t>1965</t>
        </is>
      </c>
      <c r="O19" t="inlineStr">
        <is>
          <t>eng</t>
        </is>
      </c>
      <c r="P19" t="inlineStr">
        <is>
          <t>ctu</t>
        </is>
      </c>
      <c r="R19" t="inlineStr">
        <is>
          <t xml:space="preserve">DB </t>
        </is>
      </c>
      <c r="S19" t="n">
        <v>2</v>
      </c>
      <c r="T19" t="n">
        <v>2</v>
      </c>
      <c r="U19" t="inlineStr">
        <is>
          <t>1993-04-23</t>
        </is>
      </c>
      <c r="V19" t="inlineStr">
        <is>
          <t>1993-04-23</t>
        </is>
      </c>
      <c r="W19" t="inlineStr">
        <is>
          <t>1992-04-15</t>
        </is>
      </c>
      <c r="X19" t="inlineStr">
        <is>
          <t>1992-04-15</t>
        </is>
      </c>
      <c r="Y19" t="n">
        <v>426</v>
      </c>
      <c r="Z19" t="n">
        <v>394</v>
      </c>
      <c r="AA19" t="n">
        <v>683</v>
      </c>
      <c r="AB19" t="n">
        <v>7</v>
      </c>
      <c r="AC19" t="n">
        <v>10</v>
      </c>
      <c r="AD19" t="n">
        <v>23</v>
      </c>
      <c r="AE19" t="n">
        <v>42</v>
      </c>
      <c r="AF19" t="n">
        <v>9</v>
      </c>
      <c r="AG19" t="n">
        <v>17</v>
      </c>
      <c r="AH19" t="n">
        <v>2</v>
      </c>
      <c r="AI19" t="n">
        <v>9</v>
      </c>
      <c r="AJ19" t="n">
        <v>10</v>
      </c>
      <c r="AK19" t="n">
        <v>17</v>
      </c>
      <c r="AL19" t="n">
        <v>5</v>
      </c>
      <c r="AM19" t="n">
        <v>8</v>
      </c>
      <c r="AN19" t="n">
        <v>0</v>
      </c>
      <c r="AO19" t="n">
        <v>0</v>
      </c>
      <c r="AP19" t="inlineStr">
        <is>
          <t>No</t>
        </is>
      </c>
      <c r="AQ19" t="inlineStr">
        <is>
          <t>Yes</t>
        </is>
      </c>
      <c r="AR19">
        <f>HYPERLINK("http://catalog.hathitrust.org/Record/001599750","HathiTrust Record")</f>
        <v/>
      </c>
      <c r="AS19">
        <f>HYPERLINK("https://creighton-primo.hosted.exlibrisgroup.com/primo-explore/search?tab=default_tab&amp;search_scope=EVERYTHING&amp;vid=01CRU&amp;lang=en_US&amp;offset=0&amp;query=any,contains,991002689199702656","Catalog Record")</f>
        <v/>
      </c>
      <c r="AT19">
        <f>HYPERLINK("http://www.worldcat.org/oclc/400999","WorldCat Record")</f>
        <v/>
      </c>
      <c r="AU19" t="inlineStr">
        <is>
          <t>2489916:eng</t>
        </is>
      </c>
      <c r="AV19" t="inlineStr">
        <is>
          <t>400999</t>
        </is>
      </c>
      <c r="AW19" t="inlineStr">
        <is>
          <t>991002689199702656</t>
        </is>
      </c>
      <c r="AX19" t="inlineStr">
        <is>
          <t>991002689199702656</t>
        </is>
      </c>
      <c r="AY19" t="inlineStr">
        <is>
          <t>2268802980002656</t>
        </is>
      </c>
      <c r="AZ19" t="inlineStr">
        <is>
          <t>BOOK</t>
        </is>
      </c>
      <c r="BC19" t="inlineStr">
        <is>
          <t>32285001062263</t>
        </is>
      </c>
      <c r="BD19" t="inlineStr">
        <is>
          <t>893804896</t>
        </is>
      </c>
    </row>
    <row r="20">
      <c r="A20" t="inlineStr">
        <is>
          <t>No</t>
        </is>
      </c>
      <c r="B20" t="inlineStr">
        <is>
          <t>DB77 .R6 1982</t>
        </is>
      </c>
      <c r="C20" t="inlineStr">
        <is>
          <t>0                      DB 0077000R  6           1982</t>
        </is>
      </c>
      <c r="D20" t="inlineStr">
        <is>
          <t>Napoleon's great adversaries : the Archduke Charles and the Austrian Army, 1792-1814 / Gunther E. Rothenberg.</t>
        </is>
      </c>
      <c r="F20" t="inlineStr">
        <is>
          <t>No</t>
        </is>
      </c>
      <c r="G20" t="inlineStr">
        <is>
          <t>1</t>
        </is>
      </c>
      <c r="H20" t="inlineStr">
        <is>
          <t>No</t>
        </is>
      </c>
      <c r="I20" t="inlineStr">
        <is>
          <t>No</t>
        </is>
      </c>
      <c r="J20" t="inlineStr">
        <is>
          <t>0</t>
        </is>
      </c>
      <c r="K20" t="inlineStr">
        <is>
          <t>Rothenberg, Gunther E., 1923-2004.</t>
        </is>
      </c>
      <c r="L20" t="inlineStr">
        <is>
          <t>Bloomington : Indiana University Press, c1982.</t>
        </is>
      </c>
      <c r="M20" t="inlineStr">
        <is>
          <t>1982</t>
        </is>
      </c>
      <c r="O20" t="inlineStr">
        <is>
          <t>eng</t>
        </is>
      </c>
      <c r="P20" t="inlineStr">
        <is>
          <t>inu</t>
        </is>
      </c>
      <c r="R20" t="inlineStr">
        <is>
          <t xml:space="preserve">DB </t>
        </is>
      </c>
      <c r="S20" t="n">
        <v>2</v>
      </c>
      <c r="T20" t="n">
        <v>2</v>
      </c>
      <c r="U20" t="inlineStr">
        <is>
          <t>1993-03-01</t>
        </is>
      </c>
      <c r="V20" t="inlineStr">
        <is>
          <t>1993-03-01</t>
        </is>
      </c>
      <c r="W20" t="inlineStr">
        <is>
          <t>1990-11-19</t>
        </is>
      </c>
      <c r="X20" t="inlineStr">
        <is>
          <t>1990-11-19</t>
        </is>
      </c>
      <c r="Y20" t="n">
        <v>355</v>
      </c>
      <c r="Z20" t="n">
        <v>316</v>
      </c>
      <c r="AA20" t="n">
        <v>368</v>
      </c>
      <c r="AB20" t="n">
        <v>5</v>
      </c>
      <c r="AC20" t="n">
        <v>6</v>
      </c>
      <c r="AD20" t="n">
        <v>21</v>
      </c>
      <c r="AE20" t="n">
        <v>24</v>
      </c>
      <c r="AF20" t="n">
        <v>6</v>
      </c>
      <c r="AG20" t="n">
        <v>7</v>
      </c>
      <c r="AH20" t="n">
        <v>7</v>
      </c>
      <c r="AI20" t="n">
        <v>8</v>
      </c>
      <c r="AJ20" t="n">
        <v>9</v>
      </c>
      <c r="AK20" t="n">
        <v>10</v>
      </c>
      <c r="AL20" t="n">
        <v>4</v>
      </c>
      <c r="AM20" t="n">
        <v>5</v>
      </c>
      <c r="AN20" t="n">
        <v>0</v>
      </c>
      <c r="AO20" t="n">
        <v>0</v>
      </c>
      <c r="AP20" t="inlineStr">
        <is>
          <t>No</t>
        </is>
      </c>
      <c r="AQ20" t="inlineStr">
        <is>
          <t>No</t>
        </is>
      </c>
      <c r="AS20">
        <f>HYPERLINK("https://creighton-primo.hosted.exlibrisgroup.com/primo-explore/search?tab=default_tab&amp;search_scope=EVERYTHING&amp;vid=01CRU&amp;lang=en_US&amp;offset=0&amp;query=any,contains,991005212919702656","Catalog Record")</f>
        <v/>
      </c>
      <c r="AT20">
        <f>HYPERLINK("http://www.worldcat.org/oclc/8170886","WorldCat Record")</f>
        <v/>
      </c>
      <c r="AU20" t="inlineStr">
        <is>
          <t>421720:eng</t>
        </is>
      </c>
      <c r="AV20" t="inlineStr">
        <is>
          <t>8170886</t>
        </is>
      </c>
      <c r="AW20" t="inlineStr">
        <is>
          <t>991005212919702656</t>
        </is>
      </c>
      <c r="AX20" t="inlineStr">
        <is>
          <t>991005212919702656</t>
        </is>
      </c>
      <c r="AY20" t="inlineStr">
        <is>
          <t>2256587030002656</t>
        </is>
      </c>
      <c r="AZ20" t="inlineStr">
        <is>
          <t>BOOK</t>
        </is>
      </c>
      <c r="BB20" t="inlineStr">
        <is>
          <t>9780253339690</t>
        </is>
      </c>
      <c r="BC20" t="inlineStr">
        <is>
          <t>32285000392703</t>
        </is>
      </c>
      <c r="BD20" t="inlineStr">
        <is>
          <t>893870705</t>
        </is>
      </c>
    </row>
    <row r="21">
      <c r="A21" t="inlineStr">
        <is>
          <t>No</t>
        </is>
      </c>
      <c r="B21" t="inlineStr">
        <is>
          <t>DB80.8.M57 K7</t>
        </is>
      </c>
      <c r="C21" t="inlineStr">
        <is>
          <t>0                      DB 0080800M  57                 K  7</t>
        </is>
      </c>
      <c r="D21" t="inlineStr">
        <is>
          <t>Metternich's German policy.</t>
        </is>
      </c>
      <c r="E21" t="inlineStr">
        <is>
          <t>V.1</t>
        </is>
      </c>
      <c r="F21" t="inlineStr">
        <is>
          <t>Yes</t>
        </is>
      </c>
      <c r="G21" t="inlineStr">
        <is>
          <t>1</t>
        </is>
      </c>
      <c r="H21" t="inlineStr">
        <is>
          <t>No</t>
        </is>
      </c>
      <c r="I21" t="inlineStr">
        <is>
          <t>No</t>
        </is>
      </c>
      <c r="J21" t="inlineStr">
        <is>
          <t>0</t>
        </is>
      </c>
      <c r="K21" t="inlineStr">
        <is>
          <t>Kraehe, Enno E.</t>
        </is>
      </c>
      <c r="L21" t="inlineStr">
        <is>
          <t>Princeton, N. J. : Princeton University Press, 1963-</t>
        </is>
      </c>
      <c r="M21" t="inlineStr">
        <is>
          <t>1963</t>
        </is>
      </c>
      <c r="O21" t="inlineStr">
        <is>
          <t>eng</t>
        </is>
      </c>
      <c r="P21" t="inlineStr">
        <is>
          <t>___</t>
        </is>
      </c>
      <c r="R21" t="inlineStr">
        <is>
          <t xml:space="preserve">DB </t>
        </is>
      </c>
      <c r="S21" t="n">
        <v>3</v>
      </c>
      <c r="T21" t="n">
        <v>6</v>
      </c>
      <c r="U21" t="inlineStr">
        <is>
          <t>1995-03-16</t>
        </is>
      </c>
      <c r="V21" t="inlineStr">
        <is>
          <t>1995-03-16</t>
        </is>
      </c>
      <c r="W21" t="inlineStr">
        <is>
          <t>1990-11-19</t>
        </is>
      </c>
      <c r="X21" t="inlineStr">
        <is>
          <t>1990-11-19</t>
        </is>
      </c>
      <c r="Y21" t="n">
        <v>876</v>
      </c>
      <c r="Z21" t="n">
        <v>771</v>
      </c>
      <c r="AA21" t="n">
        <v>904</v>
      </c>
      <c r="AB21" t="n">
        <v>5</v>
      </c>
      <c r="AC21" t="n">
        <v>5</v>
      </c>
      <c r="AD21" t="n">
        <v>40</v>
      </c>
      <c r="AE21" t="n">
        <v>42</v>
      </c>
      <c r="AF21" t="n">
        <v>18</v>
      </c>
      <c r="AG21" t="n">
        <v>20</v>
      </c>
      <c r="AH21" t="n">
        <v>9</v>
      </c>
      <c r="AI21" t="n">
        <v>10</v>
      </c>
      <c r="AJ21" t="n">
        <v>20</v>
      </c>
      <c r="AK21" t="n">
        <v>20</v>
      </c>
      <c r="AL21" t="n">
        <v>4</v>
      </c>
      <c r="AM21" t="n">
        <v>4</v>
      </c>
      <c r="AN21" t="n">
        <v>0</v>
      </c>
      <c r="AO21" t="n">
        <v>0</v>
      </c>
      <c r="AP21" t="inlineStr">
        <is>
          <t>No</t>
        </is>
      </c>
      <c r="AQ21" t="inlineStr">
        <is>
          <t>Yes</t>
        </is>
      </c>
      <c r="AR21">
        <f>HYPERLINK("http://catalog.hathitrust.org/Record/000117135","HathiTrust Record")</f>
        <v/>
      </c>
      <c r="AS21">
        <f>HYPERLINK("https://creighton-primo.hosted.exlibrisgroup.com/primo-explore/search?tab=default_tab&amp;search_scope=EVERYTHING&amp;vid=01CRU&amp;lang=en_US&amp;offset=0&amp;query=any,contains,991002982189702656","Catalog Record")</f>
        <v/>
      </c>
      <c r="AT21">
        <f>HYPERLINK("http://www.worldcat.org/oclc/555465","WorldCat Record")</f>
        <v/>
      </c>
      <c r="AU21" t="inlineStr">
        <is>
          <t>4451793623:eng</t>
        </is>
      </c>
      <c r="AV21" t="inlineStr">
        <is>
          <t>555465</t>
        </is>
      </c>
      <c r="AW21" t="inlineStr">
        <is>
          <t>991002982189702656</t>
        </is>
      </c>
      <c r="AX21" t="inlineStr">
        <is>
          <t>991002982189702656</t>
        </is>
      </c>
      <c r="AY21" t="inlineStr">
        <is>
          <t>2260366560002656</t>
        </is>
      </c>
      <c r="AZ21" t="inlineStr">
        <is>
          <t>BOOK</t>
        </is>
      </c>
      <c r="BC21" t="inlineStr">
        <is>
          <t>32285000392711</t>
        </is>
      </c>
      <c r="BD21" t="inlineStr">
        <is>
          <t>893867952</t>
        </is>
      </c>
    </row>
    <row r="22">
      <c r="A22" t="inlineStr">
        <is>
          <t>No</t>
        </is>
      </c>
      <c r="B22" t="inlineStr">
        <is>
          <t>DB80.8.M57 K7</t>
        </is>
      </c>
      <c r="C22" t="inlineStr">
        <is>
          <t>0                      DB 0080800M  57                 K  7</t>
        </is>
      </c>
      <c r="D22" t="inlineStr">
        <is>
          <t>Metternich's German policy.</t>
        </is>
      </c>
      <c r="E22" t="inlineStr">
        <is>
          <t>V.2</t>
        </is>
      </c>
      <c r="F22" t="inlineStr">
        <is>
          <t>Yes</t>
        </is>
      </c>
      <c r="G22" t="inlineStr">
        <is>
          <t>1</t>
        </is>
      </c>
      <c r="H22" t="inlineStr">
        <is>
          <t>No</t>
        </is>
      </c>
      <c r="I22" t="inlineStr">
        <is>
          <t>No</t>
        </is>
      </c>
      <c r="J22" t="inlineStr">
        <is>
          <t>0</t>
        </is>
      </c>
      <c r="K22" t="inlineStr">
        <is>
          <t>Kraehe, Enno E.</t>
        </is>
      </c>
      <c r="L22" t="inlineStr">
        <is>
          <t>Princeton, N. J. : Princeton University Press, 1963-</t>
        </is>
      </c>
      <c r="M22" t="inlineStr">
        <is>
          <t>1963</t>
        </is>
      </c>
      <c r="O22" t="inlineStr">
        <is>
          <t>eng</t>
        </is>
      </c>
      <c r="P22" t="inlineStr">
        <is>
          <t>___</t>
        </is>
      </c>
      <c r="R22" t="inlineStr">
        <is>
          <t xml:space="preserve">DB </t>
        </is>
      </c>
      <c r="S22" t="n">
        <v>3</v>
      </c>
      <c r="T22" t="n">
        <v>6</v>
      </c>
      <c r="U22" t="inlineStr">
        <is>
          <t>1995-03-16</t>
        </is>
      </c>
      <c r="V22" t="inlineStr">
        <is>
          <t>1995-03-16</t>
        </is>
      </c>
      <c r="W22" t="inlineStr">
        <is>
          <t>1990-11-19</t>
        </is>
      </c>
      <c r="X22" t="inlineStr">
        <is>
          <t>1990-11-19</t>
        </is>
      </c>
      <c r="Y22" t="n">
        <v>876</v>
      </c>
      <c r="Z22" t="n">
        <v>771</v>
      </c>
      <c r="AA22" t="n">
        <v>904</v>
      </c>
      <c r="AB22" t="n">
        <v>5</v>
      </c>
      <c r="AC22" t="n">
        <v>5</v>
      </c>
      <c r="AD22" t="n">
        <v>40</v>
      </c>
      <c r="AE22" t="n">
        <v>42</v>
      </c>
      <c r="AF22" t="n">
        <v>18</v>
      </c>
      <c r="AG22" t="n">
        <v>20</v>
      </c>
      <c r="AH22" t="n">
        <v>9</v>
      </c>
      <c r="AI22" t="n">
        <v>10</v>
      </c>
      <c r="AJ22" t="n">
        <v>20</v>
      </c>
      <c r="AK22" t="n">
        <v>20</v>
      </c>
      <c r="AL22" t="n">
        <v>4</v>
      </c>
      <c r="AM22" t="n">
        <v>4</v>
      </c>
      <c r="AN22" t="n">
        <v>0</v>
      </c>
      <c r="AO22" t="n">
        <v>0</v>
      </c>
      <c r="AP22" t="inlineStr">
        <is>
          <t>No</t>
        </is>
      </c>
      <c r="AQ22" t="inlineStr">
        <is>
          <t>Yes</t>
        </is>
      </c>
      <c r="AR22">
        <f>HYPERLINK("http://catalog.hathitrust.org/Record/000117135","HathiTrust Record")</f>
        <v/>
      </c>
      <c r="AS22">
        <f>HYPERLINK("https://creighton-primo.hosted.exlibrisgroup.com/primo-explore/search?tab=default_tab&amp;search_scope=EVERYTHING&amp;vid=01CRU&amp;lang=en_US&amp;offset=0&amp;query=any,contains,991002982189702656","Catalog Record")</f>
        <v/>
      </c>
      <c r="AT22">
        <f>HYPERLINK("http://www.worldcat.org/oclc/555465","WorldCat Record")</f>
        <v/>
      </c>
      <c r="AU22" t="inlineStr">
        <is>
          <t>4451793623:eng</t>
        </is>
      </c>
      <c r="AV22" t="inlineStr">
        <is>
          <t>555465</t>
        </is>
      </c>
      <c r="AW22" t="inlineStr">
        <is>
          <t>991002982189702656</t>
        </is>
      </c>
      <c r="AX22" t="inlineStr">
        <is>
          <t>991002982189702656</t>
        </is>
      </c>
      <c r="AY22" t="inlineStr">
        <is>
          <t>2260366560002656</t>
        </is>
      </c>
      <c r="AZ22" t="inlineStr">
        <is>
          <t>BOOK</t>
        </is>
      </c>
      <c r="BC22" t="inlineStr">
        <is>
          <t>32285000392729</t>
        </is>
      </c>
      <c r="BD22" t="inlineStr">
        <is>
          <t>893867951</t>
        </is>
      </c>
    </row>
    <row r="23">
      <c r="A23" t="inlineStr">
        <is>
          <t>No</t>
        </is>
      </c>
      <c r="B23" t="inlineStr">
        <is>
          <t>DB80.8.M57 S49 1991</t>
        </is>
      </c>
      <c r="C23" t="inlineStr">
        <is>
          <t>0                      DB 0080800M  57                 S  49          1991</t>
        </is>
      </c>
      <c r="D23" t="inlineStr">
        <is>
          <t>Metternich : the first European / by Desmond Seward.</t>
        </is>
      </c>
      <c r="F23" t="inlineStr">
        <is>
          <t>No</t>
        </is>
      </c>
      <c r="G23" t="inlineStr">
        <is>
          <t>1</t>
        </is>
      </c>
      <c r="H23" t="inlineStr">
        <is>
          <t>No</t>
        </is>
      </c>
      <c r="I23" t="inlineStr">
        <is>
          <t>No</t>
        </is>
      </c>
      <c r="J23" t="inlineStr">
        <is>
          <t>0</t>
        </is>
      </c>
      <c r="K23" t="inlineStr">
        <is>
          <t>Seward, Desmond, 1935-</t>
        </is>
      </c>
      <c r="L23" t="inlineStr">
        <is>
          <t>New York, NY : Viking, 1991.</t>
        </is>
      </c>
      <c r="M23" t="inlineStr">
        <is>
          <t>1991</t>
        </is>
      </c>
      <c r="O23" t="inlineStr">
        <is>
          <t>eng</t>
        </is>
      </c>
      <c r="P23" t="inlineStr">
        <is>
          <t>nyu</t>
        </is>
      </c>
      <c r="R23" t="inlineStr">
        <is>
          <t xml:space="preserve">DB </t>
        </is>
      </c>
      <c r="S23" t="n">
        <v>2</v>
      </c>
      <c r="T23" t="n">
        <v>2</v>
      </c>
      <c r="U23" t="inlineStr">
        <is>
          <t>1992-04-23</t>
        </is>
      </c>
      <c r="V23" t="inlineStr">
        <is>
          <t>1992-04-23</t>
        </is>
      </c>
      <c r="W23" t="inlineStr">
        <is>
          <t>1992-01-21</t>
        </is>
      </c>
      <c r="X23" t="inlineStr">
        <is>
          <t>1992-01-21</t>
        </is>
      </c>
      <c r="Y23" t="n">
        <v>507</v>
      </c>
      <c r="Z23" t="n">
        <v>465</v>
      </c>
      <c r="AA23" t="n">
        <v>469</v>
      </c>
      <c r="AB23" t="n">
        <v>4</v>
      </c>
      <c r="AC23" t="n">
        <v>4</v>
      </c>
      <c r="AD23" t="n">
        <v>17</v>
      </c>
      <c r="AE23" t="n">
        <v>17</v>
      </c>
      <c r="AF23" t="n">
        <v>6</v>
      </c>
      <c r="AG23" t="n">
        <v>6</v>
      </c>
      <c r="AH23" t="n">
        <v>4</v>
      </c>
      <c r="AI23" t="n">
        <v>4</v>
      </c>
      <c r="AJ23" t="n">
        <v>10</v>
      </c>
      <c r="AK23" t="n">
        <v>10</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HYPERLINK("https://creighton-primo.hosted.exlibrisgroup.com/primo-explore/search?tab=default_tab&amp;search_scope=EVERYTHING&amp;vid=01CRU&amp;lang=en_US&amp;offset=0&amp;query=any,contains,991001873949702656","Catalog Record")</f>
        <v/>
      </c>
      <c r="AT23">
        <f>HYPERLINK("http://www.worldcat.org/oclc/23652283","WorldCat Record")</f>
        <v/>
      </c>
      <c r="AU23" t="inlineStr">
        <is>
          <t>196671032:eng</t>
        </is>
      </c>
      <c r="AV23" t="inlineStr">
        <is>
          <t>23652283</t>
        </is>
      </c>
      <c r="AW23" t="inlineStr">
        <is>
          <t>991001873949702656</t>
        </is>
      </c>
      <c r="AX23" t="inlineStr">
        <is>
          <t>991001873949702656</t>
        </is>
      </c>
      <c r="AY23" t="inlineStr">
        <is>
          <t>2265560260002656</t>
        </is>
      </c>
      <c r="AZ23" t="inlineStr">
        <is>
          <t>BOOK</t>
        </is>
      </c>
      <c r="BB23" t="inlineStr">
        <is>
          <t>9780670826001</t>
        </is>
      </c>
      <c r="BC23" t="inlineStr">
        <is>
          <t>32285000865435</t>
        </is>
      </c>
      <c r="BD23" t="inlineStr">
        <is>
          <t>893346857</t>
        </is>
      </c>
    </row>
    <row r="24">
      <c r="A24" t="inlineStr">
        <is>
          <t>No</t>
        </is>
      </c>
      <c r="B24" t="inlineStr">
        <is>
          <t>DB80.8.M57 W35 1970</t>
        </is>
      </c>
      <c r="C24" t="inlineStr">
        <is>
          <t>0                      DB 0080800M  57                 W  35          1970</t>
        </is>
      </c>
      <c r="D24" t="inlineStr">
        <is>
          <t>1848: the fall of Metternich and the year of revolution.</t>
        </is>
      </c>
      <c r="F24" t="inlineStr">
        <is>
          <t>No</t>
        </is>
      </c>
      <c r="G24" t="inlineStr">
        <is>
          <t>1</t>
        </is>
      </c>
      <c r="H24" t="inlineStr">
        <is>
          <t>No</t>
        </is>
      </c>
      <c r="I24" t="inlineStr">
        <is>
          <t>No</t>
        </is>
      </c>
      <c r="J24" t="inlineStr">
        <is>
          <t>0</t>
        </is>
      </c>
      <c r="K24" t="inlineStr">
        <is>
          <t>Ward, David, 1935-</t>
        </is>
      </c>
      <c r="L24" t="inlineStr">
        <is>
          <t>New York, Weybright and Talley [1970]</t>
        </is>
      </c>
      <c r="M24" t="inlineStr">
        <is>
          <t>1970</t>
        </is>
      </c>
      <c r="O24" t="inlineStr">
        <is>
          <t>eng</t>
        </is>
      </c>
      <c r="P24" t="inlineStr">
        <is>
          <t>nyu</t>
        </is>
      </c>
      <c r="Q24" t="inlineStr">
        <is>
          <t>Turning points in history</t>
        </is>
      </c>
      <c r="R24" t="inlineStr">
        <is>
          <t xml:space="preserve">DB </t>
        </is>
      </c>
      <c r="S24" t="n">
        <v>4</v>
      </c>
      <c r="T24" t="n">
        <v>4</v>
      </c>
      <c r="U24" t="inlineStr">
        <is>
          <t>1995-11-01</t>
        </is>
      </c>
      <c r="V24" t="inlineStr">
        <is>
          <t>1995-11-01</t>
        </is>
      </c>
      <c r="W24" t="inlineStr">
        <is>
          <t>1992-04-13</t>
        </is>
      </c>
      <c r="X24" t="inlineStr">
        <is>
          <t>1992-04-13</t>
        </is>
      </c>
      <c r="Y24" t="n">
        <v>406</v>
      </c>
      <c r="Z24" t="n">
        <v>381</v>
      </c>
      <c r="AA24" t="n">
        <v>422</v>
      </c>
      <c r="AB24" t="n">
        <v>4</v>
      </c>
      <c r="AC24" t="n">
        <v>4</v>
      </c>
      <c r="AD24" t="n">
        <v>17</v>
      </c>
      <c r="AE24" t="n">
        <v>18</v>
      </c>
      <c r="AF24" t="n">
        <v>5</v>
      </c>
      <c r="AG24" t="n">
        <v>5</v>
      </c>
      <c r="AH24" t="n">
        <v>4</v>
      </c>
      <c r="AI24" t="n">
        <v>4</v>
      </c>
      <c r="AJ24" t="n">
        <v>8</v>
      </c>
      <c r="AK24" t="n">
        <v>9</v>
      </c>
      <c r="AL24" t="n">
        <v>3</v>
      </c>
      <c r="AM24" t="n">
        <v>3</v>
      </c>
      <c r="AN24" t="n">
        <v>0</v>
      </c>
      <c r="AO24" t="n">
        <v>0</v>
      </c>
      <c r="AP24" t="inlineStr">
        <is>
          <t>No</t>
        </is>
      </c>
      <c r="AQ24" t="inlineStr">
        <is>
          <t>Yes</t>
        </is>
      </c>
      <c r="AR24">
        <f>HYPERLINK("http://catalog.hathitrust.org/Record/006715120","HathiTrust Record")</f>
        <v/>
      </c>
      <c r="AS24">
        <f>HYPERLINK("https://creighton-primo.hosted.exlibrisgroup.com/primo-explore/search?tab=default_tab&amp;search_scope=EVERYTHING&amp;vid=01CRU&amp;lang=en_US&amp;offset=0&amp;query=any,contains,991000608599702656","Catalog Record")</f>
        <v/>
      </c>
      <c r="AT24">
        <f>HYPERLINK("http://www.worldcat.org/oclc/99981","WorldCat Record")</f>
        <v/>
      </c>
      <c r="AU24" t="inlineStr">
        <is>
          <t>194057199:eng</t>
        </is>
      </c>
      <c r="AV24" t="inlineStr">
        <is>
          <t>99981</t>
        </is>
      </c>
      <c r="AW24" t="inlineStr">
        <is>
          <t>991000608599702656</t>
        </is>
      </c>
      <c r="AX24" t="inlineStr">
        <is>
          <t>991000608599702656</t>
        </is>
      </c>
      <c r="AY24" t="inlineStr">
        <is>
          <t>2270552460002656</t>
        </is>
      </c>
      <c r="AZ24" t="inlineStr">
        <is>
          <t>BOOK</t>
        </is>
      </c>
      <c r="BC24" t="inlineStr">
        <is>
          <t>32285001052447</t>
        </is>
      </c>
      <c r="BD24" t="inlineStr">
        <is>
          <t>893778069</t>
        </is>
      </c>
    </row>
    <row r="25">
      <c r="A25" t="inlineStr">
        <is>
          <t>No</t>
        </is>
      </c>
      <c r="B25" t="inlineStr">
        <is>
          <t>DB86 .M36 1985</t>
        </is>
      </c>
      <c r="C25" t="inlineStr">
        <is>
          <t>0                      DB 0086000M  36          1985</t>
        </is>
      </c>
      <c r="D25" t="inlineStr">
        <is>
          <t>The dissolution of the Austro-Hungarian Empire, 1867-1918 / John W. Mason.</t>
        </is>
      </c>
      <c r="F25" t="inlineStr">
        <is>
          <t>No</t>
        </is>
      </c>
      <c r="G25" t="inlineStr">
        <is>
          <t>1</t>
        </is>
      </c>
      <c r="H25" t="inlineStr">
        <is>
          <t>No</t>
        </is>
      </c>
      <c r="I25" t="inlineStr">
        <is>
          <t>Yes</t>
        </is>
      </c>
      <c r="J25" t="inlineStr">
        <is>
          <t>0</t>
        </is>
      </c>
      <c r="K25" t="inlineStr">
        <is>
          <t>Mason, John W.</t>
        </is>
      </c>
      <c r="L25" t="inlineStr">
        <is>
          <t>London ; New York : Longman, 1985.</t>
        </is>
      </c>
      <c r="M25" t="inlineStr">
        <is>
          <t>1985</t>
        </is>
      </c>
      <c r="O25" t="inlineStr">
        <is>
          <t>eng</t>
        </is>
      </c>
      <c r="P25" t="inlineStr">
        <is>
          <t>enk</t>
        </is>
      </c>
      <c r="Q25" t="inlineStr">
        <is>
          <t>Seminar studies in history</t>
        </is>
      </c>
      <c r="R25" t="inlineStr">
        <is>
          <t xml:space="preserve">DB </t>
        </is>
      </c>
      <c r="S25" t="n">
        <v>2</v>
      </c>
      <c r="T25" t="n">
        <v>2</v>
      </c>
      <c r="U25" t="inlineStr">
        <is>
          <t>1993-02-27</t>
        </is>
      </c>
      <c r="V25" t="inlineStr">
        <is>
          <t>1993-02-27</t>
        </is>
      </c>
      <c r="W25" t="inlineStr">
        <is>
          <t>1990-11-19</t>
        </is>
      </c>
      <c r="X25" t="inlineStr">
        <is>
          <t>1990-11-19</t>
        </is>
      </c>
      <c r="Y25" t="n">
        <v>208</v>
      </c>
      <c r="Z25" t="n">
        <v>116</v>
      </c>
      <c r="AA25" t="n">
        <v>218</v>
      </c>
      <c r="AB25" t="n">
        <v>1</v>
      </c>
      <c r="AC25" t="n">
        <v>1</v>
      </c>
      <c r="AD25" t="n">
        <v>5</v>
      </c>
      <c r="AE25" t="n">
        <v>9</v>
      </c>
      <c r="AF25" t="n">
        <v>0</v>
      </c>
      <c r="AG25" t="n">
        <v>1</v>
      </c>
      <c r="AH25" t="n">
        <v>2</v>
      </c>
      <c r="AI25" t="n">
        <v>4</v>
      </c>
      <c r="AJ25" t="n">
        <v>4</v>
      </c>
      <c r="AK25" t="n">
        <v>7</v>
      </c>
      <c r="AL25" t="n">
        <v>0</v>
      </c>
      <c r="AM25" t="n">
        <v>0</v>
      </c>
      <c r="AN25" t="n">
        <v>0</v>
      </c>
      <c r="AO25" t="n">
        <v>0</v>
      </c>
      <c r="AP25" t="inlineStr">
        <is>
          <t>No</t>
        </is>
      </c>
      <c r="AQ25" t="inlineStr">
        <is>
          <t>Yes</t>
        </is>
      </c>
      <c r="AR25">
        <f>HYPERLINK("http://catalog.hathitrust.org/Record/000839236","HathiTrust Record")</f>
        <v/>
      </c>
      <c r="AS25">
        <f>HYPERLINK("https://creighton-primo.hosted.exlibrisgroup.com/primo-explore/search?tab=default_tab&amp;search_scope=EVERYTHING&amp;vid=01CRU&amp;lang=en_US&amp;offset=0&amp;query=any,contains,991000484979702656","Catalog Record")</f>
        <v/>
      </c>
      <c r="AT25">
        <f>HYPERLINK("http://www.worldcat.org/oclc/11068908","WorldCat Record")</f>
        <v/>
      </c>
      <c r="AU25" t="inlineStr">
        <is>
          <t>20408109:eng</t>
        </is>
      </c>
      <c r="AV25" t="inlineStr">
        <is>
          <t>11068908</t>
        </is>
      </c>
      <c r="AW25" t="inlineStr">
        <is>
          <t>991000484979702656</t>
        </is>
      </c>
      <c r="AX25" t="inlineStr">
        <is>
          <t>991000484979702656</t>
        </is>
      </c>
      <c r="AY25" t="inlineStr">
        <is>
          <t>2261506020002656</t>
        </is>
      </c>
      <c r="AZ25" t="inlineStr">
        <is>
          <t>BOOK</t>
        </is>
      </c>
      <c r="BB25" t="inlineStr">
        <is>
          <t>9780582353930</t>
        </is>
      </c>
      <c r="BC25" t="inlineStr">
        <is>
          <t>32285000392737</t>
        </is>
      </c>
      <c r="BD25" t="inlineStr">
        <is>
          <t>893890727</t>
        </is>
      </c>
    </row>
    <row r="26">
      <c r="A26" t="inlineStr">
        <is>
          <t>No</t>
        </is>
      </c>
      <c r="B26" t="inlineStr">
        <is>
          <t>DB879.R2 C37 1972</t>
        </is>
      </c>
      <c r="C26" t="inlineStr">
        <is>
          <t>0                      DB 0879000R  2                  C  37          1972</t>
        </is>
      </c>
      <c r="D26" t="inlineStr">
        <is>
          <t>Dubrovnik (Ragusa): a classic city-state [by] Francis W. Carter.</t>
        </is>
      </c>
      <c r="F26" t="inlineStr">
        <is>
          <t>No</t>
        </is>
      </c>
      <c r="G26" t="inlineStr">
        <is>
          <t>1</t>
        </is>
      </c>
      <c r="H26" t="inlineStr">
        <is>
          <t>No</t>
        </is>
      </c>
      <c r="I26" t="inlineStr">
        <is>
          <t>No</t>
        </is>
      </c>
      <c r="J26" t="inlineStr">
        <is>
          <t>0</t>
        </is>
      </c>
      <c r="K26" t="inlineStr">
        <is>
          <t>Carter, Francis W.</t>
        </is>
      </c>
      <c r="L26" t="inlineStr">
        <is>
          <t>London, New York, Seminar Press, 1972.</t>
        </is>
      </c>
      <c r="M26" t="inlineStr">
        <is>
          <t>1972</t>
        </is>
      </c>
      <c r="O26" t="inlineStr">
        <is>
          <t>eng</t>
        </is>
      </c>
      <c r="P26" t="inlineStr">
        <is>
          <t>enk</t>
        </is>
      </c>
      <c r="R26" t="inlineStr">
        <is>
          <t xml:space="preserve">DB </t>
        </is>
      </c>
      <c r="S26" t="n">
        <v>1</v>
      </c>
      <c r="T26" t="n">
        <v>1</v>
      </c>
      <c r="U26" t="inlineStr">
        <is>
          <t>2003-09-18</t>
        </is>
      </c>
      <c r="V26" t="inlineStr">
        <is>
          <t>2003-09-18</t>
        </is>
      </c>
      <c r="W26" t="inlineStr">
        <is>
          <t>1996-10-24</t>
        </is>
      </c>
      <c r="X26" t="inlineStr">
        <is>
          <t>1996-10-24</t>
        </is>
      </c>
      <c r="Y26" t="n">
        <v>491</v>
      </c>
      <c r="Z26" t="n">
        <v>339</v>
      </c>
      <c r="AA26" t="n">
        <v>345</v>
      </c>
      <c r="AB26" t="n">
        <v>3</v>
      </c>
      <c r="AC26" t="n">
        <v>3</v>
      </c>
      <c r="AD26" t="n">
        <v>14</v>
      </c>
      <c r="AE26" t="n">
        <v>14</v>
      </c>
      <c r="AF26" t="n">
        <v>1</v>
      </c>
      <c r="AG26" t="n">
        <v>1</v>
      </c>
      <c r="AH26" t="n">
        <v>3</v>
      </c>
      <c r="AI26" t="n">
        <v>3</v>
      </c>
      <c r="AJ26" t="n">
        <v>9</v>
      </c>
      <c r="AK26" t="n">
        <v>9</v>
      </c>
      <c r="AL26" t="n">
        <v>2</v>
      </c>
      <c r="AM26" t="n">
        <v>2</v>
      </c>
      <c r="AN26" t="n">
        <v>0</v>
      </c>
      <c r="AO26" t="n">
        <v>0</v>
      </c>
      <c r="AP26" t="inlineStr">
        <is>
          <t>No</t>
        </is>
      </c>
      <c r="AQ26" t="inlineStr">
        <is>
          <t>Yes</t>
        </is>
      </c>
      <c r="AR26">
        <f>HYPERLINK("http://catalog.hathitrust.org/Record/001600899","HathiTrust Record")</f>
        <v/>
      </c>
      <c r="AS26">
        <f>HYPERLINK("https://creighton-primo.hosted.exlibrisgroup.com/primo-explore/search?tab=default_tab&amp;search_scope=EVERYTHING&amp;vid=01CRU&amp;lang=en_US&amp;offset=0&amp;query=any,contains,991003028709702656","Catalog Record")</f>
        <v/>
      </c>
      <c r="AT26">
        <f>HYPERLINK("http://www.worldcat.org/oclc/591973","WorldCat Record")</f>
        <v/>
      </c>
      <c r="AU26" t="inlineStr">
        <is>
          <t>327655390:eng</t>
        </is>
      </c>
      <c r="AV26" t="inlineStr">
        <is>
          <t>591973</t>
        </is>
      </c>
      <c r="AW26" t="inlineStr">
        <is>
          <t>991003028709702656</t>
        </is>
      </c>
      <c r="AX26" t="inlineStr">
        <is>
          <t>991003028709702656</t>
        </is>
      </c>
      <c r="AY26" t="inlineStr">
        <is>
          <t>2265863840002656</t>
        </is>
      </c>
      <c r="AZ26" t="inlineStr">
        <is>
          <t>BOOK</t>
        </is>
      </c>
      <c r="BB26" t="inlineStr">
        <is>
          <t>9780128129500</t>
        </is>
      </c>
      <c r="BC26" t="inlineStr">
        <is>
          <t>32285002377587</t>
        </is>
      </c>
      <c r="BD26" t="inlineStr">
        <is>
          <t>893262602</t>
        </is>
      </c>
    </row>
    <row r="27">
      <c r="A27" t="inlineStr">
        <is>
          <t>No</t>
        </is>
      </c>
      <c r="B27" t="inlineStr">
        <is>
          <t>DB90.S3 W47</t>
        </is>
      </c>
      <c r="C27" t="inlineStr">
        <is>
          <t>0                      DB 0090000S  3                  W  47</t>
        </is>
      </c>
      <c r="D27" t="inlineStr">
        <is>
          <t>The socialism of fools : Georg Ritter von Schönerer and Austrian Pan-Germanism / Andrew G. Whiteside.</t>
        </is>
      </c>
      <c r="F27" t="inlineStr">
        <is>
          <t>No</t>
        </is>
      </c>
      <c r="G27" t="inlineStr">
        <is>
          <t>1</t>
        </is>
      </c>
      <c r="H27" t="inlineStr">
        <is>
          <t>No</t>
        </is>
      </c>
      <c r="I27" t="inlineStr">
        <is>
          <t>No</t>
        </is>
      </c>
      <c r="J27" t="inlineStr">
        <is>
          <t>0</t>
        </is>
      </c>
      <c r="K27" t="inlineStr">
        <is>
          <t>Whiteside, Andrew G. (Andrew Gladding), 1921-2005.</t>
        </is>
      </c>
      <c r="L27" t="inlineStr">
        <is>
          <t>Berkeley : University of California Press, 1975.</t>
        </is>
      </c>
      <c r="M27" t="inlineStr">
        <is>
          <t>1975</t>
        </is>
      </c>
      <c r="O27" t="inlineStr">
        <is>
          <t>eng</t>
        </is>
      </c>
      <c r="P27" t="inlineStr">
        <is>
          <t>cau</t>
        </is>
      </c>
      <c r="R27" t="inlineStr">
        <is>
          <t xml:space="preserve">DB </t>
        </is>
      </c>
      <c r="S27" t="n">
        <v>1</v>
      </c>
      <c r="T27" t="n">
        <v>1</v>
      </c>
      <c r="U27" t="inlineStr">
        <is>
          <t>2003-12-18</t>
        </is>
      </c>
      <c r="V27" t="inlineStr">
        <is>
          <t>2003-12-18</t>
        </is>
      </c>
      <c r="W27" t="inlineStr">
        <is>
          <t>1996-10-22</t>
        </is>
      </c>
      <c r="X27" t="inlineStr">
        <is>
          <t>1996-10-22</t>
        </is>
      </c>
      <c r="Y27" t="n">
        <v>532</v>
      </c>
      <c r="Z27" t="n">
        <v>404</v>
      </c>
      <c r="AA27" t="n">
        <v>410</v>
      </c>
      <c r="AB27" t="n">
        <v>4</v>
      </c>
      <c r="AC27" t="n">
        <v>4</v>
      </c>
      <c r="AD27" t="n">
        <v>22</v>
      </c>
      <c r="AE27" t="n">
        <v>22</v>
      </c>
      <c r="AF27" t="n">
        <v>7</v>
      </c>
      <c r="AG27" t="n">
        <v>7</v>
      </c>
      <c r="AH27" t="n">
        <v>6</v>
      </c>
      <c r="AI27" t="n">
        <v>6</v>
      </c>
      <c r="AJ27" t="n">
        <v>14</v>
      </c>
      <c r="AK27" t="n">
        <v>14</v>
      </c>
      <c r="AL27" t="n">
        <v>3</v>
      </c>
      <c r="AM27" t="n">
        <v>3</v>
      </c>
      <c r="AN27" t="n">
        <v>0</v>
      </c>
      <c r="AO27" t="n">
        <v>0</v>
      </c>
      <c r="AP27" t="inlineStr">
        <is>
          <t>No</t>
        </is>
      </c>
      <c r="AQ27" t="inlineStr">
        <is>
          <t>No</t>
        </is>
      </c>
      <c r="AS27">
        <f>HYPERLINK("https://creighton-primo.hosted.exlibrisgroup.com/primo-explore/search?tab=default_tab&amp;search_scope=EVERYTHING&amp;vid=01CRU&amp;lang=en_US&amp;offset=0&amp;query=any,contains,991003912069702656","Catalog Record")</f>
        <v/>
      </c>
      <c r="AT27">
        <f>HYPERLINK("http://www.worldcat.org/oclc/1853855","WorldCat Record")</f>
        <v/>
      </c>
      <c r="AU27" t="inlineStr">
        <is>
          <t>867386394:eng</t>
        </is>
      </c>
      <c r="AV27" t="inlineStr">
        <is>
          <t>1853855</t>
        </is>
      </c>
      <c r="AW27" t="inlineStr">
        <is>
          <t>991003912069702656</t>
        </is>
      </c>
      <c r="AX27" t="inlineStr">
        <is>
          <t>991003912069702656</t>
        </is>
      </c>
      <c r="AY27" t="inlineStr">
        <is>
          <t>2264658740002656</t>
        </is>
      </c>
      <c r="AZ27" t="inlineStr">
        <is>
          <t>BOOK</t>
        </is>
      </c>
      <c r="BB27" t="inlineStr">
        <is>
          <t>9780520024342</t>
        </is>
      </c>
      <c r="BC27" t="inlineStr">
        <is>
          <t>32285002376704</t>
        </is>
      </c>
      <c r="BD27" t="inlineStr">
        <is>
          <t>893246925</t>
        </is>
      </c>
    </row>
    <row r="28">
      <c r="A28" t="inlineStr">
        <is>
          <t>No</t>
        </is>
      </c>
      <c r="B28" t="inlineStr">
        <is>
          <t>DB906 .H4 1973</t>
        </is>
      </c>
      <c r="C28" t="inlineStr">
        <is>
          <t>0                      DB 0906000H  4           1973</t>
        </is>
      </c>
      <c r="D28" t="inlineStr">
        <is>
          <t>Hungary / Ernst C. Helmreich, editor.</t>
        </is>
      </c>
      <c r="F28" t="inlineStr">
        <is>
          <t>No</t>
        </is>
      </c>
      <c r="G28" t="inlineStr">
        <is>
          <t>1</t>
        </is>
      </c>
      <c r="H28" t="inlineStr">
        <is>
          <t>No</t>
        </is>
      </c>
      <c r="I28" t="inlineStr">
        <is>
          <t>No</t>
        </is>
      </c>
      <c r="J28" t="inlineStr">
        <is>
          <t>0</t>
        </is>
      </c>
      <c r="K28" t="inlineStr">
        <is>
          <t>Helmreich, Ernst Christian compiler.</t>
        </is>
      </c>
      <c r="L28" t="inlineStr">
        <is>
          <t>Westport, Conn. : Greenwood Press, [1973, c1957]</t>
        </is>
      </c>
      <c r="M28" t="inlineStr">
        <is>
          <t>1973</t>
        </is>
      </c>
      <c r="O28" t="inlineStr">
        <is>
          <t>eng</t>
        </is>
      </c>
      <c r="P28" t="inlineStr">
        <is>
          <t>ctu</t>
        </is>
      </c>
      <c r="R28" t="inlineStr">
        <is>
          <t xml:space="preserve">DB </t>
        </is>
      </c>
      <c r="S28" t="n">
        <v>2</v>
      </c>
      <c r="T28" t="n">
        <v>2</v>
      </c>
      <c r="U28" t="inlineStr">
        <is>
          <t>2004-02-01</t>
        </is>
      </c>
      <c r="V28" t="inlineStr">
        <is>
          <t>2004-02-01</t>
        </is>
      </c>
      <c r="W28" t="inlineStr">
        <is>
          <t>1993-06-09</t>
        </is>
      </c>
      <c r="X28" t="inlineStr">
        <is>
          <t>1993-06-09</t>
        </is>
      </c>
      <c r="Y28" t="n">
        <v>98</v>
      </c>
      <c r="Z28" t="n">
        <v>84</v>
      </c>
      <c r="AA28" t="n">
        <v>452</v>
      </c>
      <c r="AB28" t="n">
        <v>1</v>
      </c>
      <c r="AC28" t="n">
        <v>3</v>
      </c>
      <c r="AD28" t="n">
        <v>5</v>
      </c>
      <c r="AE28" t="n">
        <v>20</v>
      </c>
      <c r="AF28" t="n">
        <v>2</v>
      </c>
      <c r="AG28" t="n">
        <v>7</v>
      </c>
      <c r="AH28" t="n">
        <v>3</v>
      </c>
      <c r="AI28" t="n">
        <v>7</v>
      </c>
      <c r="AJ28" t="n">
        <v>2</v>
      </c>
      <c r="AK28" t="n">
        <v>12</v>
      </c>
      <c r="AL28" t="n">
        <v>0</v>
      </c>
      <c r="AM28" t="n">
        <v>2</v>
      </c>
      <c r="AN28" t="n">
        <v>0</v>
      </c>
      <c r="AO28" t="n">
        <v>0</v>
      </c>
      <c r="AP28" t="inlineStr">
        <is>
          <t>No</t>
        </is>
      </c>
      <c r="AQ28" t="inlineStr">
        <is>
          <t>Yes</t>
        </is>
      </c>
      <c r="AR28">
        <f>HYPERLINK("http://catalog.hathitrust.org/Record/004405593","HathiTrust Record")</f>
        <v/>
      </c>
      <c r="AS28">
        <f>HYPERLINK("https://creighton-primo.hosted.exlibrisgroup.com/primo-explore/search?tab=default_tab&amp;search_scope=EVERYTHING&amp;vid=01CRU&amp;lang=en_US&amp;offset=0&amp;query=any,contains,991003013279702656","Catalog Record")</f>
        <v/>
      </c>
      <c r="AT28">
        <f>HYPERLINK("http://www.worldcat.org/oclc/579217","WorldCat Record")</f>
        <v/>
      </c>
      <c r="AU28" t="inlineStr">
        <is>
          <t>1524588:eng</t>
        </is>
      </c>
      <c r="AV28" t="inlineStr">
        <is>
          <t>579217</t>
        </is>
      </c>
      <c r="AW28" t="inlineStr">
        <is>
          <t>991003013279702656</t>
        </is>
      </c>
      <c r="AX28" t="inlineStr">
        <is>
          <t>991003013279702656</t>
        </is>
      </c>
      <c r="AY28" t="inlineStr">
        <is>
          <t>2255837760002656</t>
        </is>
      </c>
      <c r="AZ28" t="inlineStr">
        <is>
          <t>BOOK</t>
        </is>
      </c>
      <c r="BB28" t="inlineStr">
        <is>
          <t>9780837167251</t>
        </is>
      </c>
      <c r="BC28" t="inlineStr">
        <is>
          <t>32285001695054</t>
        </is>
      </c>
      <c r="BD28" t="inlineStr">
        <is>
          <t>893445505</t>
        </is>
      </c>
    </row>
    <row r="29">
      <c r="A29" t="inlineStr">
        <is>
          <t>No</t>
        </is>
      </c>
      <c r="B29" t="inlineStr">
        <is>
          <t>DB925 .H677 2000</t>
        </is>
      </c>
      <c r="C29" t="inlineStr">
        <is>
          <t>0                      DB 0925000H  677         2000</t>
        </is>
      </c>
      <c r="D29" t="inlineStr">
        <is>
          <t>Hungarian civilization : a short history / Michael J. Horvath ; foreword by Paul D. Edson.</t>
        </is>
      </c>
      <c r="F29" t="inlineStr">
        <is>
          <t>No</t>
        </is>
      </c>
      <c r="G29" t="inlineStr">
        <is>
          <t>1</t>
        </is>
      </c>
      <c r="H29" t="inlineStr">
        <is>
          <t>No</t>
        </is>
      </c>
      <c r="I29" t="inlineStr">
        <is>
          <t>No</t>
        </is>
      </c>
      <c r="J29" t="inlineStr">
        <is>
          <t>0</t>
        </is>
      </c>
      <c r="K29" t="inlineStr">
        <is>
          <t>Horvath, Michael J. (Michael Joseph)</t>
        </is>
      </c>
      <c r="L29" t="inlineStr">
        <is>
          <t>College Park, Md. : University of Maryland, 2000.</t>
        </is>
      </c>
      <c r="M29" t="inlineStr">
        <is>
          <t>2000</t>
        </is>
      </c>
      <c r="N29" t="inlineStr">
        <is>
          <t>5th ed.</t>
        </is>
      </c>
      <c r="O29" t="inlineStr">
        <is>
          <t>eng</t>
        </is>
      </c>
      <c r="P29" t="inlineStr">
        <is>
          <t>mdu</t>
        </is>
      </c>
      <c r="R29" t="inlineStr">
        <is>
          <t xml:space="preserve">DB </t>
        </is>
      </c>
      <c r="S29" t="n">
        <v>1</v>
      </c>
      <c r="T29" t="n">
        <v>1</v>
      </c>
      <c r="U29" t="inlineStr">
        <is>
          <t>2000-12-04</t>
        </is>
      </c>
      <c r="V29" t="inlineStr">
        <is>
          <t>2000-12-04</t>
        </is>
      </c>
      <c r="W29" t="inlineStr">
        <is>
          <t>2000-12-04</t>
        </is>
      </c>
      <c r="X29" t="inlineStr">
        <is>
          <t>2000-12-04</t>
        </is>
      </c>
      <c r="Y29" t="n">
        <v>129</v>
      </c>
      <c r="Z29" t="n">
        <v>129</v>
      </c>
      <c r="AA29" t="n">
        <v>354</v>
      </c>
      <c r="AB29" t="n">
        <v>1</v>
      </c>
      <c r="AC29" t="n">
        <v>4</v>
      </c>
      <c r="AD29" t="n">
        <v>4</v>
      </c>
      <c r="AE29" t="n">
        <v>6</v>
      </c>
      <c r="AF29" t="n">
        <v>1</v>
      </c>
      <c r="AG29" t="n">
        <v>1</v>
      </c>
      <c r="AH29" t="n">
        <v>1</v>
      </c>
      <c r="AI29" t="n">
        <v>2</v>
      </c>
      <c r="AJ29" t="n">
        <v>2</v>
      </c>
      <c r="AK29" t="n">
        <v>3</v>
      </c>
      <c r="AL29" t="n">
        <v>0</v>
      </c>
      <c r="AM29" t="n">
        <v>1</v>
      </c>
      <c r="AN29" t="n">
        <v>0</v>
      </c>
      <c r="AO29" t="n">
        <v>0</v>
      </c>
      <c r="AP29" t="inlineStr">
        <is>
          <t>No</t>
        </is>
      </c>
      <c r="AQ29" t="inlineStr">
        <is>
          <t>Yes</t>
        </is>
      </c>
      <c r="AR29">
        <f>HYPERLINK("http://catalog.hathitrust.org/Record/008367944","HathiTrust Record")</f>
        <v/>
      </c>
      <c r="AS29">
        <f>HYPERLINK("https://creighton-primo.hosted.exlibrisgroup.com/primo-explore/search?tab=default_tab&amp;search_scope=EVERYTHING&amp;vid=01CRU&amp;lang=en_US&amp;offset=0&amp;query=any,contains,991003356539702656","Catalog Record")</f>
        <v/>
      </c>
      <c r="AT29">
        <f>HYPERLINK("http://www.worldcat.org/oclc/44168471","WorldCat Record")</f>
        <v/>
      </c>
      <c r="AU29" t="inlineStr">
        <is>
          <t>33314517:eng</t>
        </is>
      </c>
      <c r="AV29" t="inlineStr">
        <is>
          <t>44168471</t>
        </is>
      </c>
      <c r="AW29" t="inlineStr">
        <is>
          <t>991003356539702656</t>
        </is>
      </c>
      <c r="AX29" t="inlineStr">
        <is>
          <t>991003356539702656</t>
        </is>
      </c>
      <c r="AY29" t="inlineStr">
        <is>
          <t>2266188780002656</t>
        </is>
      </c>
      <c r="AZ29" t="inlineStr">
        <is>
          <t>BOOK</t>
        </is>
      </c>
      <c r="BC29" t="inlineStr">
        <is>
          <t>32285004268958</t>
        </is>
      </c>
      <c r="BD29" t="inlineStr">
        <is>
          <t>893692654</t>
        </is>
      </c>
    </row>
    <row r="30">
      <c r="A30" t="inlineStr">
        <is>
          <t>No</t>
        </is>
      </c>
      <c r="B30" t="inlineStr">
        <is>
          <t>DB925 .V67</t>
        </is>
      </c>
      <c r="C30" t="inlineStr">
        <is>
          <t>0                      DB 0925000V  67</t>
        </is>
      </c>
      <c r="D30" t="inlineStr">
        <is>
          <t>Hungary, a nation of contradictions / Ivan Volgyes.</t>
        </is>
      </c>
      <c r="F30" t="inlineStr">
        <is>
          <t>No</t>
        </is>
      </c>
      <c r="G30" t="inlineStr">
        <is>
          <t>1</t>
        </is>
      </c>
      <c r="H30" t="inlineStr">
        <is>
          <t>No</t>
        </is>
      </c>
      <c r="I30" t="inlineStr">
        <is>
          <t>No</t>
        </is>
      </c>
      <c r="J30" t="inlineStr">
        <is>
          <t>0</t>
        </is>
      </c>
      <c r="K30" t="inlineStr">
        <is>
          <t>Völgyes, Iván, 1936-</t>
        </is>
      </c>
      <c r="L30" t="inlineStr">
        <is>
          <t>Boulder, Colo. : Westview Press, 1982.</t>
        </is>
      </c>
      <c r="M30" t="inlineStr">
        <is>
          <t>1982</t>
        </is>
      </c>
      <c r="O30" t="inlineStr">
        <is>
          <t>eng</t>
        </is>
      </c>
      <c r="P30" t="inlineStr">
        <is>
          <t>cou</t>
        </is>
      </c>
      <c r="Q30" t="inlineStr">
        <is>
          <t>Nations of contemporary Eastern Europe</t>
        </is>
      </c>
      <c r="R30" t="inlineStr">
        <is>
          <t xml:space="preserve">DB </t>
        </is>
      </c>
      <c r="S30" t="n">
        <v>2</v>
      </c>
      <c r="T30" t="n">
        <v>2</v>
      </c>
      <c r="U30" t="inlineStr">
        <is>
          <t>2004-02-01</t>
        </is>
      </c>
      <c r="V30" t="inlineStr">
        <is>
          <t>2004-02-01</t>
        </is>
      </c>
      <c r="W30" t="inlineStr">
        <is>
          <t>1990-11-20</t>
        </is>
      </c>
      <c r="X30" t="inlineStr">
        <is>
          <t>1990-11-20</t>
        </is>
      </c>
      <c r="Y30" t="n">
        <v>538</v>
      </c>
      <c r="Z30" t="n">
        <v>444</v>
      </c>
      <c r="AA30" t="n">
        <v>455</v>
      </c>
      <c r="AB30" t="n">
        <v>5</v>
      </c>
      <c r="AC30" t="n">
        <v>5</v>
      </c>
      <c r="AD30" t="n">
        <v>18</v>
      </c>
      <c r="AE30" t="n">
        <v>19</v>
      </c>
      <c r="AF30" t="n">
        <v>5</v>
      </c>
      <c r="AG30" t="n">
        <v>6</v>
      </c>
      <c r="AH30" t="n">
        <v>7</v>
      </c>
      <c r="AI30" t="n">
        <v>7</v>
      </c>
      <c r="AJ30" t="n">
        <v>8</v>
      </c>
      <c r="AK30" t="n">
        <v>9</v>
      </c>
      <c r="AL30" t="n">
        <v>4</v>
      </c>
      <c r="AM30" t="n">
        <v>4</v>
      </c>
      <c r="AN30" t="n">
        <v>0</v>
      </c>
      <c r="AO30" t="n">
        <v>0</v>
      </c>
      <c r="AP30" t="inlineStr">
        <is>
          <t>No</t>
        </is>
      </c>
      <c r="AQ30" t="inlineStr">
        <is>
          <t>No</t>
        </is>
      </c>
      <c r="AS30">
        <f>HYPERLINK("https://creighton-primo.hosted.exlibrisgroup.com/primo-explore/search?tab=default_tab&amp;search_scope=EVERYTHING&amp;vid=01CRU&amp;lang=en_US&amp;offset=0&amp;query=any,contains,991005155729702656","Catalog Record")</f>
        <v/>
      </c>
      <c r="AT30">
        <f>HYPERLINK("http://www.worldcat.org/oclc/7739481","WorldCat Record")</f>
        <v/>
      </c>
      <c r="AU30" t="inlineStr">
        <is>
          <t>29776745:eng</t>
        </is>
      </c>
      <c r="AV30" t="inlineStr">
        <is>
          <t>7739481</t>
        </is>
      </c>
      <c r="AW30" t="inlineStr">
        <is>
          <t>991005155729702656</t>
        </is>
      </c>
      <c r="AX30" t="inlineStr">
        <is>
          <t>991005155729702656</t>
        </is>
      </c>
      <c r="AY30" t="inlineStr">
        <is>
          <t>2258569670002656</t>
        </is>
      </c>
      <c r="AZ30" t="inlineStr">
        <is>
          <t>BOOK</t>
        </is>
      </c>
      <c r="BB30" t="inlineStr">
        <is>
          <t>9780891589297</t>
        </is>
      </c>
      <c r="BC30" t="inlineStr">
        <is>
          <t>32285000393073</t>
        </is>
      </c>
      <c r="BD30" t="inlineStr">
        <is>
          <t>893254558</t>
        </is>
      </c>
    </row>
    <row r="31">
      <c r="A31" t="inlineStr">
        <is>
          <t>No</t>
        </is>
      </c>
      <c r="B31" t="inlineStr">
        <is>
          <t>DB937 .D42</t>
        </is>
      </c>
      <c r="C31" t="inlineStr">
        <is>
          <t>0                      DB 0937000D  42</t>
        </is>
      </c>
      <c r="D31" t="inlineStr">
        <is>
          <t>The lawful revolution : Louis Kossuth and the Hungarians, 1848-1849 / István Deák.</t>
        </is>
      </c>
      <c r="F31" t="inlineStr">
        <is>
          <t>No</t>
        </is>
      </c>
      <c r="G31" t="inlineStr">
        <is>
          <t>1</t>
        </is>
      </c>
      <c r="H31" t="inlineStr">
        <is>
          <t>No</t>
        </is>
      </c>
      <c r="I31" t="inlineStr">
        <is>
          <t>No</t>
        </is>
      </c>
      <c r="J31" t="inlineStr">
        <is>
          <t>0</t>
        </is>
      </c>
      <c r="K31" t="inlineStr">
        <is>
          <t>Deák, István.</t>
        </is>
      </c>
      <c r="L31" t="inlineStr">
        <is>
          <t>New York : Columbia University Press, 1979.</t>
        </is>
      </c>
      <c r="M31" t="inlineStr">
        <is>
          <t>1979</t>
        </is>
      </c>
      <c r="O31" t="inlineStr">
        <is>
          <t>eng</t>
        </is>
      </c>
      <c r="P31" t="inlineStr">
        <is>
          <t>nyu</t>
        </is>
      </c>
      <c r="R31" t="inlineStr">
        <is>
          <t xml:space="preserve">DB </t>
        </is>
      </c>
      <c r="S31" t="n">
        <v>1</v>
      </c>
      <c r="T31" t="n">
        <v>1</v>
      </c>
      <c r="U31" t="inlineStr">
        <is>
          <t>2004-02-01</t>
        </is>
      </c>
      <c r="V31" t="inlineStr">
        <is>
          <t>2004-02-01</t>
        </is>
      </c>
      <c r="W31" t="inlineStr">
        <is>
          <t>1990-11-20</t>
        </is>
      </c>
      <c r="X31" t="inlineStr">
        <is>
          <t>1990-11-20</t>
        </is>
      </c>
      <c r="Y31" t="n">
        <v>820</v>
      </c>
      <c r="Z31" t="n">
        <v>641</v>
      </c>
      <c r="AA31" t="n">
        <v>1165</v>
      </c>
      <c r="AB31" t="n">
        <v>4</v>
      </c>
      <c r="AC31" t="n">
        <v>7</v>
      </c>
      <c r="AD31" t="n">
        <v>30</v>
      </c>
      <c r="AE31" t="n">
        <v>42</v>
      </c>
      <c r="AF31" t="n">
        <v>10</v>
      </c>
      <c r="AG31" t="n">
        <v>16</v>
      </c>
      <c r="AH31" t="n">
        <v>10</v>
      </c>
      <c r="AI31" t="n">
        <v>11</v>
      </c>
      <c r="AJ31" t="n">
        <v>17</v>
      </c>
      <c r="AK31" t="n">
        <v>21</v>
      </c>
      <c r="AL31" t="n">
        <v>3</v>
      </c>
      <c r="AM31" t="n">
        <v>6</v>
      </c>
      <c r="AN31" t="n">
        <v>0</v>
      </c>
      <c r="AO31" t="n">
        <v>0</v>
      </c>
      <c r="AP31" t="inlineStr">
        <is>
          <t>No</t>
        </is>
      </c>
      <c r="AQ31" t="inlineStr">
        <is>
          <t>No</t>
        </is>
      </c>
      <c r="AS31">
        <f>HYPERLINK("https://creighton-primo.hosted.exlibrisgroup.com/primo-explore/search?tab=default_tab&amp;search_scope=EVERYTHING&amp;vid=01CRU&amp;lang=en_US&amp;offset=0&amp;query=any,contains,991004667049702656","Catalog Record")</f>
        <v/>
      </c>
      <c r="AT31">
        <f>HYPERLINK("http://www.worldcat.org/oclc/4504677","WorldCat Record")</f>
        <v/>
      </c>
      <c r="AU31" t="inlineStr">
        <is>
          <t>25169117:eng</t>
        </is>
      </c>
      <c r="AV31" t="inlineStr">
        <is>
          <t>4504677</t>
        </is>
      </c>
      <c r="AW31" t="inlineStr">
        <is>
          <t>991004667049702656</t>
        </is>
      </c>
      <c r="AX31" t="inlineStr">
        <is>
          <t>991004667049702656</t>
        </is>
      </c>
      <c r="AY31" t="inlineStr">
        <is>
          <t>2264866740002656</t>
        </is>
      </c>
      <c r="AZ31" t="inlineStr">
        <is>
          <t>BOOK</t>
        </is>
      </c>
      <c r="BB31" t="inlineStr">
        <is>
          <t>9780231046022</t>
        </is>
      </c>
      <c r="BC31" t="inlineStr">
        <is>
          <t>32285000393123</t>
        </is>
      </c>
      <c r="BD31" t="inlineStr">
        <is>
          <t>893600095</t>
        </is>
      </c>
    </row>
    <row r="32">
      <c r="A32" t="inlineStr">
        <is>
          <t>No</t>
        </is>
      </c>
      <c r="B32" t="inlineStr">
        <is>
          <t>DB948 .K47 1974</t>
        </is>
      </c>
      <c r="C32" t="inlineStr">
        <is>
          <t>0                      DB 0948000K  47          1974</t>
        </is>
      </c>
      <c r="D32" t="inlineStr">
        <is>
          <t>Diplomacy in a whirlpool; Hungary between Nazi Germany and Soviet Russia, by Stephen D. Kertesz.</t>
        </is>
      </c>
      <c r="F32" t="inlineStr">
        <is>
          <t>No</t>
        </is>
      </c>
      <c r="G32" t="inlineStr">
        <is>
          <t>1</t>
        </is>
      </c>
      <c r="H32" t="inlineStr">
        <is>
          <t>No</t>
        </is>
      </c>
      <c r="I32" t="inlineStr">
        <is>
          <t>No</t>
        </is>
      </c>
      <c r="J32" t="inlineStr">
        <is>
          <t>0</t>
        </is>
      </c>
      <c r="K32" t="inlineStr">
        <is>
          <t>Kertesz, Stephen D. (Stephen Denis), 1904-1986.</t>
        </is>
      </c>
      <c r="L32" t="inlineStr">
        <is>
          <t>Westport, Conn., Greenwood Press [1974, c1953]</t>
        </is>
      </c>
      <c r="M32" t="inlineStr">
        <is>
          <t>1974</t>
        </is>
      </c>
      <c r="O32" t="inlineStr">
        <is>
          <t>eng</t>
        </is>
      </c>
      <c r="P32" t="inlineStr">
        <is>
          <t>ctu</t>
        </is>
      </c>
      <c r="R32" t="inlineStr">
        <is>
          <t xml:space="preserve">DB </t>
        </is>
      </c>
      <c r="S32" t="n">
        <v>1</v>
      </c>
      <c r="T32" t="n">
        <v>1</v>
      </c>
      <c r="U32" t="inlineStr">
        <is>
          <t>2004-02-01</t>
        </is>
      </c>
      <c r="V32" t="inlineStr">
        <is>
          <t>2004-02-01</t>
        </is>
      </c>
      <c r="W32" t="inlineStr">
        <is>
          <t>1996-10-24</t>
        </is>
      </c>
      <c r="X32" t="inlineStr">
        <is>
          <t>1996-10-24</t>
        </is>
      </c>
      <c r="Y32" t="n">
        <v>84</v>
      </c>
      <c r="Z32" t="n">
        <v>68</v>
      </c>
      <c r="AA32" t="n">
        <v>460</v>
      </c>
      <c r="AB32" t="n">
        <v>1</v>
      </c>
      <c r="AC32" t="n">
        <v>4</v>
      </c>
      <c r="AD32" t="n">
        <v>2</v>
      </c>
      <c r="AE32" t="n">
        <v>30</v>
      </c>
      <c r="AF32" t="n">
        <v>0</v>
      </c>
      <c r="AG32" t="n">
        <v>13</v>
      </c>
      <c r="AH32" t="n">
        <v>2</v>
      </c>
      <c r="AI32" t="n">
        <v>6</v>
      </c>
      <c r="AJ32" t="n">
        <v>2</v>
      </c>
      <c r="AK32" t="n">
        <v>18</v>
      </c>
      <c r="AL32" t="n">
        <v>0</v>
      </c>
      <c r="AM32" t="n">
        <v>3</v>
      </c>
      <c r="AN32" t="n">
        <v>0</v>
      </c>
      <c r="AO32" t="n">
        <v>1</v>
      </c>
      <c r="AP32" t="inlineStr">
        <is>
          <t>No</t>
        </is>
      </c>
      <c r="AQ32" t="inlineStr">
        <is>
          <t>Yes</t>
        </is>
      </c>
      <c r="AR32">
        <f>HYPERLINK("http://catalog.hathitrust.org/Record/004405612","HathiTrust Record")</f>
        <v/>
      </c>
      <c r="AS32">
        <f>HYPERLINK("https://creighton-primo.hosted.exlibrisgroup.com/primo-explore/search?tab=default_tab&amp;search_scope=EVERYTHING&amp;vid=01CRU&amp;lang=en_US&amp;offset=0&amp;query=any,contains,991003362159702656","Catalog Record")</f>
        <v/>
      </c>
      <c r="AT32">
        <f>HYPERLINK("http://www.worldcat.org/oclc/897988","WorldCat Record")</f>
        <v/>
      </c>
      <c r="AU32" t="inlineStr">
        <is>
          <t>199048927:eng</t>
        </is>
      </c>
      <c r="AV32" t="inlineStr">
        <is>
          <t>897988</t>
        </is>
      </c>
      <c r="AW32" t="inlineStr">
        <is>
          <t>991003362159702656</t>
        </is>
      </c>
      <c r="AX32" t="inlineStr">
        <is>
          <t>991003362159702656</t>
        </is>
      </c>
      <c r="AY32" t="inlineStr">
        <is>
          <t>2257297750002656</t>
        </is>
      </c>
      <c r="AZ32" t="inlineStr">
        <is>
          <t>BOOK</t>
        </is>
      </c>
      <c r="BB32" t="inlineStr">
        <is>
          <t>9780837175409</t>
        </is>
      </c>
      <c r="BC32" t="inlineStr">
        <is>
          <t>32285002377702</t>
        </is>
      </c>
      <c r="BD32" t="inlineStr">
        <is>
          <t>893893667</t>
        </is>
      </c>
    </row>
    <row r="33">
      <c r="A33" t="inlineStr">
        <is>
          <t>No</t>
        </is>
      </c>
      <c r="B33" t="inlineStr">
        <is>
          <t>DB950.K23 S5 1974</t>
        </is>
      </c>
      <c r="C33" t="inlineStr">
        <is>
          <t>0                      DB 0950000K  23                 S  5           1974</t>
        </is>
      </c>
      <c r="D33" t="inlineStr">
        <is>
          <t>Crime and compromise : Janos Kadar and the politics of Hungary since revolution.</t>
        </is>
      </c>
      <c r="F33" t="inlineStr">
        <is>
          <t>No</t>
        </is>
      </c>
      <c r="G33" t="inlineStr">
        <is>
          <t>1</t>
        </is>
      </c>
      <c r="H33" t="inlineStr">
        <is>
          <t>No</t>
        </is>
      </c>
      <c r="I33" t="inlineStr">
        <is>
          <t>No</t>
        </is>
      </c>
      <c r="J33" t="inlineStr">
        <is>
          <t>0</t>
        </is>
      </c>
      <c r="K33" t="inlineStr">
        <is>
          <t>Shawcross, William.</t>
        </is>
      </c>
      <c r="L33" t="inlineStr">
        <is>
          <t>New York : Dutton, 1974.</t>
        </is>
      </c>
      <c r="M33" t="inlineStr">
        <is>
          <t>1974</t>
        </is>
      </c>
      <c r="N33" t="inlineStr">
        <is>
          <t>[1st ed.]</t>
        </is>
      </c>
      <c r="O33" t="inlineStr">
        <is>
          <t>eng</t>
        </is>
      </c>
      <c r="P33" t="inlineStr">
        <is>
          <t>nyu</t>
        </is>
      </c>
      <c r="R33" t="inlineStr">
        <is>
          <t xml:space="preserve">DB </t>
        </is>
      </c>
      <c r="S33" t="n">
        <v>1</v>
      </c>
      <c r="T33" t="n">
        <v>1</v>
      </c>
      <c r="U33" t="inlineStr">
        <is>
          <t>2004-02-01</t>
        </is>
      </c>
      <c r="V33" t="inlineStr">
        <is>
          <t>2004-02-01</t>
        </is>
      </c>
      <c r="W33" t="inlineStr">
        <is>
          <t>1991-01-10</t>
        </is>
      </c>
      <c r="X33" t="inlineStr">
        <is>
          <t>1991-01-10</t>
        </is>
      </c>
      <c r="Y33" t="n">
        <v>463</v>
      </c>
      <c r="Z33" t="n">
        <v>410</v>
      </c>
      <c r="AA33" t="n">
        <v>423</v>
      </c>
      <c r="AB33" t="n">
        <v>4</v>
      </c>
      <c r="AC33" t="n">
        <v>4</v>
      </c>
      <c r="AD33" t="n">
        <v>18</v>
      </c>
      <c r="AE33" t="n">
        <v>18</v>
      </c>
      <c r="AF33" t="n">
        <v>4</v>
      </c>
      <c r="AG33" t="n">
        <v>4</v>
      </c>
      <c r="AH33" t="n">
        <v>3</v>
      </c>
      <c r="AI33" t="n">
        <v>3</v>
      </c>
      <c r="AJ33" t="n">
        <v>11</v>
      </c>
      <c r="AK33" t="n">
        <v>11</v>
      </c>
      <c r="AL33" t="n">
        <v>2</v>
      </c>
      <c r="AM33" t="n">
        <v>2</v>
      </c>
      <c r="AN33" t="n">
        <v>1</v>
      </c>
      <c r="AO33" t="n">
        <v>1</v>
      </c>
      <c r="AP33" t="inlineStr">
        <is>
          <t>No</t>
        </is>
      </c>
      <c r="AQ33" t="inlineStr">
        <is>
          <t>Yes</t>
        </is>
      </c>
      <c r="AR33">
        <f>HYPERLINK("http://catalog.hathitrust.org/Record/001601061","HathiTrust Record")</f>
        <v/>
      </c>
      <c r="AS33">
        <f>HYPERLINK("https://creighton-primo.hosted.exlibrisgroup.com/primo-explore/search?tab=default_tab&amp;search_scope=EVERYTHING&amp;vid=01CRU&amp;lang=en_US&amp;offset=0&amp;query=any,contains,991003165589702656","Catalog Record")</f>
        <v/>
      </c>
      <c r="AT33">
        <f>HYPERLINK("http://www.worldcat.org/oclc/703139","WorldCat Record")</f>
        <v/>
      </c>
      <c r="AU33" t="inlineStr">
        <is>
          <t>1612212:eng</t>
        </is>
      </c>
      <c r="AV33" t="inlineStr">
        <is>
          <t>703139</t>
        </is>
      </c>
      <c r="AW33" t="inlineStr">
        <is>
          <t>991003165589702656</t>
        </is>
      </c>
      <c r="AX33" t="inlineStr">
        <is>
          <t>991003165589702656</t>
        </is>
      </c>
      <c r="AY33" t="inlineStr">
        <is>
          <t>2257301850002656</t>
        </is>
      </c>
      <c r="AZ33" t="inlineStr">
        <is>
          <t>BOOK</t>
        </is>
      </c>
      <c r="BB33" t="inlineStr">
        <is>
          <t>9780525087359</t>
        </is>
      </c>
      <c r="BC33" t="inlineStr">
        <is>
          <t>32285000430446</t>
        </is>
      </c>
      <c r="BD33" t="inlineStr">
        <is>
          <t>893887200</t>
        </is>
      </c>
    </row>
    <row r="34">
      <c r="A34" t="inlineStr">
        <is>
          <t>No</t>
        </is>
      </c>
      <c r="B34" t="inlineStr">
        <is>
          <t>DB955 .T55</t>
        </is>
      </c>
      <c r="C34" t="inlineStr">
        <is>
          <t>0                      DB 0955000T  55</t>
        </is>
      </c>
      <c r="D34" t="inlineStr">
        <is>
          <t>Béla Kun and the Hungarian Soviet Republic; the origins and role of the Communist Party of Hungary in the revolutions of 1918-1919 [by] Rudolf L. Tokés.</t>
        </is>
      </c>
      <c r="F34" t="inlineStr">
        <is>
          <t>No</t>
        </is>
      </c>
      <c r="G34" t="inlineStr">
        <is>
          <t>1</t>
        </is>
      </c>
      <c r="H34" t="inlineStr">
        <is>
          <t>No</t>
        </is>
      </c>
      <c r="I34" t="inlineStr">
        <is>
          <t>No</t>
        </is>
      </c>
      <c r="J34" t="inlineStr">
        <is>
          <t>0</t>
        </is>
      </c>
      <c r="K34" t="inlineStr">
        <is>
          <t>Tökés, Rudolf L., 1935-</t>
        </is>
      </c>
      <c r="L34" t="inlineStr">
        <is>
          <t>New York, Published for the Hoover Institution on War, Revolution, and Peace, Stanford, Calif., by F. A. Praeger [1967]</t>
        </is>
      </c>
      <c r="M34" t="inlineStr">
        <is>
          <t>1967</t>
        </is>
      </c>
      <c r="O34" t="inlineStr">
        <is>
          <t>eng</t>
        </is>
      </c>
      <c r="P34" t="inlineStr">
        <is>
          <t>nyu</t>
        </is>
      </c>
      <c r="Q34" t="inlineStr">
        <is>
          <t>Hoover Institution publications</t>
        </is>
      </c>
      <c r="R34" t="inlineStr">
        <is>
          <t xml:space="preserve">DB </t>
        </is>
      </c>
      <c r="S34" t="n">
        <v>0</v>
      </c>
      <c r="T34" t="n">
        <v>0</v>
      </c>
      <c r="U34" t="inlineStr">
        <is>
          <t>2002-10-08</t>
        </is>
      </c>
      <c r="V34" t="inlineStr">
        <is>
          <t>2002-10-08</t>
        </is>
      </c>
      <c r="W34" t="inlineStr">
        <is>
          <t>1996-10-24</t>
        </is>
      </c>
      <c r="X34" t="inlineStr">
        <is>
          <t>1996-10-24</t>
        </is>
      </c>
      <c r="Y34" t="n">
        <v>553</v>
      </c>
      <c r="Z34" t="n">
        <v>441</v>
      </c>
      <c r="AA34" t="n">
        <v>444</v>
      </c>
      <c r="AB34" t="n">
        <v>4</v>
      </c>
      <c r="AC34" t="n">
        <v>4</v>
      </c>
      <c r="AD34" t="n">
        <v>25</v>
      </c>
      <c r="AE34" t="n">
        <v>25</v>
      </c>
      <c r="AF34" t="n">
        <v>9</v>
      </c>
      <c r="AG34" t="n">
        <v>9</v>
      </c>
      <c r="AH34" t="n">
        <v>6</v>
      </c>
      <c r="AI34" t="n">
        <v>6</v>
      </c>
      <c r="AJ34" t="n">
        <v>14</v>
      </c>
      <c r="AK34" t="n">
        <v>14</v>
      </c>
      <c r="AL34" t="n">
        <v>3</v>
      </c>
      <c r="AM34" t="n">
        <v>3</v>
      </c>
      <c r="AN34" t="n">
        <v>0</v>
      </c>
      <c r="AO34" t="n">
        <v>0</v>
      </c>
      <c r="AP34" t="inlineStr">
        <is>
          <t>No</t>
        </is>
      </c>
      <c r="AQ34" t="inlineStr">
        <is>
          <t>Yes</t>
        </is>
      </c>
      <c r="AR34">
        <f>HYPERLINK("http://catalog.hathitrust.org/Record/001601109","HathiTrust Record")</f>
        <v/>
      </c>
      <c r="AS34">
        <f>HYPERLINK("https://creighton-primo.hosted.exlibrisgroup.com/primo-explore/search?tab=default_tab&amp;search_scope=EVERYTHING&amp;vid=01CRU&amp;lang=en_US&amp;offset=0&amp;query=any,contains,991000244889702656","Catalog Record")</f>
        <v/>
      </c>
      <c r="AT34">
        <f>HYPERLINK("http://www.worldcat.org/oclc/9692270","WorldCat Record")</f>
        <v/>
      </c>
      <c r="AU34" t="inlineStr">
        <is>
          <t>197074176:eng</t>
        </is>
      </c>
      <c r="AV34" t="inlineStr">
        <is>
          <t>9692270</t>
        </is>
      </c>
      <c r="AW34" t="inlineStr">
        <is>
          <t>991000244889702656</t>
        </is>
      </c>
      <c r="AX34" t="inlineStr">
        <is>
          <t>991000244889702656</t>
        </is>
      </c>
      <c r="AY34" t="inlineStr">
        <is>
          <t>2266913640002656</t>
        </is>
      </c>
      <c r="AZ34" t="inlineStr">
        <is>
          <t>BOOK</t>
        </is>
      </c>
      <c r="BC34" t="inlineStr">
        <is>
          <t>32285002377744</t>
        </is>
      </c>
      <c r="BD34" t="inlineStr">
        <is>
          <t>893438124</t>
        </is>
      </c>
    </row>
    <row r="35">
      <c r="A35" t="inlineStr">
        <is>
          <t>No</t>
        </is>
      </c>
      <c r="B35" t="inlineStr">
        <is>
          <t>DB98.W28 H47 1988</t>
        </is>
      </c>
      <c r="C35" t="inlineStr">
        <is>
          <t>0                      DB 0098000W  28                 H  47          1988</t>
        </is>
      </c>
      <c r="D35" t="inlineStr">
        <is>
          <t>Waldheim : the missing years / Robert Edwin Herzstein.</t>
        </is>
      </c>
      <c r="F35" t="inlineStr">
        <is>
          <t>No</t>
        </is>
      </c>
      <c r="G35" t="inlineStr">
        <is>
          <t>1</t>
        </is>
      </c>
      <c r="H35" t="inlineStr">
        <is>
          <t>No</t>
        </is>
      </c>
      <c r="I35" t="inlineStr">
        <is>
          <t>No</t>
        </is>
      </c>
      <c r="J35" t="inlineStr">
        <is>
          <t>0</t>
        </is>
      </c>
      <c r="K35" t="inlineStr">
        <is>
          <t>Herzstein, Robert Edwin.</t>
        </is>
      </c>
      <c r="L35" t="inlineStr">
        <is>
          <t>New York : Arbor House, c1988.</t>
        </is>
      </c>
      <c r="M35" t="inlineStr">
        <is>
          <t>1988</t>
        </is>
      </c>
      <c r="N35" t="inlineStr">
        <is>
          <t>1st ed.</t>
        </is>
      </c>
      <c r="O35" t="inlineStr">
        <is>
          <t>eng</t>
        </is>
      </c>
      <c r="P35" t="inlineStr">
        <is>
          <t>nyu</t>
        </is>
      </c>
      <c r="R35" t="inlineStr">
        <is>
          <t xml:space="preserve">DB </t>
        </is>
      </c>
      <c r="S35" t="n">
        <v>1</v>
      </c>
      <c r="T35" t="n">
        <v>1</v>
      </c>
      <c r="U35" t="inlineStr">
        <is>
          <t>1998-02-23</t>
        </is>
      </c>
      <c r="V35" t="inlineStr">
        <is>
          <t>1998-02-23</t>
        </is>
      </c>
      <c r="W35" t="inlineStr">
        <is>
          <t>1990-11-19</t>
        </is>
      </c>
      <c r="X35" t="inlineStr">
        <is>
          <t>1990-11-19</t>
        </is>
      </c>
      <c r="Y35" t="n">
        <v>938</v>
      </c>
      <c r="Z35" t="n">
        <v>863</v>
      </c>
      <c r="AA35" t="n">
        <v>921</v>
      </c>
      <c r="AB35" t="n">
        <v>5</v>
      </c>
      <c r="AC35" t="n">
        <v>5</v>
      </c>
      <c r="AD35" t="n">
        <v>21</v>
      </c>
      <c r="AE35" t="n">
        <v>25</v>
      </c>
      <c r="AF35" t="n">
        <v>9</v>
      </c>
      <c r="AG35" t="n">
        <v>11</v>
      </c>
      <c r="AH35" t="n">
        <v>4</v>
      </c>
      <c r="AI35" t="n">
        <v>5</v>
      </c>
      <c r="AJ35" t="n">
        <v>11</v>
      </c>
      <c r="AK35" t="n">
        <v>13</v>
      </c>
      <c r="AL35" t="n">
        <v>3</v>
      </c>
      <c r="AM35" t="n">
        <v>3</v>
      </c>
      <c r="AN35" t="n">
        <v>0</v>
      </c>
      <c r="AO35" t="n">
        <v>0</v>
      </c>
      <c r="AP35" t="inlineStr">
        <is>
          <t>No</t>
        </is>
      </c>
      <c r="AQ35" t="inlineStr">
        <is>
          <t>Yes</t>
        </is>
      </c>
      <c r="AR35">
        <f>HYPERLINK("http://catalog.hathitrust.org/Record/001090147","HathiTrust Record")</f>
        <v/>
      </c>
      <c r="AS35">
        <f>HYPERLINK("https://creighton-primo.hosted.exlibrisgroup.com/primo-explore/search?tab=default_tab&amp;search_scope=EVERYTHING&amp;vid=01CRU&amp;lang=en_US&amp;offset=0&amp;query=any,contains,991001223649702656","Catalog Record")</f>
        <v/>
      </c>
      <c r="AT35">
        <f>HYPERLINK("http://www.worldcat.org/oclc/17484125","WorldCat Record")</f>
        <v/>
      </c>
      <c r="AU35" t="inlineStr">
        <is>
          <t>15695390:eng</t>
        </is>
      </c>
      <c r="AV35" t="inlineStr">
        <is>
          <t>17484125</t>
        </is>
      </c>
      <c r="AW35" t="inlineStr">
        <is>
          <t>991001223649702656</t>
        </is>
      </c>
      <c r="AX35" t="inlineStr">
        <is>
          <t>991001223649702656</t>
        </is>
      </c>
      <c r="AY35" t="inlineStr">
        <is>
          <t>2257382870002656</t>
        </is>
      </c>
      <c r="AZ35" t="inlineStr">
        <is>
          <t>BOOK</t>
        </is>
      </c>
      <c r="BB35" t="inlineStr">
        <is>
          <t>9780877959595</t>
        </is>
      </c>
      <c r="BC35" t="inlineStr">
        <is>
          <t>32285000392844</t>
        </is>
      </c>
      <c r="BD35" t="inlineStr">
        <is>
          <t>893516003</t>
        </is>
      </c>
    </row>
    <row r="36">
      <c r="A36" t="inlineStr">
        <is>
          <t>No</t>
        </is>
      </c>
      <c r="B36" t="inlineStr">
        <is>
          <t>DC103 .B3 1854</t>
        </is>
      </c>
      <c r="C36" t="inlineStr">
        <is>
          <t>0                      DC 0103000B  3           1854</t>
        </is>
      </c>
      <c r="D36" t="inlineStr">
        <is>
          <t>The life of Joan of Arc : the maid of Orleans / by David W. Bartlett.</t>
        </is>
      </c>
      <c r="F36" t="inlineStr">
        <is>
          <t>No</t>
        </is>
      </c>
      <c r="G36" t="inlineStr">
        <is>
          <t>1</t>
        </is>
      </c>
      <c r="H36" t="inlineStr">
        <is>
          <t>No</t>
        </is>
      </c>
      <c r="I36" t="inlineStr">
        <is>
          <t>No</t>
        </is>
      </c>
      <c r="J36" t="inlineStr">
        <is>
          <t>0</t>
        </is>
      </c>
      <c r="K36" t="inlineStr">
        <is>
          <t>Bartlett, D. W. (David W.), 1828-1912.</t>
        </is>
      </c>
      <c r="L36" t="inlineStr">
        <is>
          <t>Auburn [N.Y.] : Miller, Orton &amp; Mulligan, 1854.</t>
        </is>
      </c>
      <c r="M36" t="inlineStr">
        <is>
          <t>1854</t>
        </is>
      </c>
      <c r="O36" t="inlineStr">
        <is>
          <t>eng</t>
        </is>
      </c>
      <c r="P36" t="inlineStr">
        <is>
          <t>nyu</t>
        </is>
      </c>
      <c r="R36" t="inlineStr">
        <is>
          <t xml:space="preserve">DC </t>
        </is>
      </c>
      <c r="S36" t="n">
        <v>7</v>
      </c>
      <c r="T36" t="n">
        <v>7</v>
      </c>
      <c r="U36" t="inlineStr">
        <is>
          <t>2000-09-27</t>
        </is>
      </c>
      <c r="V36" t="inlineStr">
        <is>
          <t>2000-09-27</t>
        </is>
      </c>
      <c r="W36" t="inlineStr">
        <is>
          <t>1990-07-19</t>
        </is>
      </c>
      <c r="X36" t="inlineStr">
        <is>
          <t>1990-07-19</t>
        </is>
      </c>
      <c r="Y36" t="n">
        <v>11</v>
      </c>
      <c r="Z36" t="n">
        <v>11</v>
      </c>
      <c r="AA36" t="n">
        <v>92</v>
      </c>
      <c r="AB36" t="n">
        <v>1</v>
      </c>
      <c r="AC36" t="n">
        <v>1</v>
      </c>
      <c r="AD36" t="n">
        <v>0</v>
      </c>
      <c r="AE36" t="n">
        <v>5</v>
      </c>
      <c r="AF36" t="n">
        <v>0</v>
      </c>
      <c r="AG36" t="n">
        <v>1</v>
      </c>
      <c r="AH36" t="n">
        <v>0</v>
      </c>
      <c r="AI36" t="n">
        <v>1</v>
      </c>
      <c r="AJ36" t="n">
        <v>0</v>
      </c>
      <c r="AK36" t="n">
        <v>3</v>
      </c>
      <c r="AL36" t="n">
        <v>0</v>
      </c>
      <c r="AM36" t="n">
        <v>0</v>
      </c>
      <c r="AN36" t="n">
        <v>0</v>
      </c>
      <c r="AO36" t="n">
        <v>0</v>
      </c>
      <c r="AP36" t="inlineStr">
        <is>
          <t>Yes</t>
        </is>
      </c>
      <c r="AQ36" t="inlineStr">
        <is>
          <t>No</t>
        </is>
      </c>
      <c r="AR36">
        <f>HYPERLINK("http://catalog.hathitrust.org/Record/009575615","HathiTrust Record")</f>
        <v/>
      </c>
      <c r="AS36">
        <f>HYPERLINK("https://creighton-primo.hosted.exlibrisgroup.com/primo-explore/search?tab=default_tab&amp;search_scope=EVERYTHING&amp;vid=01CRU&amp;lang=en_US&amp;offset=0&amp;query=any,contains,991000946079702656","Catalog Record")</f>
        <v/>
      </c>
      <c r="AT36">
        <f>HYPERLINK("http://www.worldcat.org/oclc/14581454","WorldCat Record")</f>
        <v/>
      </c>
      <c r="AU36" t="inlineStr">
        <is>
          <t>17395877:eng</t>
        </is>
      </c>
      <c r="AV36" t="inlineStr">
        <is>
          <t>14581454</t>
        </is>
      </c>
      <c r="AW36" t="inlineStr">
        <is>
          <t>991000946079702656</t>
        </is>
      </c>
      <c r="AX36" t="inlineStr">
        <is>
          <t>991000946079702656</t>
        </is>
      </c>
      <c r="AY36" t="inlineStr">
        <is>
          <t>2255073400002656</t>
        </is>
      </c>
      <c r="AZ36" t="inlineStr">
        <is>
          <t>BOOK</t>
        </is>
      </c>
      <c r="BC36" t="inlineStr">
        <is>
          <t>32285000245539</t>
        </is>
      </c>
      <c r="BD36" t="inlineStr">
        <is>
          <t>893231558</t>
        </is>
      </c>
    </row>
    <row r="37">
      <c r="A37" t="inlineStr">
        <is>
          <t>No</t>
        </is>
      </c>
      <c r="B37" t="inlineStr">
        <is>
          <t>DC103 .C62 1924</t>
        </is>
      </c>
      <c r="C37" t="inlineStr">
        <is>
          <t>0                      DC 0103000C  62          1924</t>
        </is>
      </c>
      <c r="D37" t="inlineStr">
        <is>
          <t>Personal recollections of Joan of Arc / by the Sieur Louis de Conte (her page and secretary) ; freely translated out of the ancient French into modern English from the original unpublished manuscript in the national archives of France by Jean François Alden.</t>
        </is>
      </c>
      <c r="F37" t="inlineStr">
        <is>
          <t>Yes</t>
        </is>
      </c>
      <c r="G37" t="inlineStr">
        <is>
          <t>1</t>
        </is>
      </c>
      <c r="H37" t="inlineStr">
        <is>
          <t>Yes</t>
        </is>
      </c>
      <c r="I37" t="inlineStr">
        <is>
          <t>No</t>
        </is>
      </c>
      <c r="J37" t="inlineStr">
        <is>
          <t>0</t>
        </is>
      </c>
      <c r="K37" t="inlineStr">
        <is>
          <t>Twain, Mark, 1835-1910.</t>
        </is>
      </c>
      <c r="L37" t="inlineStr">
        <is>
          <t>New York : Harper &amp; Bros., 1924, c1899.</t>
        </is>
      </c>
      <c r="M37" t="inlineStr">
        <is>
          <t>1924</t>
        </is>
      </c>
      <c r="O37" t="inlineStr">
        <is>
          <t>eng</t>
        </is>
      </c>
      <c r="P37" t="inlineStr">
        <is>
          <t>nyu</t>
        </is>
      </c>
      <c r="Q37" t="inlineStr">
        <is>
          <t>Writings of Mark Twain ; [v. 12-13]</t>
        </is>
      </c>
      <c r="R37" t="inlineStr">
        <is>
          <t xml:space="preserve">DC </t>
        </is>
      </c>
      <c r="S37" t="n">
        <v>3</v>
      </c>
      <c r="T37" t="n">
        <v>10</v>
      </c>
      <c r="U37" t="inlineStr">
        <is>
          <t>2009-06-12</t>
        </is>
      </c>
      <c r="V37" t="inlineStr">
        <is>
          <t>2009-06-12</t>
        </is>
      </c>
      <c r="W37" t="inlineStr">
        <is>
          <t>1995-02-28</t>
        </is>
      </c>
      <c r="X37" t="inlineStr">
        <is>
          <t>1995-02-28</t>
        </is>
      </c>
      <c r="Y37" t="n">
        <v>157</v>
      </c>
      <c r="Z37" t="n">
        <v>149</v>
      </c>
      <c r="AA37" t="n">
        <v>156</v>
      </c>
      <c r="AB37" t="n">
        <v>2</v>
      </c>
      <c r="AC37" t="n">
        <v>2</v>
      </c>
      <c r="AD37" t="n">
        <v>4</v>
      </c>
      <c r="AE37" t="n">
        <v>4</v>
      </c>
      <c r="AF37" t="n">
        <v>1</v>
      </c>
      <c r="AG37" t="n">
        <v>1</v>
      </c>
      <c r="AH37" t="n">
        <v>2</v>
      </c>
      <c r="AI37" t="n">
        <v>2</v>
      </c>
      <c r="AJ37" t="n">
        <v>2</v>
      </c>
      <c r="AK37" t="n">
        <v>2</v>
      </c>
      <c r="AL37" t="n">
        <v>0</v>
      </c>
      <c r="AM37" t="n">
        <v>0</v>
      </c>
      <c r="AN37" t="n">
        <v>0</v>
      </c>
      <c r="AO37" t="n">
        <v>0</v>
      </c>
      <c r="AP37" t="inlineStr">
        <is>
          <t>Yes</t>
        </is>
      </c>
      <c r="AQ37" t="inlineStr">
        <is>
          <t>No</t>
        </is>
      </c>
      <c r="AR37">
        <f>HYPERLINK("http://catalog.hathitrust.org/Record/008370138","HathiTrust Record")</f>
        <v/>
      </c>
      <c r="AS37">
        <f>HYPERLINK("https://creighton-primo.hosted.exlibrisgroup.com/primo-explore/search?tab=default_tab&amp;search_scope=EVERYTHING&amp;vid=01CRU&amp;lang=en_US&amp;offset=0&amp;query=any,contains,991001978979702656","Catalog Record")</f>
        <v/>
      </c>
      <c r="AT37">
        <f>HYPERLINK("http://www.worldcat.org/oclc/1250265","WorldCat Record")</f>
        <v/>
      </c>
      <c r="AU37" t="inlineStr">
        <is>
          <t>8891612726:eng</t>
        </is>
      </c>
      <c r="AV37" t="inlineStr">
        <is>
          <t>1250265</t>
        </is>
      </c>
      <c r="AW37" t="inlineStr">
        <is>
          <t>991001978979702656</t>
        </is>
      </c>
      <c r="AX37" t="inlineStr">
        <is>
          <t>991001978979702656</t>
        </is>
      </c>
      <c r="AY37" t="inlineStr">
        <is>
          <t>2262271610002656</t>
        </is>
      </c>
      <c r="AZ37" t="inlineStr">
        <is>
          <t>BOOK</t>
        </is>
      </c>
      <c r="BC37" t="inlineStr">
        <is>
          <t>32285002010949</t>
        </is>
      </c>
      <c r="BD37" t="inlineStr">
        <is>
          <t>893703526</t>
        </is>
      </c>
    </row>
    <row r="38">
      <c r="A38" t="inlineStr">
        <is>
          <t>No</t>
        </is>
      </c>
      <c r="B38" t="inlineStr">
        <is>
          <t>DC103 .C62 1924 V2</t>
        </is>
      </c>
      <c r="C38" t="inlineStr">
        <is>
          <t>0                      DC 0103000C  62          1924   V  2</t>
        </is>
      </c>
      <c r="D38" t="inlineStr">
        <is>
          <t>Personal recollections of Joan of Arc / by the Sieur Louis de Conte (her page and secretary) ; freely translated out of the ancient French into modern English from the original unpublished manuscript in the national archives of France by Jean François Alden.</t>
        </is>
      </c>
      <c r="F38" t="inlineStr">
        <is>
          <t>Yes</t>
        </is>
      </c>
      <c r="G38" t="inlineStr">
        <is>
          <t>1</t>
        </is>
      </c>
      <c r="H38" t="inlineStr">
        <is>
          <t>Yes</t>
        </is>
      </c>
      <c r="I38" t="inlineStr">
        <is>
          <t>No</t>
        </is>
      </c>
      <c r="J38" t="inlineStr">
        <is>
          <t>0</t>
        </is>
      </c>
      <c r="K38" t="inlineStr">
        <is>
          <t>Twain, Mark, 1835-1910.</t>
        </is>
      </c>
      <c r="L38" t="inlineStr">
        <is>
          <t>New York : Harper &amp; Bros., 1924, c1899.</t>
        </is>
      </c>
      <c r="M38" t="inlineStr">
        <is>
          <t>1924</t>
        </is>
      </c>
      <c r="O38" t="inlineStr">
        <is>
          <t>eng</t>
        </is>
      </c>
      <c r="P38" t="inlineStr">
        <is>
          <t>nyu</t>
        </is>
      </c>
      <c r="Q38" t="inlineStr">
        <is>
          <t>Writings of Mark Twain ; [v. 12-13]</t>
        </is>
      </c>
      <c r="R38" t="inlineStr">
        <is>
          <t xml:space="preserve">DC </t>
        </is>
      </c>
      <c r="S38" t="n">
        <v>7</v>
      </c>
      <c r="T38" t="n">
        <v>10</v>
      </c>
      <c r="U38" t="inlineStr">
        <is>
          <t>2009-06-12</t>
        </is>
      </c>
      <c r="V38" t="inlineStr">
        <is>
          <t>2009-06-12</t>
        </is>
      </c>
      <c r="W38" t="inlineStr">
        <is>
          <t>1995-02-28</t>
        </is>
      </c>
      <c r="X38" t="inlineStr">
        <is>
          <t>1995-02-28</t>
        </is>
      </c>
      <c r="Y38" t="n">
        <v>157</v>
      </c>
      <c r="Z38" t="n">
        <v>149</v>
      </c>
      <c r="AA38" t="n">
        <v>156</v>
      </c>
      <c r="AB38" t="n">
        <v>2</v>
      </c>
      <c r="AC38" t="n">
        <v>2</v>
      </c>
      <c r="AD38" t="n">
        <v>4</v>
      </c>
      <c r="AE38" t="n">
        <v>4</v>
      </c>
      <c r="AF38" t="n">
        <v>1</v>
      </c>
      <c r="AG38" t="n">
        <v>1</v>
      </c>
      <c r="AH38" t="n">
        <v>2</v>
      </c>
      <c r="AI38" t="n">
        <v>2</v>
      </c>
      <c r="AJ38" t="n">
        <v>2</v>
      </c>
      <c r="AK38" t="n">
        <v>2</v>
      </c>
      <c r="AL38" t="n">
        <v>0</v>
      </c>
      <c r="AM38" t="n">
        <v>0</v>
      </c>
      <c r="AN38" t="n">
        <v>0</v>
      </c>
      <c r="AO38" t="n">
        <v>0</v>
      </c>
      <c r="AP38" t="inlineStr">
        <is>
          <t>Yes</t>
        </is>
      </c>
      <c r="AQ38" t="inlineStr">
        <is>
          <t>No</t>
        </is>
      </c>
      <c r="AR38">
        <f>HYPERLINK("http://catalog.hathitrust.org/Record/008370138","HathiTrust Record")</f>
        <v/>
      </c>
      <c r="AS38">
        <f>HYPERLINK("https://creighton-primo.hosted.exlibrisgroup.com/primo-explore/search?tab=default_tab&amp;search_scope=EVERYTHING&amp;vid=01CRU&amp;lang=en_US&amp;offset=0&amp;query=any,contains,991001978979702656","Catalog Record")</f>
        <v/>
      </c>
      <c r="AT38">
        <f>HYPERLINK("http://www.worldcat.org/oclc/1250265","WorldCat Record")</f>
        <v/>
      </c>
      <c r="AU38" t="inlineStr">
        <is>
          <t>8891612726:eng</t>
        </is>
      </c>
      <c r="AV38" t="inlineStr">
        <is>
          <t>1250265</t>
        </is>
      </c>
      <c r="AW38" t="inlineStr">
        <is>
          <t>991001978979702656</t>
        </is>
      </c>
      <c r="AX38" t="inlineStr">
        <is>
          <t>991001978979702656</t>
        </is>
      </c>
      <c r="AY38" t="inlineStr">
        <is>
          <t>2262271610002656</t>
        </is>
      </c>
      <c r="AZ38" t="inlineStr">
        <is>
          <t>BOOK</t>
        </is>
      </c>
      <c r="BC38" t="inlineStr">
        <is>
          <t>32285002010956</t>
        </is>
      </c>
      <c r="BD38" t="inlineStr">
        <is>
          <t>893691081</t>
        </is>
      </c>
    </row>
    <row r="39">
      <c r="A39" t="inlineStr">
        <is>
          <t>No</t>
        </is>
      </c>
      <c r="B39" t="inlineStr">
        <is>
          <t>DC103 .C62 1968</t>
        </is>
      </c>
      <c r="C39" t="inlineStr">
        <is>
          <t>0                      DC 0103000C  62          1968</t>
        </is>
      </c>
      <c r="D39" t="inlineStr">
        <is>
          <t>Personal recollections of Joan of Arc / by the Sieur Louis de Conde.</t>
        </is>
      </c>
      <c r="E39" t="inlineStr">
        <is>
          <t>V.1</t>
        </is>
      </c>
      <c r="F39" t="inlineStr">
        <is>
          <t>Yes</t>
        </is>
      </c>
      <c r="G39" t="inlineStr">
        <is>
          <t>1</t>
        </is>
      </c>
      <c r="H39" t="inlineStr">
        <is>
          <t>No</t>
        </is>
      </c>
      <c r="I39" t="inlineStr">
        <is>
          <t>No</t>
        </is>
      </c>
      <c r="J39" t="inlineStr">
        <is>
          <t>0</t>
        </is>
      </c>
      <c r="K39" t="inlineStr">
        <is>
          <t>Twain, Mark, 1835-1910.</t>
        </is>
      </c>
      <c r="L39" t="inlineStr">
        <is>
          <t>Grosse Pointe, Mich. : Scholarly Press, [1968]</t>
        </is>
      </c>
      <c r="M39" t="inlineStr">
        <is>
          <t>1968</t>
        </is>
      </c>
      <c r="N39" t="inlineStr">
        <is>
          <t>[Author's national ed.] New York, Harper [1899]</t>
        </is>
      </c>
      <c r="O39" t="inlineStr">
        <is>
          <t>eng</t>
        </is>
      </c>
      <c r="P39" t="inlineStr">
        <is>
          <t xml:space="preserve">xx </t>
        </is>
      </c>
      <c r="Q39" t="inlineStr">
        <is>
          <t>The Writings of Mark Twain, v. 17-18</t>
        </is>
      </c>
      <c r="R39" t="inlineStr">
        <is>
          <t xml:space="preserve">DC </t>
        </is>
      </c>
      <c r="S39" t="n">
        <v>3</v>
      </c>
      <c r="T39" t="n">
        <v>6</v>
      </c>
      <c r="U39" t="inlineStr">
        <is>
          <t>2003-02-25</t>
        </is>
      </c>
      <c r="V39" t="inlineStr">
        <is>
          <t>2003-02-25</t>
        </is>
      </c>
      <c r="W39" t="inlineStr">
        <is>
          <t>1991-04-10</t>
        </is>
      </c>
      <c r="X39" t="inlineStr">
        <is>
          <t>1991-04-10</t>
        </is>
      </c>
      <c r="Y39" t="n">
        <v>13</v>
      </c>
      <c r="Z39" t="n">
        <v>11</v>
      </c>
      <c r="AA39" t="n">
        <v>2032</v>
      </c>
      <c r="AB39" t="n">
        <v>1</v>
      </c>
      <c r="AC39" t="n">
        <v>21</v>
      </c>
      <c r="AD39" t="n">
        <v>0</v>
      </c>
      <c r="AE39" t="n">
        <v>55</v>
      </c>
      <c r="AF39" t="n">
        <v>0</v>
      </c>
      <c r="AG39" t="n">
        <v>26</v>
      </c>
      <c r="AH39" t="n">
        <v>0</v>
      </c>
      <c r="AI39" t="n">
        <v>9</v>
      </c>
      <c r="AJ39" t="n">
        <v>0</v>
      </c>
      <c r="AK39" t="n">
        <v>21</v>
      </c>
      <c r="AL39" t="n">
        <v>0</v>
      </c>
      <c r="AM39" t="n">
        <v>11</v>
      </c>
      <c r="AN39" t="n">
        <v>0</v>
      </c>
      <c r="AO39" t="n">
        <v>0</v>
      </c>
      <c r="AP39" t="inlineStr">
        <is>
          <t>No</t>
        </is>
      </c>
      <c r="AQ39" t="inlineStr">
        <is>
          <t>No</t>
        </is>
      </c>
      <c r="AS39">
        <f>HYPERLINK("https://creighton-primo.hosted.exlibrisgroup.com/primo-explore/search?tab=default_tab&amp;search_scope=EVERYTHING&amp;vid=01CRU&amp;lang=en_US&amp;offset=0&amp;query=any,contains,991002969469702656","Catalog Record")</f>
        <v/>
      </c>
      <c r="AT39">
        <f>HYPERLINK("http://www.worldcat.org/oclc/547721","WorldCat Record")</f>
        <v/>
      </c>
      <c r="AU39" t="inlineStr">
        <is>
          <t>561676:eng</t>
        </is>
      </c>
      <c r="AV39" t="inlineStr">
        <is>
          <t>547721</t>
        </is>
      </c>
      <c r="AW39" t="inlineStr">
        <is>
          <t>991002969469702656</t>
        </is>
      </c>
      <c r="AX39" t="inlineStr">
        <is>
          <t>991002969469702656</t>
        </is>
      </c>
      <c r="AY39" t="inlineStr">
        <is>
          <t>2262908930002656</t>
        </is>
      </c>
      <c r="AZ39" t="inlineStr">
        <is>
          <t>BOOK</t>
        </is>
      </c>
      <c r="BC39" t="inlineStr">
        <is>
          <t>32285000580547</t>
        </is>
      </c>
      <c r="BD39" t="inlineStr">
        <is>
          <t>893686023</t>
        </is>
      </c>
    </row>
    <row r="40">
      <c r="A40" t="inlineStr">
        <is>
          <t>No</t>
        </is>
      </c>
      <c r="B40" t="inlineStr">
        <is>
          <t>DC103 .C62 1968</t>
        </is>
      </c>
      <c r="C40" t="inlineStr">
        <is>
          <t>0                      DC 0103000C  62          1968</t>
        </is>
      </c>
      <c r="D40" t="inlineStr">
        <is>
          <t>Personal recollections of Joan of Arc / by the Sieur Louis de Conde.</t>
        </is>
      </c>
      <c r="E40" t="inlineStr">
        <is>
          <t>V.2</t>
        </is>
      </c>
      <c r="F40" t="inlineStr">
        <is>
          <t>Yes</t>
        </is>
      </c>
      <c r="G40" t="inlineStr">
        <is>
          <t>1</t>
        </is>
      </c>
      <c r="H40" t="inlineStr">
        <is>
          <t>No</t>
        </is>
      </c>
      <c r="I40" t="inlineStr">
        <is>
          <t>No</t>
        </is>
      </c>
      <c r="J40" t="inlineStr">
        <is>
          <t>0</t>
        </is>
      </c>
      <c r="K40" t="inlineStr">
        <is>
          <t>Twain, Mark, 1835-1910.</t>
        </is>
      </c>
      <c r="L40" t="inlineStr">
        <is>
          <t>Grosse Pointe, Mich. : Scholarly Press, [1968]</t>
        </is>
      </c>
      <c r="M40" t="inlineStr">
        <is>
          <t>1968</t>
        </is>
      </c>
      <c r="N40" t="inlineStr">
        <is>
          <t>[Author's national ed.] New York, Harper [1899]</t>
        </is>
      </c>
      <c r="O40" t="inlineStr">
        <is>
          <t>eng</t>
        </is>
      </c>
      <c r="P40" t="inlineStr">
        <is>
          <t xml:space="preserve">xx </t>
        </is>
      </c>
      <c r="Q40" t="inlineStr">
        <is>
          <t>The Writings of Mark Twain, v. 17-18</t>
        </is>
      </c>
      <c r="R40" t="inlineStr">
        <is>
          <t xml:space="preserve">DC </t>
        </is>
      </c>
      <c r="S40" t="n">
        <v>3</v>
      </c>
      <c r="T40" t="n">
        <v>6</v>
      </c>
      <c r="U40" t="inlineStr">
        <is>
          <t>2003-02-25</t>
        </is>
      </c>
      <c r="V40" t="inlineStr">
        <is>
          <t>2003-02-25</t>
        </is>
      </c>
      <c r="W40" t="inlineStr">
        <is>
          <t>1991-04-10</t>
        </is>
      </c>
      <c r="X40" t="inlineStr">
        <is>
          <t>1991-04-10</t>
        </is>
      </c>
      <c r="Y40" t="n">
        <v>13</v>
      </c>
      <c r="Z40" t="n">
        <v>11</v>
      </c>
      <c r="AA40" t="n">
        <v>2032</v>
      </c>
      <c r="AB40" t="n">
        <v>1</v>
      </c>
      <c r="AC40" t="n">
        <v>21</v>
      </c>
      <c r="AD40" t="n">
        <v>0</v>
      </c>
      <c r="AE40" t="n">
        <v>55</v>
      </c>
      <c r="AF40" t="n">
        <v>0</v>
      </c>
      <c r="AG40" t="n">
        <v>26</v>
      </c>
      <c r="AH40" t="n">
        <v>0</v>
      </c>
      <c r="AI40" t="n">
        <v>9</v>
      </c>
      <c r="AJ40" t="n">
        <v>0</v>
      </c>
      <c r="AK40" t="n">
        <v>21</v>
      </c>
      <c r="AL40" t="n">
        <v>0</v>
      </c>
      <c r="AM40" t="n">
        <v>11</v>
      </c>
      <c r="AN40" t="n">
        <v>0</v>
      </c>
      <c r="AO40" t="n">
        <v>0</v>
      </c>
      <c r="AP40" t="inlineStr">
        <is>
          <t>No</t>
        </is>
      </c>
      <c r="AQ40" t="inlineStr">
        <is>
          <t>No</t>
        </is>
      </c>
      <c r="AS40">
        <f>HYPERLINK("https://creighton-primo.hosted.exlibrisgroup.com/primo-explore/search?tab=default_tab&amp;search_scope=EVERYTHING&amp;vid=01CRU&amp;lang=en_US&amp;offset=0&amp;query=any,contains,991002969469702656","Catalog Record")</f>
        <v/>
      </c>
      <c r="AT40">
        <f>HYPERLINK("http://www.worldcat.org/oclc/547721","WorldCat Record")</f>
        <v/>
      </c>
      <c r="AU40" t="inlineStr">
        <is>
          <t>561676:eng</t>
        </is>
      </c>
      <c r="AV40" t="inlineStr">
        <is>
          <t>547721</t>
        </is>
      </c>
      <c r="AW40" t="inlineStr">
        <is>
          <t>991002969469702656</t>
        </is>
      </c>
      <c r="AX40" t="inlineStr">
        <is>
          <t>991002969469702656</t>
        </is>
      </c>
      <c r="AY40" t="inlineStr">
        <is>
          <t>2262908930002656</t>
        </is>
      </c>
      <c r="AZ40" t="inlineStr">
        <is>
          <t>BOOK</t>
        </is>
      </c>
      <c r="BC40" t="inlineStr">
        <is>
          <t>32285000580554</t>
        </is>
      </c>
      <c r="BD40" t="inlineStr">
        <is>
          <t>893692221</t>
        </is>
      </c>
    </row>
    <row r="41">
      <c r="A41" t="inlineStr">
        <is>
          <t>No</t>
        </is>
      </c>
      <c r="B41" t="inlineStr">
        <is>
          <t>DC103 .E6 1931</t>
        </is>
      </c>
      <c r="C41" t="inlineStr">
        <is>
          <t>0                      DC 0103000E  6           1931</t>
        </is>
      </c>
      <c r="D41" t="inlineStr">
        <is>
          <t>The sword of God: Jeanne d'Arc, by Guy Endore.</t>
        </is>
      </c>
      <c r="F41" t="inlineStr">
        <is>
          <t>No</t>
        </is>
      </c>
      <c r="G41" t="inlineStr">
        <is>
          <t>1</t>
        </is>
      </c>
      <c r="H41" t="inlineStr">
        <is>
          <t>No</t>
        </is>
      </c>
      <c r="I41" t="inlineStr">
        <is>
          <t>No</t>
        </is>
      </c>
      <c r="J41" t="inlineStr">
        <is>
          <t>0</t>
        </is>
      </c>
      <c r="K41" t="inlineStr">
        <is>
          <t>Endore, S. Guy, 1900-1970.</t>
        </is>
      </c>
      <c r="L41" t="inlineStr">
        <is>
          <t>Garden City, N.Y., Garden City publishing company, 1931.</t>
        </is>
      </c>
      <c r="M41" t="inlineStr">
        <is>
          <t>1931</t>
        </is>
      </c>
      <c r="O41" t="inlineStr">
        <is>
          <t>eng</t>
        </is>
      </c>
      <c r="P41" t="inlineStr">
        <is>
          <t>nyu</t>
        </is>
      </c>
      <c r="R41" t="inlineStr">
        <is>
          <t xml:space="preserve">DC </t>
        </is>
      </c>
      <c r="S41" t="n">
        <v>7</v>
      </c>
      <c r="T41" t="n">
        <v>7</v>
      </c>
      <c r="U41" t="inlineStr">
        <is>
          <t>1999-11-28</t>
        </is>
      </c>
      <c r="V41" t="inlineStr">
        <is>
          <t>1999-11-28</t>
        </is>
      </c>
      <c r="W41" t="inlineStr">
        <is>
          <t>1996-11-05</t>
        </is>
      </c>
      <c r="X41" t="inlineStr">
        <is>
          <t>1996-11-05</t>
        </is>
      </c>
      <c r="Y41" t="n">
        <v>81</v>
      </c>
      <c r="Z41" t="n">
        <v>76</v>
      </c>
      <c r="AA41" t="n">
        <v>252</v>
      </c>
      <c r="AB41" t="n">
        <v>1</v>
      </c>
      <c r="AC41" t="n">
        <v>2</v>
      </c>
      <c r="AD41" t="n">
        <v>7</v>
      </c>
      <c r="AE41" t="n">
        <v>17</v>
      </c>
      <c r="AF41" t="n">
        <v>4</v>
      </c>
      <c r="AG41" t="n">
        <v>6</v>
      </c>
      <c r="AH41" t="n">
        <v>1</v>
      </c>
      <c r="AI41" t="n">
        <v>1</v>
      </c>
      <c r="AJ41" t="n">
        <v>6</v>
      </c>
      <c r="AK41" t="n">
        <v>13</v>
      </c>
      <c r="AL41" t="n">
        <v>0</v>
      </c>
      <c r="AM41" t="n">
        <v>1</v>
      </c>
      <c r="AN41" t="n">
        <v>0</v>
      </c>
      <c r="AO41" t="n">
        <v>0</v>
      </c>
      <c r="AP41" t="inlineStr">
        <is>
          <t>Yes</t>
        </is>
      </c>
      <c r="AQ41" t="inlineStr">
        <is>
          <t>No</t>
        </is>
      </c>
      <c r="AR41">
        <f>HYPERLINK("http://catalog.hathitrust.org/Record/002469218","HathiTrust Record")</f>
        <v/>
      </c>
      <c r="AS41">
        <f>HYPERLINK("https://creighton-primo.hosted.exlibrisgroup.com/primo-explore/search?tab=default_tab&amp;search_scope=EVERYTHING&amp;vid=01CRU&amp;lang=en_US&amp;offset=0&amp;query=any,contains,991003506399702656","Catalog Record")</f>
        <v/>
      </c>
      <c r="AT41">
        <f>HYPERLINK("http://www.worldcat.org/oclc/1058041","WorldCat Record")</f>
        <v/>
      </c>
      <c r="AU41" t="inlineStr">
        <is>
          <t>1990434:eng</t>
        </is>
      </c>
      <c r="AV41" t="inlineStr">
        <is>
          <t>1058041</t>
        </is>
      </c>
      <c r="AW41" t="inlineStr">
        <is>
          <t>991003506399702656</t>
        </is>
      </c>
      <c r="AX41" t="inlineStr">
        <is>
          <t>991003506399702656</t>
        </is>
      </c>
      <c r="AY41" t="inlineStr">
        <is>
          <t>2271410290002656</t>
        </is>
      </c>
      <c r="AZ41" t="inlineStr">
        <is>
          <t>BOOK</t>
        </is>
      </c>
      <c r="BC41" t="inlineStr">
        <is>
          <t>32285002340544</t>
        </is>
      </c>
      <c r="BD41" t="inlineStr">
        <is>
          <t>893868481</t>
        </is>
      </c>
    </row>
    <row r="42">
      <c r="A42" t="inlineStr">
        <is>
          <t>No</t>
        </is>
      </c>
      <c r="B42" t="inlineStr">
        <is>
          <t>DC103 .G86713 1973</t>
        </is>
      </c>
      <c r="C42" t="inlineStr">
        <is>
          <t>0                      DC 0103000G  86713       1973</t>
        </is>
      </c>
      <c r="D42" t="inlineStr">
        <is>
          <t>Joan, Maid of Orleans / translated by Harold J. Salemson.</t>
        </is>
      </c>
      <c r="F42" t="inlineStr">
        <is>
          <t>No</t>
        </is>
      </c>
      <c r="G42" t="inlineStr">
        <is>
          <t>1</t>
        </is>
      </c>
      <c r="H42" t="inlineStr">
        <is>
          <t>No</t>
        </is>
      </c>
      <c r="I42" t="inlineStr">
        <is>
          <t>No</t>
        </is>
      </c>
      <c r="J42" t="inlineStr">
        <is>
          <t>0</t>
        </is>
      </c>
      <c r="K42" t="inlineStr">
        <is>
          <t>Guillemin, Henri, 1903-1992.</t>
        </is>
      </c>
      <c r="L42" t="inlineStr">
        <is>
          <t>New York : Saturday Review Press, [1973, c1970]</t>
        </is>
      </c>
      <c r="M42" t="inlineStr">
        <is>
          <t>1973</t>
        </is>
      </c>
      <c r="N42" t="inlineStr">
        <is>
          <t>[1st American ed.]</t>
        </is>
      </c>
      <c r="O42" t="inlineStr">
        <is>
          <t>eng</t>
        </is>
      </c>
      <c r="P42" t="inlineStr">
        <is>
          <t>nyu</t>
        </is>
      </c>
      <c r="R42" t="inlineStr">
        <is>
          <t xml:space="preserve">DC </t>
        </is>
      </c>
      <c r="S42" t="n">
        <v>12</v>
      </c>
      <c r="T42" t="n">
        <v>12</v>
      </c>
      <c r="U42" t="inlineStr">
        <is>
          <t>2005-04-06</t>
        </is>
      </c>
      <c r="V42" t="inlineStr">
        <is>
          <t>2005-04-06</t>
        </is>
      </c>
      <c r="W42" t="inlineStr">
        <is>
          <t>1992-01-08</t>
        </is>
      </c>
      <c r="X42" t="inlineStr">
        <is>
          <t>1992-01-08</t>
        </is>
      </c>
      <c r="Y42" t="n">
        <v>540</v>
      </c>
      <c r="Z42" t="n">
        <v>519</v>
      </c>
      <c r="AA42" t="n">
        <v>523</v>
      </c>
      <c r="AB42" t="n">
        <v>2</v>
      </c>
      <c r="AC42" t="n">
        <v>2</v>
      </c>
      <c r="AD42" t="n">
        <v>24</v>
      </c>
      <c r="AE42" t="n">
        <v>24</v>
      </c>
      <c r="AF42" t="n">
        <v>11</v>
      </c>
      <c r="AG42" t="n">
        <v>11</v>
      </c>
      <c r="AH42" t="n">
        <v>6</v>
      </c>
      <c r="AI42" t="n">
        <v>6</v>
      </c>
      <c r="AJ42" t="n">
        <v>15</v>
      </c>
      <c r="AK42" t="n">
        <v>15</v>
      </c>
      <c r="AL42" t="n">
        <v>1</v>
      </c>
      <c r="AM42" t="n">
        <v>1</v>
      </c>
      <c r="AN42" t="n">
        <v>0</v>
      </c>
      <c r="AO42" t="n">
        <v>0</v>
      </c>
      <c r="AP42" t="inlineStr">
        <is>
          <t>No</t>
        </is>
      </c>
      <c r="AQ42" t="inlineStr">
        <is>
          <t>Yes</t>
        </is>
      </c>
      <c r="AR42">
        <f>HYPERLINK("http://catalog.hathitrust.org/Record/008370144","HathiTrust Record")</f>
        <v/>
      </c>
      <c r="AS42">
        <f>HYPERLINK("https://creighton-primo.hosted.exlibrisgroup.com/primo-explore/search?tab=default_tab&amp;search_scope=EVERYTHING&amp;vid=01CRU&amp;lang=en_US&amp;offset=0&amp;query=any,contains,991003086069702656","Catalog Record")</f>
        <v/>
      </c>
      <c r="AT42">
        <f>HYPERLINK("http://www.worldcat.org/oclc/636407","WorldCat Record")</f>
        <v/>
      </c>
      <c r="AU42" t="inlineStr">
        <is>
          <t>2909187492:eng</t>
        </is>
      </c>
      <c r="AV42" t="inlineStr">
        <is>
          <t>636407</t>
        </is>
      </c>
      <c r="AW42" t="inlineStr">
        <is>
          <t>991003086069702656</t>
        </is>
      </c>
      <c r="AX42" t="inlineStr">
        <is>
          <t>991003086069702656</t>
        </is>
      </c>
      <c r="AY42" t="inlineStr">
        <is>
          <t>2255230790002656</t>
        </is>
      </c>
      <c r="AZ42" t="inlineStr">
        <is>
          <t>BOOK</t>
        </is>
      </c>
      <c r="BB42" t="inlineStr">
        <is>
          <t>9780841502277</t>
        </is>
      </c>
      <c r="BC42" t="inlineStr">
        <is>
          <t>32285000884428</t>
        </is>
      </c>
      <c r="BD42" t="inlineStr">
        <is>
          <t>893623138</t>
        </is>
      </c>
    </row>
    <row r="43">
      <c r="A43" t="inlineStr">
        <is>
          <t>No</t>
        </is>
      </c>
      <c r="B43" t="inlineStr">
        <is>
          <t>DC103 .L3</t>
        </is>
      </c>
      <c r="C43" t="inlineStr">
        <is>
          <t>0                      DC 0103000L  3</t>
        </is>
      </c>
      <c r="D43" t="inlineStr">
        <is>
          <t>The maid of France, being the story of the life and death of Jeanne dA̓rc, by Andrew Lang. With portraits.</t>
        </is>
      </c>
      <c r="F43" t="inlineStr">
        <is>
          <t>No</t>
        </is>
      </c>
      <c r="G43" t="inlineStr">
        <is>
          <t>1</t>
        </is>
      </c>
      <c r="H43" t="inlineStr">
        <is>
          <t>No</t>
        </is>
      </c>
      <c r="I43" t="inlineStr">
        <is>
          <t>No</t>
        </is>
      </c>
      <c r="J43" t="inlineStr">
        <is>
          <t>0</t>
        </is>
      </c>
      <c r="K43" t="inlineStr">
        <is>
          <t>Lang, Andrew, 1844-1912.</t>
        </is>
      </c>
      <c r="L43" t="inlineStr">
        <is>
          <t>London, New York [etc.] Longmans, Green and co., 1908.</t>
        </is>
      </c>
      <c r="M43" t="inlineStr">
        <is>
          <t>1908</t>
        </is>
      </c>
      <c r="O43" t="inlineStr">
        <is>
          <t>eng</t>
        </is>
      </c>
      <c r="P43" t="inlineStr">
        <is>
          <t xml:space="preserve">xx </t>
        </is>
      </c>
      <c r="R43" t="inlineStr">
        <is>
          <t xml:space="preserve">DC </t>
        </is>
      </c>
      <c r="S43" t="n">
        <v>5</v>
      </c>
      <c r="T43" t="n">
        <v>5</v>
      </c>
      <c r="U43" t="inlineStr">
        <is>
          <t>1999-02-21</t>
        </is>
      </c>
      <c r="V43" t="inlineStr">
        <is>
          <t>1999-02-21</t>
        </is>
      </c>
      <c r="W43" t="inlineStr">
        <is>
          <t>1996-11-05</t>
        </is>
      </c>
      <c r="X43" t="inlineStr">
        <is>
          <t>1996-11-05</t>
        </is>
      </c>
      <c r="Y43" t="n">
        <v>196</v>
      </c>
      <c r="Z43" t="n">
        <v>156</v>
      </c>
      <c r="AA43" t="n">
        <v>448</v>
      </c>
      <c r="AB43" t="n">
        <v>2</v>
      </c>
      <c r="AC43" t="n">
        <v>4</v>
      </c>
      <c r="AD43" t="n">
        <v>15</v>
      </c>
      <c r="AE43" t="n">
        <v>30</v>
      </c>
      <c r="AF43" t="n">
        <v>3</v>
      </c>
      <c r="AG43" t="n">
        <v>11</v>
      </c>
      <c r="AH43" t="n">
        <v>2</v>
      </c>
      <c r="AI43" t="n">
        <v>5</v>
      </c>
      <c r="AJ43" t="n">
        <v>12</v>
      </c>
      <c r="AK43" t="n">
        <v>19</v>
      </c>
      <c r="AL43" t="n">
        <v>1</v>
      </c>
      <c r="AM43" t="n">
        <v>3</v>
      </c>
      <c r="AN43" t="n">
        <v>0</v>
      </c>
      <c r="AO43" t="n">
        <v>1</v>
      </c>
      <c r="AP43" t="inlineStr">
        <is>
          <t>Yes</t>
        </is>
      </c>
      <c r="AQ43" t="inlineStr">
        <is>
          <t>No</t>
        </is>
      </c>
      <c r="AR43">
        <f>HYPERLINK("http://catalog.hathitrust.org/Record/008687716","HathiTrust Record")</f>
        <v/>
      </c>
      <c r="AS43">
        <f>HYPERLINK("https://creighton-primo.hosted.exlibrisgroup.com/primo-explore/search?tab=default_tab&amp;search_scope=EVERYTHING&amp;vid=01CRU&amp;lang=en_US&amp;offset=0&amp;query=any,contains,991003474909702656","Catalog Record")</f>
        <v/>
      </c>
      <c r="AT43">
        <f>HYPERLINK("http://www.worldcat.org/oclc/1019072","WorldCat Record")</f>
        <v/>
      </c>
      <c r="AU43" t="inlineStr">
        <is>
          <t>1344286:eng</t>
        </is>
      </c>
      <c r="AV43" t="inlineStr">
        <is>
          <t>1019072</t>
        </is>
      </c>
      <c r="AW43" t="inlineStr">
        <is>
          <t>991003474909702656</t>
        </is>
      </c>
      <c r="AX43" t="inlineStr">
        <is>
          <t>991003474909702656</t>
        </is>
      </c>
      <c r="AY43" t="inlineStr">
        <is>
          <t>2258234720002656</t>
        </is>
      </c>
      <c r="AZ43" t="inlineStr">
        <is>
          <t>BOOK</t>
        </is>
      </c>
      <c r="BC43" t="inlineStr">
        <is>
          <t>32285002340577</t>
        </is>
      </c>
      <c r="BD43" t="inlineStr">
        <is>
          <t>893598613</t>
        </is>
      </c>
    </row>
    <row r="44">
      <c r="A44" t="inlineStr">
        <is>
          <t>No</t>
        </is>
      </c>
      <c r="B44" t="inlineStr">
        <is>
          <t>DC103 .M612 1967</t>
        </is>
      </c>
      <c r="C44" t="inlineStr">
        <is>
          <t>0                      DC 0103000M  612         1967</t>
        </is>
      </c>
      <c r="D44" t="inlineStr">
        <is>
          <t>Joan of Arc / translated with an introd. by Albert Guerard.</t>
        </is>
      </c>
      <c r="F44" t="inlineStr">
        <is>
          <t>No</t>
        </is>
      </c>
      <c r="G44" t="inlineStr">
        <is>
          <t>1</t>
        </is>
      </c>
      <c r="H44" t="inlineStr">
        <is>
          <t>No</t>
        </is>
      </c>
      <c r="I44" t="inlineStr">
        <is>
          <t>No</t>
        </is>
      </c>
      <c r="J44" t="inlineStr">
        <is>
          <t>0</t>
        </is>
      </c>
      <c r="K44" t="inlineStr">
        <is>
          <t>Michelet, Jules, 1798-1874.</t>
        </is>
      </c>
      <c r="L44" t="inlineStr">
        <is>
          <t>Ann Arbor : University of Michigan Press [1967]</t>
        </is>
      </c>
      <c r="M44" t="inlineStr">
        <is>
          <t>1957</t>
        </is>
      </c>
      <c r="O44" t="inlineStr">
        <is>
          <t>eng</t>
        </is>
      </c>
      <c r="P44" t="inlineStr">
        <is>
          <t>miu</t>
        </is>
      </c>
      <c r="R44" t="inlineStr">
        <is>
          <t xml:space="preserve">DC </t>
        </is>
      </c>
      <c r="S44" t="n">
        <v>13</v>
      </c>
      <c r="T44" t="n">
        <v>13</v>
      </c>
      <c r="U44" t="inlineStr">
        <is>
          <t>2001-11-04</t>
        </is>
      </c>
      <c r="V44" t="inlineStr">
        <is>
          <t>2001-11-04</t>
        </is>
      </c>
      <c r="W44" t="inlineStr">
        <is>
          <t>1990-07-19</t>
        </is>
      </c>
      <c r="X44" t="inlineStr">
        <is>
          <t>1990-07-19</t>
        </is>
      </c>
      <c r="Y44" t="n">
        <v>606</v>
      </c>
      <c r="Z44" t="n">
        <v>576</v>
      </c>
      <c r="AA44" t="n">
        <v>766</v>
      </c>
      <c r="AB44" t="n">
        <v>5</v>
      </c>
      <c r="AC44" t="n">
        <v>6</v>
      </c>
      <c r="AD44" t="n">
        <v>23</v>
      </c>
      <c r="AE44" t="n">
        <v>29</v>
      </c>
      <c r="AF44" t="n">
        <v>7</v>
      </c>
      <c r="AG44" t="n">
        <v>10</v>
      </c>
      <c r="AH44" t="n">
        <v>5</v>
      </c>
      <c r="AI44" t="n">
        <v>7</v>
      </c>
      <c r="AJ44" t="n">
        <v>15</v>
      </c>
      <c r="AK44" t="n">
        <v>18</v>
      </c>
      <c r="AL44" t="n">
        <v>4</v>
      </c>
      <c r="AM44" t="n">
        <v>4</v>
      </c>
      <c r="AN44" t="n">
        <v>0</v>
      </c>
      <c r="AO44" t="n">
        <v>0</v>
      </c>
      <c r="AP44" t="inlineStr">
        <is>
          <t>No</t>
        </is>
      </c>
      <c r="AQ44" t="inlineStr">
        <is>
          <t>Yes</t>
        </is>
      </c>
      <c r="AR44">
        <f>HYPERLINK("http://catalog.hathitrust.org/Record/000454919","HathiTrust Record")</f>
        <v/>
      </c>
      <c r="AS44">
        <f>HYPERLINK("https://creighton-primo.hosted.exlibrisgroup.com/primo-explore/search?tab=default_tab&amp;search_scope=EVERYTHING&amp;vid=01CRU&amp;lang=en_US&amp;offset=0&amp;query=any,contains,991002758949702656","Catalog Record")</f>
        <v/>
      </c>
      <c r="AT44">
        <f>HYPERLINK("http://www.worldcat.org/oclc/427300","WorldCat Record")</f>
        <v/>
      </c>
      <c r="AU44" t="inlineStr">
        <is>
          <t>4061456839:eng</t>
        </is>
      </c>
      <c r="AV44" t="inlineStr">
        <is>
          <t>427300</t>
        </is>
      </c>
      <c r="AW44" t="inlineStr">
        <is>
          <t>991002758949702656</t>
        </is>
      </c>
      <c r="AX44" t="inlineStr">
        <is>
          <t>991002758949702656</t>
        </is>
      </c>
      <c r="AY44" t="inlineStr">
        <is>
          <t>2264571520002656</t>
        </is>
      </c>
      <c r="AZ44" t="inlineStr">
        <is>
          <t>BOOK</t>
        </is>
      </c>
      <c r="BC44" t="inlineStr">
        <is>
          <t>32285000245562</t>
        </is>
      </c>
      <c r="BD44" t="inlineStr">
        <is>
          <t>893317227</t>
        </is>
      </c>
    </row>
    <row r="45">
      <c r="A45" t="inlineStr">
        <is>
          <t>No</t>
        </is>
      </c>
      <c r="B45" t="inlineStr">
        <is>
          <t>DC103 .O6813</t>
        </is>
      </c>
      <c r="C45" t="inlineStr">
        <is>
          <t>0                      DC 0103000O  6813</t>
        </is>
      </c>
      <c r="D45" t="inlineStr">
        <is>
          <t>The first biography of Joan of Arc : with the chronicle record of a contemporary account / translated and annotated by Daniel Rankin and Claire Quintal.</t>
        </is>
      </c>
      <c r="F45" t="inlineStr">
        <is>
          <t>No</t>
        </is>
      </c>
      <c r="G45" t="inlineStr">
        <is>
          <t>1</t>
        </is>
      </c>
      <c r="H45" t="inlineStr">
        <is>
          <t>No</t>
        </is>
      </c>
      <c r="I45" t="inlineStr">
        <is>
          <t>No</t>
        </is>
      </c>
      <c r="J45" t="inlineStr">
        <is>
          <t>0</t>
        </is>
      </c>
      <c r="K45" t="inlineStr">
        <is>
          <t>Bibliothèque municipale d'Orléans. Manuscript. Fr. 518.</t>
        </is>
      </c>
      <c r="L45" t="inlineStr">
        <is>
          <t>[Pittsburgh] : University of Pittsburgh Press, [1964]</t>
        </is>
      </c>
      <c r="M45" t="inlineStr">
        <is>
          <t>1964</t>
        </is>
      </c>
      <c r="O45" t="inlineStr">
        <is>
          <t>eng</t>
        </is>
      </c>
      <c r="P45" t="inlineStr">
        <is>
          <t>pau</t>
        </is>
      </c>
      <c r="R45" t="inlineStr">
        <is>
          <t xml:space="preserve">DC </t>
        </is>
      </c>
      <c r="S45" t="n">
        <v>16</v>
      </c>
      <c r="T45" t="n">
        <v>16</v>
      </c>
      <c r="U45" t="inlineStr">
        <is>
          <t>2009-06-12</t>
        </is>
      </c>
      <c r="V45" t="inlineStr">
        <is>
          <t>2009-06-12</t>
        </is>
      </c>
      <c r="W45" t="inlineStr">
        <is>
          <t>1992-01-08</t>
        </is>
      </c>
      <c r="X45" t="inlineStr">
        <is>
          <t>1992-01-08</t>
        </is>
      </c>
      <c r="Y45" t="n">
        <v>611</v>
      </c>
      <c r="Z45" t="n">
        <v>574</v>
      </c>
      <c r="AA45" t="n">
        <v>611</v>
      </c>
      <c r="AB45" t="n">
        <v>4</v>
      </c>
      <c r="AC45" t="n">
        <v>4</v>
      </c>
      <c r="AD45" t="n">
        <v>29</v>
      </c>
      <c r="AE45" t="n">
        <v>29</v>
      </c>
      <c r="AF45" t="n">
        <v>11</v>
      </c>
      <c r="AG45" t="n">
        <v>11</v>
      </c>
      <c r="AH45" t="n">
        <v>6</v>
      </c>
      <c r="AI45" t="n">
        <v>6</v>
      </c>
      <c r="AJ45" t="n">
        <v>16</v>
      </c>
      <c r="AK45" t="n">
        <v>16</v>
      </c>
      <c r="AL45" t="n">
        <v>3</v>
      </c>
      <c r="AM45" t="n">
        <v>3</v>
      </c>
      <c r="AN45" t="n">
        <v>0</v>
      </c>
      <c r="AO45" t="n">
        <v>0</v>
      </c>
      <c r="AP45" t="inlineStr">
        <is>
          <t>No</t>
        </is>
      </c>
      <c r="AQ45" t="inlineStr">
        <is>
          <t>Yes</t>
        </is>
      </c>
      <c r="AR45">
        <f>HYPERLINK("http://catalog.hathitrust.org/Record/000454900","HathiTrust Record")</f>
        <v/>
      </c>
      <c r="AS45">
        <f>HYPERLINK("https://creighton-primo.hosted.exlibrisgroup.com/primo-explore/search?tab=default_tab&amp;search_scope=EVERYTHING&amp;vid=01CRU&amp;lang=en_US&amp;offset=0&amp;query=any,contains,991002923539702656","Catalog Record")</f>
        <v/>
      </c>
      <c r="AT45">
        <f>HYPERLINK("http://www.worldcat.org/oclc/527988","WorldCat Record")</f>
        <v/>
      </c>
      <c r="AU45" t="inlineStr">
        <is>
          <t>1536736:eng</t>
        </is>
      </c>
      <c r="AV45" t="inlineStr">
        <is>
          <t>527988</t>
        </is>
      </c>
      <c r="AW45" t="inlineStr">
        <is>
          <t>991002923539702656</t>
        </is>
      </c>
      <c r="AX45" t="inlineStr">
        <is>
          <t>991002923539702656</t>
        </is>
      </c>
      <c r="AY45" t="inlineStr">
        <is>
          <t>2264078370002656</t>
        </is>
      </c>
      <c r="AZ45" t="inlineStr">
        <is>
          <t>BOOK</t>
        </is>
      </c>
      <c r="BC45" t="inlineStr">
        <is>
          <t>32285000884410</t>
        </is>
      </c>
      <c r="BD45" t="inlineStr">
        <is>
          <t>893780403</t>
        </is>
      </c>
    </row>
    <row r="46">
      <c r="A46" t="inlineStr">
        <is>
          <t>No</t>
        </is>
      </c>
      <c r="B46" t="inlineStr">
        <is>
          <t>DC103 .P37813 1998</t>
        </is>
      </c>
      <c r="C46" t="inlineStr">
        <is>
          <t>0                      DC 0103000P  37813       1998</t>
        </is>
      </c>
      <c r="D46" t="inlineStr">
        <is>
          <t>Joan of Arc : her story / Régine Pernoud, Marie-Véronique Clin ; translated and revised by Jeremy duQuesnay Adams ; edited by Bonnie Wheeler.</t>
        </is>
      </c>
      <c r="F46" t="inlineStr">
        <is>
          <t>No</t>
        </is>
      </c>
      <c r="G46" t="inlineStr">
        <is>
          <t>1</t>
        </is>
      </c>
      <c r="H46" t="inlineStr">
        <is>
          <t>No</t>
        </is>
      </c>
      <c r="I46" t="inlineStr">
        <is>
          <t>No</t>
        </is>
      </c>
      <c r="J46" t="inlineStr">
        <is>
          <t>0</t>
        </is>
      </c>
      <c r="K46" t="inlineStr">
        <is>
          <t>Pernoud, Régine, 1909-1998.</t>
        </is>
      </c>
      <c r="L46" t="inlineStr">
        <is>
          <t>New York : St. Martin's Press, 1998.</t>
        </is>
      </c>
      <c r="M46" t="inlineStr">
        <is>
          <t>1998</t>
        </is>
      </c>
      <c r="N46" t="inlineStr">
        <is>
          <t>1st ed.</t>
        </is>
      </c>
      <c r="O46" t="inlineStr">
        <is>
          <t>eng</t>
        </is>
      </c>
      <c r="P46" t="inlineStr">
        <is>
          <t>nyu</t>
        </is>
      </c>
      <c r="R46" t="inlineStr">
        <is>
          <t xml:space="preserve">DC </t>
        </is>
      </c>
      <c r="S46" t="n">
        <v>20</v>
      </c>
      <c r="T46" t="n">
        <v>20</v>
      </c>
      <c r="U46" t="inlineStr">
        <is>
          <t>2007-11-17</t>
        </is>
      </c>
      <c r="V46" t="inlineStr">
        <is>
          <t>2007-11-17</t>
        </is>
      </c>
      <c r="W46" t="inlineStr">
        <is>
          <t>1999-04-07</t>
        </is>
      </c>
      <c r="X46" t="inlineStr">
        <is>
          <t>1999-04-07</t>
        </is>
      </c>
      <c r="Y46" t="n">
        <v>1347</v>
      </c>
      <c r="Z46" t="n">
        <v>1302</v>
      </c>
      <c r="AA46" t="n">
        <v>1547</v>
      </c>
      <c r="AB46" t="n">
        <v>10</v>
      </c>
      <c r="AC46" t="n">
        <v>10</v>
      </c>
      <c r="AD46" t="n">
        <v>29</v>
      </c>
      <c r="AE46" t="n">
        <v>33</v>
      </c>
      <c r="AF46" t="n">
        <v>10</v>
      </c>
      <c r="AG46" t="n">
        <v>12</v>
      </c>
      <c r="AH46" t="n">
        <v>5</v>
      </c>
      <c r="AI46" t="n">
        <v>7</v>
      </c>
      <c r="AJ46" t="n">
        <v>13</v>
      </c>
      <c r="AK46" t="n">
        <v>15</v>
      </c>
      <c r="AL46" t="n">
        <v>5</v>
      </c>
      <c r="AM46" t="n">
        <v>5</v>
      </c>
      <c r="AN46" t="n">
        <v>0</v>
      </c>
      <c r="AO46" t="n">
        <v>0</v>
      </c>
      <c r="AP46" t="inlineStr">
        <is>
          <t>No</t>
        </is>
      </c>
      <c r="AQ46" t="inlineStr">
        <is>
          <t>No</t>
        </is>
      </c>
      <c r="AS46">
        <f>HYPERLINK("https://creighton-primo.hosted.exlibrisgroup.com/primo-explore/search?tab=default_tab&amp;search_scope=EVERYTHING&amp;vid=01CRU&amp;lang=en_US&amp;offset=0&amp;query=any,contains,991002975149702656","Catalog Record")</f>
        <v/>
      </c>
      <c r="AT46">
        <f>HYPERLINK("http://www.worldcat.org/oclc/39890535","WorldCat Record")</f>
        <v/>
      </c>
      <c r="AU46" t="inlineStr">
        <is>
          <t>4497079281:eng</t>
        </is>
      </c>
      <c r="AV46" t="inlineStr">
        <is>
          <t>39890535</t>
        </is>
      </c>
      <c r="AW46" t="inlineStr">
        <is>
          <t>991002975149702656</t>
        </is>
      </c>
      <c r="AX46" t="inlineStr">
        <is>
          <t>991002975149702656</t>
        </is>
      </c>
      <c r="AY46" t="inlineStr">
        <is>
          <t>2261349190002656</t>
        </is>
      </c>
      <c r="AZ46" t="inlineStr">
        <is>
          <t>BOOK</t>
        </is>
      </c>
      <c r="BB46" t="inlineStr">
        <is>
          <t>9780312214425</t>
        </is>
      </c>
      <c r="BC46" t="inlineStr">
        <is>
          <t>32285003549572</t>
        </is>
      </c>
      <c r="BD46" t="inlineStr">
        <is>
          <t>893317499</t>
        </is>
      </c>
    </row>
    <row r="47">
      <c r="A47" t="inlineStr">
        <is>
          <t>No</t>
        </is>
      </c>
      <c r="B47" t="inlineStr">
        <is>
          <t>DC103 .P4 1901</t>
        </is>
      </c>
      <c r="C47" t="inlineStr">
        <is>
          <t>0                      DC 0103000P  4           1901</t>
        </is>
      </c>
      <c r="D47" t="inlineStr">
        <is>
          <t>Joan of Arc / Translated by Hester Davenport.</t>
        </is>
      </c>
      <c r="F47" t="inlineStr">
        <is>
          <t>No</t>
        </is>
      </c>
      <c r="G47" t="inlineStr">
        <is>
          <t>1</t>
        </is>
      </c>
      <c r="H47" t="inlineStr">
        <is>
          <t>No</t>
        </is>
      </c>
      <c r="I47" t="inlineStr">
        <is>
          <t>No</t>
        </is>
      </c>
      <c r="J47" t="inlineStr">
        <is>
          <t>0</t>
        </is>
      </c>
      <c r="K47" t="inlineStr">
        <is>
          <t>Petit de Julleville, L. (Louis), 1841-1900.</t>
        </is>
      </c>
      <c r="L47" t="inlineStr">
        <is>
          <t>London : Duckworth ; New York : Benziger Bros., 1901.</t>
        </is>
      </c>
      <c r="M47" t="inlineStr">
        <is>
          <t>1901</t>
        </is>
      </c>
      <c r="O47" t="inlineStr">
        <is>
          <t>eng</t>
        </is>
      </c>
      <c r="P47" t="inlineStr">
        <is>
          <t>enk</t>
        </is>
      </c>
      <c r="Q47" t="inlineStr">
        <is>
          <t>The Saints</t>
        </is>
      </c>
      <c r="R47" t="inlineStr">
        <is>
          <t xml:space="preserve">DC </t>
        </is>
      </c>
      <c r="S47" t="n">
        <v>4</v>
      </c>
      <c r="T47" t="n">
        <v>4</v>
      </c>
      <c r="U47" t="inlineStr">
        <is>
          <t>2003-03-06</t>
        </is>
      </c>
      <c r="V47" t="inlineStr">
        <is>
          <t>2003-03-06</t>
        </is>
      </c>
      <c r="W47" t="inlineStr">
        <is>
          <t>1990-07-19</t>
        </is>
      </c>
      <c r="X47" t="inlineStr">
        <is>
          <t>1990-07-19</t>
        </is>
      </c>
      <c r="Y47" t="n">
        <v>42</v>
      </c>
      <c r="Z47" t="n">
        <v>31</v>
      </c>
      <c r="AA47" t="n">
        <v>852</v>
      </c>
      <c r="AB47" t="n">
        <v>1</v>
      </c>
      <c r="AC47" t="n">
        <v>10</v>
      </c>
      <c r="AD47" t="n">
        <v>9</v>
      </c>
      <c r="AE47" t="n">
        <v>20</v>
      </c>
      <c r="AF47" t="n">
        <v>2</v>
      </c>
      <c r="AG47" t="n">
        <v>4</v>
      </c>
      <c r="AH47" t="n">
        <v>1</v>
      </c>
      <c r="AI47" t="n">
        <v>4</v>
      </c>
      <c r="AJ47" t="n">
        <v>8</v>
      </c>
      <c r="AK47" t="n">
        <v>11</v>
      </c>
      <c r="AL47" t="n">
        <v>0</v>
      </c>
      <c r="AM47" t="n">
        <v>5</v>
      </c>
      <c r="AN47" t="n">
        <v>0</v>
      </c>
      <c r="AO47" t="n">
        <v>0</v>
      </c>
      <c r="AP47" t="inlineStr">
        <is>
          <t>Yes</t>
        </is>
      </c>
      <c r="AQ47" t="inlineStr">
        <is>
          <t>No</t>
        </is>
      </c>
      <c r="AR47">
        <f>HYPERLINK("http://catalog.hathitrust.org/Record/100547542","HathiTrust Record")</f>
        <v/>
      </c>
      <c r="AS47">
        <f>HYPERLINK("https://creighton-primo.hosted.exlibrisgroup.com/primo-explore/search?tab=default_tab&amp;search_scope=EVERYTHING&amp;vid=01CRU&amp;lang=en_US&amp;offset=0&amp;query=any,contains,991004738739702656","Catalog Record")</f>
        <v/>
      </c>
      <c r="AT47">
        <f>HYPERLINK("http://www.worldcat.org/oclc/4870181","WorldCat Record")</f>
        <v/>
      </c>
      <c r="AU47" t="inlineStr">
        <is>
          <t>2452449166:eng</t>
        </is>
      </c>
      <c r="AV47" t="inlineStr">
        <is>
          <t>4870181</t>
        </is>
      </c>
      <c r="AW47" t="inlineStr">
        <is>
          <t>991004738739702656</t>
        </is>
      </c>
      <c r="AX47" t="inlineStr">
        <is>
          <t>991004738739702656</t>
        </is>
      </c>
      <c r="AY47" t="inlineStr">
        <is>
          <t>2261578880002656</t>
        </is>
      </c>
      <c r="AZ47" t="inlineStr">
        <is>
          <t>BOOK</t>
        </is>
      </c>
      <c r="BC47" t="inlineStr">
        <is>
          <t>32285000245570</t>
        </is>
      </c>
      <c r="BD47" t="inlineStr">
        <is>
          <t>893229773</t>
        </is>
      </c>
    </row>
    <row r="48">
      <c r="A48" t="inlineStr">
        <is>
          <t>No</t>
        </is>
      </c>
      <c r="B48" t="inlineStr">
        <is>
          <t>DC103 .P87 1952</t>
        </is>
      </c>
      <c r="C48" t="inlineStr">
        <is>
          <t>0                      DC 0103000P  87          1952</t>
        </is>
      </c>
      <c r="D48" t="inlineStr">
        <is>
          <t>The halo on the sword : St. Joan of Arc / With a pref. by Claude Farrère.</t>
        </is>
      </c>
      <c r="F48" t="inlineStr">
        <is>
          <t>No</t>
        </is>
      </c>
      <c r="G48" t="inlineStr">
        <is>
          <t>1</t>
        </is>
      </c>
      <c r="H48" t="inlineStr">
        <is>
          <t>No</t>
        </is>
      </c>
      <c r="I48" t="inlineStr">
        <is>
          <t>No</t>
        </is>
      </c>
      <c r="J48" t="inlineStr">
        <is>
          <t>0</t>
        </is>
      </c>
      <c r="K48" t="inlineStr">
        <is>
          <t>Purcell, Mary, 1906-1991.</t>
        </is>
      </c>
      <c r="L48" t="inlineStr">
        <is>
          <t>Westminster, Md. : Newman Press, 1952.</t>
        </is>
      </c>
      <c r="M48" t="inlineStr">
        <is>
          <t>1952</t>
        </is>
      </c>
      <c r="O48" t="inlineStr">
        <is>
          <t>eng</t>
        </is>
      </c>
      <c r="P48" t="inlineStr">
        <is>
          <t xml:space="preserve">xx </t>
        </is>
      </c>
      <c r="R48" t="inlineStr">
        <is>
          <t xml:space="preserve">DC </t>
        </is>
      </c>
      <c r="S48" t="n">
        <v>3</v>
      </c>
      <c r="T48" t="n">
        <v>3</v>
      </c>
      <c r="U48" t="inlineStr">
        <is>
          <t>1994-10-02</t>
        </is>
      </c>
      <c r="V48" t="inlineStr">
        <is>
          <t>1994-10-02</t>
        </is>
      </c>
      <c r="W48" t="inlineStr">
        <is>
          <t>1990-07-19</t>
        </is>
      </c>
      <c r="X48" t="inlineStr">
        <is>
          <t>1990-07-19</t>
        </is>
      </c>
      <c r="Y48" t="n">
        <v>160</v>
      </c>
      <c r="Z48" t="n">
        <v>143</v>
      </c>
      <c r="AA48" t="n">
        <v>144</v>
      </c>
      <c r="AB48" t="n">
        <v>2</v>
      </c>
      <c r="AC48" t="n">
        <v>2</v>
      </c>
      <c r="AD48" t="n">
        <v>17</v>
      </c>
      <c r="AE48" t="n">
        <v>18</v>
      </c>
      <c r="AF48" t="n">
        <v>6</v>
      </c>
      <c r="AG48" t="n">
        <v>7</v>
      </c>
      <c r="AH48" t="n">
        <v>5</v>
      </c>
      <c r="AI48" t="n">
        <v>5</v>
      </c>
      <c r="AJ48" t="n">
        <v>13</v>
      </c>
      <c r="AK48" t="n">
        <v>14</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HYPERLINK("https://creighton-primo.hosted.exlibrisgroup.com/primo-explore/search?tab=default_tab&amp;search_scope=EVERYTHING&amp;vid=01CRU&amp;lang=en_US&amp;offset=0&amp;query=any,contains,991004310039702656","Catalog Record")</f>
        <v/>
      </c>
      <c r="AT48">
        <f>HYPERLINK("http://www.worldcat.org/oclc/2988805","WorldCat Record")</f>
        <v/>
      </c>
      <c r="AU48" t="inlineStr">
        <is>
          <t>1848005778:eng</t>
        </is>
      </c>
      <c r="AV48" t="inlineStr">
        <is>
          <t>2988805</t>
        </is>
      </c>
      <c r="AW48" t="inlineStr">
        <is>
          <t>991004310039702656</t>
        </is>
      </c>
      <c r="AX48" t="inlineStr">
        <is>
          <t>991004310039702656</t>
        </is>
      </c>
      <c r="AY48" t="inlineStr">
        <is>
          <t>2260681600002656</t>
        </is>
      </c>
      <c r="AZ48" t="inlineStr">
        <is>
          <t>BOOK</t>
        </is>
      </c>
      <c r="BC48" t="inlineStr">
        <is>
          <t>32285000245588</t>
        </is>
      </c>
      <c r="BD48" t="inlineStr">
        <is>
          <t>893325205</t>
        </is>
      </c>
    </row>
    <row r="49">
      <c r="A49" t="inlineStr">
        <is>
          <t>No</t>
        </is>
      </c>
      <c r="B49" t="inlineStr">
        <is>
          <t>DC103 .R63 1948</t>
        </is>
      </c>
      <c r="C49" t="inlineStr">
        <is>
          <t>0                      DC 0103000R  63          1948</t>
        </is>
      </c>
      <c r="D49" t="inlineStr">
        <is>
          <t>Saint Joan : the woman and the saint / by Father Etienne Robo.</t>
        </is>
      </c>
      <c r="F49" t="inlineStr">
        <is>
          <t>No</t>
        </is>
      </c>
      <c r="G49" t="inlineStr">
        <is>
          <t>1</t>
        </is>
      </c>
      <c r="H49" t="inlineStr">
        <is>
          <t>No</t>
        </is>
      </c>
      <c r="I49" t="inlineStr">
        <is>
          <t>No</t>
        </is>
      </c>
      <c r="J49" t="inlineStr">
        <is>
          <t>0</t>
        </is>
      </c>
      <c r="K49" t="inlineStr">
        <is>
          <t>Robo, Etienne, 1879-1972.</t>
        </is>
      </c>
      <c r="L49" t="inlineStr">
        <is>
          <t>New York : Spiritual Book Associates [1948,1947].</t>
        </is>
      </c>
      <c r="M49" t="inlineStr">
        <is>
          <t>1948</t>
        </is>
      </c>
      <c r="N49" t="inlineStr">
        <is>
          <t>[2nd ed.]</t>
        </is>
      </c>
      <c r="O49" t="inlineStr">
        <is>
          <t>eng</t>
        </is>
      </c>
      <c r="P49" t="inlineStr">
        <is>
          <t xml:space="preserve">xx </t>
        </is>
      </c>
      <c r="R49" t="inlineStr">
        <is>
          <t xml:space="preserve">DC </t>
        </is>
      </c>
      <c r="S49" t="n">
        <v>22</v>
      </c>
      <c r="T49" t="n">
        <v>22</v>
      </c>
      <c r="U49" t="inlineStr">
        <is>
          <t>2009-06-28</t>
        </is>
      </c>
      <c r="V49" t="inlineStr">
        <is>
          <t>2009-06-28</t>
        </is>
      </c>
      <c r="W49" t="inlineStr">
        <is>
          <t>1990-05-07</t>
        </is>
      </c>
      <c r="X49" t="inlineStr">
        <is>
          <t>1990-05-07</t>
        </is>
      </c>
      <c r="Y49" t="n">
        <v>41</v>
      </c>
      <c r="Z49" t="n">
        <v>40</v>
      </c>
      <c r="AA49" t="n">
        <v>64</v>
      </c>
      <c r="AB49" t="n">
        <v>3</v>
      </c>
      <c r="AC49" t="n">
        <v>3</v>
      </c>
      <c r="AD49" t="n">
        <v>9</v>
      </c>
      <c r="AE49" t="n">
        <v>11</v>
      </c>
      <c r="AF49" t="n">
        <v>2</v>
      </c>
      <c r="AG49" t="n">
        <v>2</v>
      </c>
      <c r="AH49" t="n">
        <v>1</v>
      </c>
      <c r="AI49" t="n">
        <v>2</v>
      </c>
      <c r="AJ49" t="n">
        <v>8</v>
      </c>
      <c r="AK49" t="n">
        <v>10</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HYPERLINK("https://creighton-primo.hosted.exlibrisgroup.com/primo-explore/search?tab=default_tab&amp;search_scope=EVERYTHING&amp;vid=01CRU&amp;lang=en_US&amp;offset=0&amp;query=any,contains,991000188529702656","Catalog Record")</f>
        <v/>
      </c>
      <c r="AT49">
        <f>HYPERLINK("http://www.worldcat.org/oclc/9398670","WorldCat Record")</f>
        <v/>
      </c>
      <c r="AU49" t="inlineStr">
        <is>
          <t>200679795:eng</t>
        </is>
      </c>
      <c r="AV49" t="inlineStr">
        <is>
          <t>9398670</t>
        </is>
      </c>
      <c r="AW49" t="inlineStr">
        <is>
          <t>991000188529702656</t>
        </is>
      </c>
      <c r="AX49" t="inlineStr">
        <is>
          <t>991000188529702656</t>
        </is>
      </c>
      <c r="AY49" t="inlineStr">
        <is>
          <t>2272190120002656</t>
        </is>
      </c>
      <c r="AZ49" t="inlineStr">
        <is>
          <t>BOOK</t>
        </is>
      </c>
      <c r="BC49" t="inlineStr">
        <is>
          <t>32285000149624</t>
        </is>
      </c>
      <c r="BD49" t="inlineStr">
        <is>
          <t>893230956</t>
        </is>
      </c>
    </row>
    <row r="50">
      <c r="A50" t="inlineStr">
        <is>
          <t>No</t>
        </is>
      </c>
      <c r="B50" t="inlineStr">
        <is>
          <t>DC103 .S832 1956</t>
        </is>
      </c>
      <c r="C50" t="inlineStr">
        <is>
          <t>0                      DC 0103000S  832         1956</t>
        </is>
      </c>
      <c r="D50" t="inlineStr">
        <is>
          <t>The maid of Orleans / Translated from the Swedish by Eric Lewenhaupt.</t>
        </is>
      </c>
      <c r="F50" t="inlineStr">
        <is>
          <t>No</t>
        </is>
      </c>
      <c r="G50" t="inlineStr">
        <is>
          <t>1</t>
        </is>
      </c>
      <c r="H50" t="inlineStr">
        <is>
          <t>Yes</t>
        </is>
      </c>
      <c r="I50" t="inlineStr">
        <is>
          <t>No</t>
        </is>
      </c>
      <c r="J50" t="inlineStr">
        <is>
          <t>0</t>
        </is>
      </c>
      <c r="K50" t="inlineStr">
        <is>
          <t>Stolpe, Sven, 1905-1996.</t>
        </is>
      </c>
      <c r="L50" t="inlineStr">
        <is>
          <t>[New York] : Pantheon, [1956]</t>
        </is>
      </c>
      <c r="M50" t="inlineStr">
        <is>
          <t>1956</t>
        </is>
      </c>
      <c r="O50" t="inlineStr">
        <is>
          <t>eng</t>
        </is>
      </c>
      <c r="P50" t="inlineStr">
        <is>
          <t>nyu</t>
        </is>
      </c>
      <c r="R50" t="inlineStr">
        <is>
          <t xml:space="preserve">DC </t>
        </is>
      </c>
      <c r="S50" t="n">
        <v>0</v>
      </c>
      <c r="T50" t="n">
        <v>1</v>
      </c>
      <c r="V50" t="inlineStr">
        <is>
          <t>2009-06-24</t>
        </is>
      </c>
      <c r="W50" t="inlineStr">
        <is>
          <t>1990-11-27</t>
        </is>
      </c>
      <c r="X50" t="inlineStr">
        <is>
          <t>1990-11-27</t>
        </is>
      </c>
      <c r="Y50" t="n">
        <v>374</v>
      </c>
      <c r="Z50" t="n">
        <v>347</v>
      </c>
      <c r="AA50" t="n">
        <v>502</v>
      </c>
      <c r="AB50" t="n">
        <v>7</v>
      </c>
      <c r="AC50" t="n">
        <v>11</v>
      </c>
      <c r="AD50" t="n">
        <v>28</v>
      </c>
      <c r="AE50" t="n">
        <v>34</v>
      </c>
      <c r="AF50" t="n">
        <v>11</v>
      </c>
      <c r="AG50" t="n">
        <v>13</v>
      </c>
      <c r="AH50" t="n">
        <v>4</v>
      </c>
      <c r="AI50" t="n">
        <v>5</v>
      </c>
      <c r="AJ50" t="n">
        <v>17</v>
      </c>
      <c r="AK50" t="n">
        <v>19</v>
      </c>
      <c r="AL50" t="n">
        <v>4</v>
      </c>
      <c r="AM50" t="n">
        <v>7</v>
      </c>
      <c r="AN50" t="n">
        <v>0</v>
      </c>
      <c r="AO50" t="n">
        <v>0</v>
      </c>
      <c r="AP50" t="inlineStr">
        <is>
          <t>No</t>
        </is>
      </c>
      <c r="AQ50" t="inlineStr">
        <is>
          <t>Yes</t>
        </is>
      </c>
      <c r="AR50">
        <f>HYPERLINK("http://catalog.hathitrust.org/Record/008016632","HathiTrust Record")</f>
        <v/>
      </c>
      <c r="AS50">
        <f>HYPERLINK("https://creighton-primo.hosted.exlibrisgroup.com/primo-explore/search?tab=default_tab&amp;search_scope=EVERYTHING&amp;vid=01CRU&amp;lang=en_US&amp;offset=0&amp;query=any,contains,991003542019702656","Catalog Record")</f>
        <v/>
      </c>
      <c r="AT50">
        <f>HYPERLINK("http://www.worldcat.org/oclc/1106642","WorldCat Record")</f>
        <v/>
      </c>
      <c r="AU50" t="inlineStr">
        <is>
          <t>118254096:eng</t>
        </is>
      </c>
      <c r="AV50" t="inlineStr">
        <is>
          <t>1106642</t>
        </is>
      </c>
      <c r="AW50" t="inlineStr">
        <is>
          <t>991003542019702656</t>
        </is>
      </c>
      <c r="AX50" t="inlineStr">
        <is>
          <t>991003542019702656</t>
        </is>
      </c>
      <c r="AY50" t="inlineStr">
        <is>
          <t>2259783810002656</t>
        </is>
      </c>
      <c r="AZ50" t="inlineStr">
        <is>
          <t>BOOK</t>
        </is>
      </c>
      <c r="BC50" t="inlineStr">
        <is>
          <t>32285000393800</t>
        </is>
      </c>
      <c r="BD50" t="inlineStr">
        <is>
          <t>893348789</t>
        </is>
      </c>
    </row>
    <row r="51">
      <c r="A51" t="inlineStr">
        <is>
          <t>No</t>
        </is>
      </c>
      <c r="B51" t="inlineStr">
        <is>
          <t>DC103 .S832 1956</t>
        </is>
      </c>
      <c r="C51" t="inlineStr">
        <is>
          <t>0                      DC 0103000S  832         1956</t>
        </is>
      </c>
      <c r="D51" t="inlineStr">
        <is>
          <t>The maid of Orleans / Translated from the Swedish by Eric Lewenhaupt.</t>
        </is>
      </c>
      <c r="F51" t="inlineStr">
        <is>
          <t>No</t>
        </is>
      </c>
      <c r="G51" t="inlineStr">
        <is>
          <t>1</t>
        </is>
      </c>
      <c r="H51" t="inlineStr">
        <is>
          <t>Yes</t>
        </is>
      </c>
      <c r="I51" t="inlineStr">
        <is>
          <t>No</t>
        </is>
      </c>
      <c r="J51" t="inlineStr">
        <is>
          <t>0</t>
        </is>
      </c>
      <c r="K51" t="inlineStr">
        <is>
          <t>Stolpe, Sven, 1905-1996.</t>
        </is>
      </c>
      <c r="L51" t="inlineStr">
        <is>
          <t>[New York] : Pantheon, [1956]</t>
        </is>
      </c>
      <c r="M51" t="inlineStr">
        <is>
          <t>1956</t>
        </is>
      </c>
      <c r="O51" t="inlineStr">
        <is>
          <t>eng</t>
        </is>
      </c>
      <c r="P51" t="inlineStr">
        <is>
          <t>nyu</t>
        </is>
      </c>
      <c r="R51" t="inlineStr">
        <is>
          <t xml:space="preserve">DC </t>
        </is>
      </c>
      <c r="S51" t="n">
        <v>1</v>
      </c>
      <c r="T51" t="n">
        <v>1</v>
      </c>
      <c r="U51" t="inlineStr">
        <is>
          <t>2009-06-24</t>
        </is>
      </c>
      <c r="V51" t="inlineStr">
        <is>
          <t>2009-06-24</t>
        </is>
      </c>
      <c r="W51" t="inlineStr">
        <is>
          <t>1990-11-27</t>
        </is>
      </c>
      <c r="X51" t="inlineStr">
        <is>
          <t>1990-11-27</t>
        </is>
      </c>
      <c r="Y51" t="n">
        <v>374</v>
      </c>
      <c r="Z51" t="n">
        <v>347</v>
      </c>
      <c r="AA51" t="n">
        <v>502</v>
      </c>
      <c r="AB51" t="n">
        <v>7</v>
      </c>
      <c r="AC51" t="n">
        <v>11</v>
      </c>
      <c r="AD51" t="n">
        <v>28</v>
      </c>
      <c r="AE51" t="n">
        <v>34</v>
      </c>
      <c r="AF51" t="n">
        <v>11</v>
      </c>
      <c r="AG51" t="n">
        <v>13</v>
      </c>
      <c r="AH51" t="n">
        <v>4</v>
      </c>
      <c r="AI51" t="n">
        <v>5</v>
      </c>
      <c r="AJ51" t="n">
        <v>17</v>
      </c>
      <c r="AK51" t="n">
        <v>19</v>
      </c>
      <c r="AL51" t="n">
        <v>4</v>
      </c>
      <c r="AM51" t="n">
        <v>7</v>
      </c>
      <c r="AN51" t="n">
        <v>0</v>
      </c>
      <c r="AO51" t="n">
        <v>0</v>
      </c>
      <c r="AP51" t="inlineStr">
        <is>
          <t>No</t>
        </is>
      </c>
      <c r="AQ51" t="inlineStr">
        <is>
          <t>Yes</t>
        </is>
      </c>
      <c r="AR51">
        <f>HYPERLINK("http://catalog.hathitrust.org/Record/008016632","HathiTrust Record")</f>
        <v/>
      </c>
      <c r="AS51">
        <f>HYPERLINK("https://creighton-primo.hosted.exlibrisgroup.com/primo-explore/search?tab=default_tab&amp;search_scope=EVERYTHING&amp;vid=01CRU&amp;lang=en_US&amp;offset=0&amp;query=any,contains,991003542019702656","Catalog Record")</f>
        <v/>
      </c>
      <c r="AT51">
        <f>HYPERLINK("http://www.worldcat.org/oclc/1106642","WorldCat Record")</f>
        <v/>
      </c>
      <c r="AU51" t="inlineStr">
        <is>
          <t>118254096:eng</t>
        </is>
      </c>
      <c r="AV51" t="inlineStr">
        <is>
          <t>1106642</t>
        </is>
      </c>
      <c r="AW51" t="inlineStr">
        <is>
          <t>991003542019702656</t>
        </is>
      </c>
      <c r="AX51" t="inlineStr">
        <is>
          <t>991003542019702656</t>
        </is>
      </c>
      <c r="AY51" t="inlineStr">
        <is>
          <t>2259783810002656</t>
        </is>
      </c>
      <c r="AZ51" t="inlineStr">
        <is>
          <t>BOOK</t>
        </is>
      </c>
      <c r="BC51" t="inlineStr">
        <is>
          <t>32285000393792</t>
        </is>
      </c>
      <c r="BD51" t="inlineStr">
        <is>
          <t>893336601</t>
        </is>
      </c>
    </row>
    <row r="52">
      <c r="A52" t="inlineStr">
        <is>
          <t>No</t>
        </is>
      </c>
      <c r="B52" t="inlineStr">
        <is>
          <t>DC104 .F6 1930</t>
        </is>
      </c>
      <c r="C52" t="inlineStr">
        <is>
          <t>0                      DC 0104000F  6           1930</t>
        </is>
      </c>
      <c r="D52" t="inlineStr">
        <is>
          <t>For Joan of Arc : an act of homage from nine members of the French Academy / Marshal Foch, Louis Bertrand, Georges Goyau, Henri Lavedan, Louis Madelin, Me. Henri-Robert, Mgr. Baudrillart, Maurice Barrès, Gabriel Hanotaux.</t>
        </is>
      </c>
      <c r="F52" t="inlineStr">
        <is>
          <t>No</t>
        </is>
      </c>
      <c r="G52" t="inlineStr">
        <is>
          <t>1</t>
        </is>
      </c>
      <c r="H52" t="inlineStr">
        <is>
          <t>No</t>
        </is>
      </c>
      <c r="I52" t="inlineStr">
        <is>
          <t>No</t>
        </is>
      </c>
      <c r="J52" t="inlineStr">
        <is>
          <t>0</t>
        </is>
      </c>
      <c r="L52" t="inlineStr">
        <is>
          <t>New York : Macmillan co., 1930.</t>
        </is>
      </c>
      <c r="M52" t="inlineStr">
        <is>
          <t>1930</t>
        </is>
      </c>
      <c r="O52" t="inlineStr">
        <is>
          <t>eng</t>
        </is>
      </c>
      <c r="P52" t="inlineStr">
        <is>
          <t>nyu</t>
        </is>
      </c>
      <c r="R52" t="inlineStr">
        <is>
          <t xml:space="preserve">DC </t>
        </is>
      </c>
      <c r="S52" t="n">
        <v>8</v>
      </c>
      <c r="T52" t="n">
        <v>8</v>
      </c>
      <c r="U52" t="inlineStr">
        <is>
          <t>2007-11-17</t>
        </is>
      </c>
      <c r="V52" t="inlineStr">
        <is>
          <t>2007-11-17</t>
        </is>
      </c>
      <c r="W52" t="inlineStr">
        <is>
          <t>1990-07-19</t>
        </is>
      </c>
      <c r="X52" t="inlineStr">
        <is>
          <t>1990-07-19</t>
        </is>
      </c>
      <c r="Y52" t="n">
        <v>65</v>
      </c>
      <c r="Z52" t="n">
        <v>63</v>
      </c>
      <c r="AA52" t="n">
        <v>125</v>
      </c>
      <c r="AB52" t="n">
        <v>1</v>
      </c>
      <c r="AC52" t="n">
        <v>1</v>
      </c>
      <c r="AD52" t="n">
        <v>6</v>
      </c>
      <c r="AE52" t="n">
        <v>15</v>
      </c>
      <c r="AF52" t="n">
        <v>1</v>
      </c>
      <c r="AG52" t="n">
        <v>3</v>
      </c>
      <c r="AH52" t="n">
        <v>2</v>
      </c>
      <c r="AI52" t="n">
        <v>3</v>
      </c>
      <c r="AJ52" t="n">
        <v>3</v>
      </c>
      <c r="AK52" t="n">
        <v>12</v>
      </c>
      <c r="AL52" t="n">
        <v>0</v>
      </c>
      <c r="AM52" t="n">
        <v>0</v>
      </c>
      <c r="AN52" t="n">
        <v>0</v>
      </c>
      <c r="AO52" t="n">
        <v>0</v>
      </c>
      <c r="AP52" t="inlineStr">
        <is>
          <t>No</t>
        </is>
      </c>
      <c r="AQ52" t="inlineStr">
        <is>
          <t>Yes</t>
        </is>
      </c>
      <c r="AR52">
        <f>HYPERLINK("http://catalog.hathitrust.org/Record/000455144","HathiTrust Record")</f>
        <v/>
      </c>
      <c r="AS52">
        <f>HYPERLINK("https://creighton-primo.hosted.exlibrisgroup.com/primo-explore/search?tab=default_tab&amp;search_scope=EVERYTHING&amp;vid=01CRU&amp;lang=en_US&amp;offset=0&amp;query=any,contains,991004842079702656","Catalog Record")</f>
        <v/>
      </c>
      <c r="AT52">
        <f>HYPERLINK("http://www.worldcat.org/oclc/5508357","WorldCat Record")</f>
        <v/>
      </c>
      <c r="AU52" t="inlineStr">
        <is>
          <t>54030822:eng</t>
        </is>
      </c>
      <c r="AV52" t="inlineStr">
        <is>
          <t>5508357</t>
        </is>
      </c>
      <c r="AW52" t="inlineStr">
        <is>
          <t>991004842079702656</t>
        </is>
      </c>
      <c r="AX52" t="inlineStr">
        <is>
          <t>991004842079702656</t>
        </is>
      </c>
      <c r="AY52" t="inlineStr">
        <is>
          <t>2269188220002656</t>
        </is>
      </c>
      <c r="AZ52" t="inlineStr">
        <is>
          <t>BOOK</t>
        </is>
      </c>
      <c r="BC52" t="inlineStr">
        <is>
          <t>32285000245604</t>
        </is>
      </c>
      <c r="BD52" t="inlineStr">
        <is>
          <t>893332110</t>
        </is>
      </c>
    </row>
    <row r="53">
      <c r="A53" t="inlineStr">
        <is>
          <t>No</t>
        </is>
      </c>
      <c r="B53" t="inlineStr">
        <is>
          <t>DC105.6 .A35 1903</t>
        </is>
      </c>
      <c r="C53" t="inlineStr">
        <is>
          <t>0                      DC 0105600A  35          1903</t>
        </is>
      </c>
      <c r="D53" t="inlineStr">
        <is>
          <t>Jeanne d'Arc, maid of Orleans, deliverer of France : being the story of her life, her achievements, and her death, as attested on oath and set forth in original documents / edited by T. Douglas Murray.</t>
        </is>
      </c>
      <c r="F53" t="inlineStr">
        <is>
          <t>No</t>
        </is>
      </c>
      <c r="G53" t="inlineStr">
        <is>
          <t>1</t>
        </is>
      </c>
      <c r="H53" t="inlineStr">
        <is>
          <t>No</t>
        </is>
      </c>
      <c r="I53" t="inlineStr">
        <is>
          <t>No</t>
        </is>
      </c>
      <c r="J53" t="inlineStr">
        <is>
          <t>0</t>
        </is>
      </c>
      <c r="K53" t="inlineStr">
        <is>
          <t>Joan, of Arc, Saint, 1412-1431 defendant.</t>
        </is>
      </c>
      <c r="L53" t="inlineStr">
        <is>
          <t>London : Heinemann, [1903],1902.</t>
        </is>
      </c>
      <c r="M53" t="inlineStr">
        <is>
          <t>1902</t>
        </is>
      </c>
      <c r="O53" t="inlineStr">
        <is>
          <t>eng</t>
        </is>
      </c>
      <c r="P53" t="inlineStr">
        <is>
          <t xml:space="preserve">xx </t>
        </is>
      </c>
      <c r="R53" t="inlineStr">
        <is>
          <t xml:space="preserve">DC </t>
        </is>
      </c>
      <c r="S53" t="n">
        <v>6</v>
      </c>
      <c r="T53" t="n">
        <v>6</v>
      </c>
      <c r="U53" t="inlineStr">
        <is>
          <t>1999-02-21</t>
        </is>
      </c>
      <c r="V53" t="inlineStr">
        <is>
          <t>1999-02-21</t>
        </is>
      </c>
      <c r="W53" t="inlineStr">
        <is>
          <t>1990-11-27</t>
        </is>
      </c>
      <c r="X53" t="inlineStr">
        <is>
          <t>1990-11-27</t>
        </is>
      </c>
      <c r="Y53" t="n">
        <v>49</v>
      </c>
      <c r="Z53" t="n">
        <v>32</v>
      </c>
      <c r="AA53" t="n">
        <v>366</v>
      </c>
      <c r="AB53" t="n">
        <v>2</v>
      </c>
      <c r="AC53" t="n">
        <v>4</v>
      </c>
      <c r="AD53" t="n">
        <v>1</v>
      </c>
      <c r="AE53" t="n">
        <v>26</v>
      </c>
      <c r="AF53" t="n">
        <v>0</v>
      </c>
      <c r="AG53" t="n">
        <v>7</v>
      </c>
      <c r="AH53" t="n">
        <v>0</v>
      </c>
      <c r="AI53" t="n">
        <v>6</v>
      </c>
      <c r="AJ53" t="n">
        <v>0</v>
      </c>
      <c r="AK53" t="n">
        <v>9</v>
      </c>
      <c r="AL53" t="n">
        <v>1</v>
      </c>
      <c r="AM53" t="n">
        <v>2</v>
      </c>
      <c r="AN53" t="n">
        <v>0</v>
      </c>
      <c r="AO53" t="n">
        <v>7</v>
      </c>
      <c r="AP53" t="inlineStr">
        <is>
          <t>Yes</t>
        </is>
      </c>
      <c r="AQ53" t="inlineStr">
        <is>
          <t>No</t>
        </is>
      </c>
      <c r="AR53">
        <f>HYPERLINK("http://catalog.hathitrust.org/Record/100545735","HathiTrust Record")</f>
        <v/>
      </c>
      <c r="AS53">
        <f>HYPERLINK("https://creighton-primo.hosted.exlibrisgroup.com/primo-explore/search?tab=default_tab&amp;search_scope=EVERYTHING&amp;vid=01CRU&amp;lang=en_US&amp;offset=0&amp;query=any,contains,991004449029702656","Catalog Record")</f>
        <v/>
      </c>
      <c r="AT53">
        <f>HYPERLINK("http://www.worldcat.org/oclc/3499766","WorldCat Record")</f>
        <v/>
      </c>
      <c r="AU53" t="inlineStr">
        <is>
          <t>1617183:eng</t>
        </is>
      </c>
      <c r="AV53" t="inlineStr">
        <is>
          <t>3499766</t>
        </is>
      </c>
      <c r="AW53" t="inlineStr">
        <is>
          <t>991004449029702656</t>
        </is>
      </c>
      <c r="AX53" t="inlineStr">
        <is>
          <t>991004449029702656</t>
        </is>
      </c>
      <c r="AY53" t="inlineStr">
        <is>
          <t>2272097280002656</t>
        </is>
      </c>
      <c r="AZ53" t="inlineStr">
        <is>
          <t>BOOK</t>
        </is>
      </c>
      <c r="BC53" t="inlineStr">
        <is>
          <t>32285000393842</t>
        </is>
      </c>
      <c r="BD53" t="inlineStr">
        <is>
          <t>893263275</t>
        </is>
      </c>
    </row>
    <row r="54">
      <c r="A54" t="inlineStr">
        <is>
          <t>No</t>
        </is>
      </c>
      <c r="B54" t="inlineStr">
        <is>
          <t>DC105.7 .P412 1955a</t>
        </is>
      </c>
      <c r="C54" t="inlineStr">
        <is>
          <t>0                      DC 0105700P  412         1955a</t>
        </is>
      </c>
      <c r="D54" t="inlineStr">
        <is>
          <t>The retrial of Joan of Arc : the evidence at the trial for her rehabilitation, 1450-1456 / Translated by J. M. Cohen. Foreword by Katherine Anne Porter.</t>
        </is>
      </c>
      <c r="F54" t="inlineStr">
        <is>
          <t>No</t>
        </is>
      </c>
      <c r="G54" t="inlineStr">
        <is>
          <t>1</t>
        </is>
      </c>
      <c r="H54" t="inlineStr">
        <is>
          <t>No</t>
        </is>
      </c>
      <c r="I54" t="inlineStr">
        <is>
          <t>No</t>
        </is>
      </c>
      <c r="J54" t="inlineStr">
        <is>
          <t>0</t>
        </is>
      </c>
      <c r="K54" t="inlineStr">
        <is>
          <t>Pernoud, Régine, 1909-1998.</t>
        </is>
      </c>
      <c r="L54" t="inlineStr">
        <is>
          <t>New York : Harcourt, Brace, [1955]</t>
        </is>
      </c>
      <c r="M54" t="inlineStr">
        <is>
          <t>1955</t>
        </is>
      </c>
      <c r="N54" t="inlineStr">
        <is>
          <t>[1st American ed.]</t>
        </is>
      </c>
      <c r="O54" t="inlineStr">
        <is>
          <t>eng</t>
        </is>
      </c>
      <c r="P54" t="inlineStr">
        <is>
          <t>nyu</t>
        </is>
      </c>
      <c r="R54" t="inlineStr">
        <is>
          <t xml:space="preserve">DC </t>
        </is>
      </c>
      <c r="S54" t="n">
        <v>7</v>
      </c>
      <c r="T54" t="n">
        <v>7</v>
      </c>
      <c r="U54" t="inlineStr">
        <is>
          <t>1999-11-28</t>
        </is>
      </c>
      <c r="V54" t="inlineStr">
        <is>
          <t>1999-11-28</t>
        </is>
      </c>
      <c r="W54" t="inlineStr">
        <is>
          <t>1990-07-19</t>
        </is>
      </c>
      <c r="X54" t="inlineStr">
        <is>
          <t>1990-07-19</t>
        </is>
      </c>
      <c r="Y54" t="n">
        <v>490</v>
      </c>
      <c r="Z54" t="n">
        <v>469</v>
      </c>
      <c r="AA54" t="n">
        <v>601</v>
      </c>
      <c r="AB54" t="n">
        <v>5</v>
      </c>
      <c r="AC54" t="n">
        <v>6</v>
      </c>
      <c r="AD54" t="n">
        <v>35</v>
      </c>
      <c r="AE54" t="n">
        <v>39</v>
      </c>
      <c r="AF54" t="n">
        <v>11</v>
      </c>
      <c r="AG54" t="n">
        <v>13</v>
      </c>
      <c r="AH54" t="n">
        <v>9</v>
      </c>
      <c r="AI54" t="n">
        <v>9</v>
      </c>
      <c r="AJ54" t="n">
        <v>21</v>
      </c>
      <c r="AK54" t="n">
        <v>25</v>
      </c>
      <c r="AL54" t="n">
        <v>2</v>
      </c>
      <c r="AM54" t="n">
        <v>2</v>
      </c>
      <c r="AN54" t="n">
        <v>2</v>
      </c>
      <c r="AO54" t="n">
        <v>2</v>
      </c>
      <c r="AP54" t="inlineStr">
        <is>
          <t>No</t>
        </is>
      </c>
      <c r="AQ54" t="inlineStr">
        <is>
          <t>Yes</t>
        </is>
      </c>
      <c r="AR54">
        <f>HYPERLINK("http://catalog.hathitrust.org/Record/000454776","HathiTrust Record")</f>
        <v/>
      </c>
      <c r="AS54">
        <f>HYPERLINK("https://creighton-primo.hosted.exlibrisgroup.com/primo-explore/search?tab=default_tab&amp;search_scope=EVERYTHING&amp;vid=01CRU&amp;lang=en_US&amp;offset=0&amp;query=any,contains,991003701949702656","Catalog Record")</f>
        <v/>
      </c>
      <c r="AT54">
        <f>HYPERLINK("http://www.worldcat.org/oclc/1338471","WorldCat Record")</f>
        <v/>
      </c>
      <c r="AU54" t="inlineStr">
        <is>
          <t>5454155363:eng</t>
        </is>
      </c>
      <c r="AV54" t="inlineStr">
        <is>
          <t>1338471</t>
        </is>
      </c>
      <c r="AW54" t="inlineStr">
        <is>
          <t>991003701949702656</t>
        </is>
      </c>
      <c r="AX54" t="inlineStr">
        <is>
          <t>991003701949702656</t>
        </is>
      </c>
      <c r="AY54" t="inlineStr">
        <is>
          <t>2257659350002656</t>
        </is>
      </c>
      <c r="AZ54" t="inlineStr">
        <is>
          <t>BOOK</t>
        </is>
      </c>
      <c r="BC54" t="inlineStr">
        <is>
          <t>32285000245620</t>
        </is>
      </c>
      <c r="BD54" t="inlineStr">
        <is>
          <t>893252656</t>
        </is>
      </c>
    </row>
    <row r="55">
      <c r="A55" t="inlineStr">
        <is>
          <t>No</t>
        </is>
      </c>
      <c r="B55" t="inlineStr">
        <is>
          <t>DC105.9 .M37 1990</t>
        </is>
      </c>
      <c r="C55" t="inlineStr">
        <is>
          <t>0                      DC 0105900M  37          1990</t>
        </is>
      </c>
      <c r="D55" t="inlineStr">
        <is>
          <t>Joan of Arc in history, literature, and film : a select, annotated bibliography / Nadia Margolis.</t>
        </is>
      </c>
      <c r="F55" t="inlineStr">
        <is>
          <t>No</t>
        </is>
      </c>
      <c r="G55" t="inlineStr">
        <is>
          <t>1</t>
        </is>
      </c>
      <c r="H55" t="inlineStr">
        <is>
          <t>No</t>
        </is>
      </c>
      <c r="I55" t="inlineStr">
        <is>
          <t>No</t>
        </is>
      </c>
      <c r="J55" t="inlineStr">
        <is>
          <t>0</t>
        </is>
      </c>
      <c r="K55" t="inlineStr">
        <is>
          <t>Margolis, Nadia, 1949-</t>
        </is>
      </c>
      <c r="L55" t="inlineStr">
        <is>
          <t>New York : Garland Pub., 1990.</t>
        </is>
      </c>
      <c r="M55" t="inlineStr">
        <is>
          <t>1990</t>
        </is>
      </c>
      <c r="O55" t="inlineStr">
        <is>
          <t>eng</t>
        </is>
      </c>
      <c r="P55" t="inlineStr">
        <is>
          <t>nyu</t>
        </is>
      </c>
      <c r="Q55" t="inlineStr">
        <is>
          <t>Garland reference library of the humanities ; vol. 1224</t>
        </is>
      </c>
      <c r="R55" t="inlineStr">
        <is>
          <t xml:space="preserve">DC </t>
        </is>
      </c>
      <c r="S55" t="n">
        <v>2</v>
      </c>
      <c r="T55" t="n">
        <v>2</v>
      </c>
      <c r="U55" t="inlineStr">
        <is>
          <t>1999-02-17</t>
        </is>
      </c>
      <c r="V55" t="inlineStr">
        <is>
          <t>1999-02-17</t>
        </is>
      </c>
      <c r="W55" t="inlineStr">
        <is>
          <t>1991-06-24</t>
        </is>
      </c>
      <c r="X55" t="inlineStr">
        <is>
          <t>1991-06-24</t>
        </is>
      </c>
      <c r="Y55" t="n">
        <v>261</v>
      </c>
      <c r="Z55" t="n">
        <v>205</v>
      </c>
      <c r="AA55" t="n">
        <v>205</v>
      </c>
      <c r="AB55" t="n">
        <v>2</v>
      </c>
      <c r="AC55" t="n">
        <v>2</v>
      </c>
      <c r="AD55" t="n">
        <v>18</v>
      </c>
      <c r="AE55" t="n">
        <v>18</v>
      </c>
      <c r="AF55" t="n">
        <v>3</v>
      </c>
      <c r="AG55" t="n">
        <v>3</v>
      </c>
      <c r="AH55" t="n">
        <v>6</v>
      </c>
      <c r="AI55" t="n">
        <v>6</v>
      </c>
      <c r="AJ55" t="n">
        <v>14</v>
      </c>
      <c r="AK55" t="n">
        <v>14</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HYPERLINK("https://creighton-primo.hosted.exlibrisgroup.com/primo-explore/search?tab=default_tab&amp;search_scope=EVERYTHING&amp;vid=01CRU&amp;lang=en_US&amp;offset=0&amp;query=any,contains,991001720659702656","Catalog Record")</f>
        <v/>
      </c>
      <c r="AT55">
        <f>HYPERLINK("http://www.worldcat.org/oclc/21763225","WorldCat Record")</f>
        <v/>
      </c>
      <c r="AU55" t="inlineStr">
        <is>
          <t>836709102:eng</t>
        </is>
      </c>
      <c r="AV55" t="inlineStr">
        <is>
          <t>21763225</t>
        </is>
      </c>
      <c r="AW55" t="inlineStr">
        <is>
          <t>991001720659702656</t>
        </is>
      </c>
      <c r="AX55" t="inlineStr">
        <is>
          <t>991001720659702656</t>
        </is>
      </c>
      <c r="AY55" t="inlineStr">
        <is>
          <t>2255642990002656</t>
        </is>
      </c>
      <c r="AZ55" t="inlineStr">
        <is>
          <t>BOOK</t>
        </is>
      </c>
      <c r="BB55" t="inlineStr">
        <is>
          <t>9780824046385</t>
        </is>
      </c>
      <c r="BC55" t="inlineStr">
        <is>
          <t>32285000658459</t>
        </is>
      </c>
      <c r="BD55" t="inlineStr">
        <is>
          <t>893715657</t>
        </is>
      </c>
    </row>
    <row r="56">
      <c r="A56" t="inlineStr">
        <is>
          <t>No</t>
        </is>
      </c>
      <c r="B56" t="inlineStr">
        <is>
          <t>DC106 .C53 1970</t>
        </is>
      </c>
      <c r="C56" t="inlineStr">
        <is>
          <t>0                      DC 0106000C  53          1970</t>
        </is>
      </c>
      <c r="D56" t="inlineStr">
        <is>
          <t>Louis XI / by Pierre Champion ; translated and adapted by Winifred Stephens Whale.</t>
        </is>
      </c>
      <c r="F56" t="inlineStr">
        <is>
          <t>No</t>
        </is>
      </c>
      <c r="G56" t="inlineStr">
        <is>
          <t>1</t>
        </is>
      </c>
      <c r="H56" t="inlineStr">
        <is>
          <t>No</t>
        </is>
      </c>
      <c r="I56" t="inlineStr">
        <is>
          <t>No</t>
        </is>
      </c>
      <c r="J56" t="inlineStr">
        <is>
          <t>0</t>
        </is>
      </c>
      <c r="K56" t="inlineStr">
        <is>
          <t>Champion, Pierre, 1880-1942.</t>
        </is>
      </c>
      <c r="L56" t="inlineStr">
        <is>
          <t>Freeport, N.Y. : Books for Libraries Press, [1970]</t>
        </is>
      </c>
      <c r="M56" t="inlineStr">
        <is>
          <t>1970</t>
        </is>
      </c>
      <c r="O56" t="inlineStr">
        <is>
          <t>fre</t>
        </is>
      </c>
      <c r="P56" t="inlineStr">
        <is>
          <t>nyu</t>
        </is>
      </c>
      <c r="R56" t="inlineStr">
        <is>
          <t xml:space="preserve">DC </t>
        </is>
      </c>
      <c r="S56" t="n">
        <v>1</v>
      </c>
      <c r="T56" t="n">
        <v>1</v>
      </c>
      <c r="U56" t="inlineStr">
        <is>
          <t>2003-12-07</t>
        </is>
      </c>
      <c r="V56" t="inlineStr">
        <is>
          <t>2003-12-07</t>
        </is>
      </c>
      <c r="W56" t="inlineStr">
        <is>
          <t>1990-11-27</t>
        </is>
      </c>
      <c r="X56" t="inlineStr">
        <is>
          <t>1990-11-27</t>
        </is>
      </c>
      <c r="Y56" t="n">
        <v>148</v>
      </c>
      <c r="Z56" t="n">
        <v>140</v>
      </c>
      <c r="AA56" t="n">
        <v>221</v>
      </c>
      <c r="AB56" t="n">
        <v>4</v>
      </c>
      <c r="AC56" t="n">
        <v>4</v>
      </c>
      <c r="AD56" t="n">
        <v>7</v>
      </c>
      <c r="AE56" t="n">
        <v>8</v>
      </c>
      <c r="AF56" t="n">
        <v>2</v>
      </c>
      <c r="AG56" t="n">
        <v>2</v>
      </c>
      <c r="AH56" t="n">
        <v>0</v>
      </c>
      <c r="AI56" t="n">
        <v>1</v>
      </c>
      <c r="AJ56" t="n">
        <v>2</v>
      </c>
      <c r="AK56" t="n">
        <v>2</v>
      </c>
      <c r="AL56" t="n">
        <v>3</v>
      </c>
      <c r="AM56" t="n">
        <v>3</v>
      </c>
      <c r="AN56" t="n">
        <v>0</v>
      </c>
      <c r="AO56" t="n">
        <v>0</v>
      </c>
      <c r="AP56" t="inlineStr">
        <is>
          <t>No</t>
        </is>
      </c>
      <c r="AQ56" t="inlineStr">
        <is>
          <t>No</t>
        </is>
      </c>
      <c r="AS56">
        <f>HYPERLINK("https://creighton-primo.hosted.exlibrisgroup.com/primo-explore/search?tab=default_tab&amp;search_scope=EVERYTHING&amp;vid=01CRU&amp;lang=en_US&amp;offset=0&amp;query=any,contains,991000307229702656","Catalog Record")</f>
        <v/>
      </c>
      <c r="AT56">
        <f>HYPERLINK("http://www.worldcat.org/oclc/69329","WorldCat Record")</f>
        <v/>
      </c>
      <c r="AU56" t="inlineStr">
        <is>
          <t>3372299307:fre</t>
        </is>
      </c>
      <c r="AV56" t="inlineStr">
        <is>
          <t>69329</t>
        </is>
      </c>
      <c r="AW56" t="inlineStr">
        <is>
          <t>991000307229702656</t>
        </is>
      </c>
      <c r="AX56" t="inlineStr">
        <is>
          <t>991000307229702656</t>
        </is>
      </c>
      <c r="AY56" t="inlineStr">
        <is>
          <t>2259395600002656</t>
        </is>
      </c>
      <c r="AZ56" t="inlineStr">
        <is>
          <t>BOOK</t>
        </is>
      </c>
      <c r="BB56" t="inlineStr">
        <is>
          <t>9780836952261</t>
        </is>
      </c>
      <c r="BC56" t="inlineStr">
        <is>
          <t>32285000393859</t>
        </is>
      </c>
      <c r="BD56" t="inlineStr">
        <is>
          <t>893314822</t>
        </is>
      </c>
    </row>
    <row r="57">
      <c r="A57" t="inlineStr">
        <is>
          <t>No</t>
        </is>
      </c>
      <c r="B57" t="inlineStr">
        <is>
          <t>DC106 .K4 1986</t>
        </is>
      </c>
      <c r="C57" t="inlineStr">
        <is>
          <t>0                      DC 0106000K  4           1986</t>
        </is>
      </c>
      <c r="D57" t="inlineStr">
        <is>
          <t>Louis XI, the universal spider / Paul Murray Kendall.</t>
        </is>
      </c>
      <c r="F57" t="inlineStr">
        <is>
          <t>No</t>
        </is>
      </c>
      <c r="G57" t="inlineStr">
        <is>
          <t>1</t>
        </is>
      </c>
      <c r="H57" t="inlineStr">
        <is>
          <t>No</t>
        </is>
      </c>
      <c r="I57" t="inlineStr">
        <is>
          <t>No</t>
        </is>
      </c>
      <c r="J57" t="inlineStr">
        <is>
          <t>0</t>
        </is>
      </c>
      <c r="K57" t="inlineStr">
        <is>
          <t>Kendall, Paul Murray.</t>
        </is>
      </c>
      <c r="L57" t="inlineStr">
        <is>
          <t>New York : W.W. Norton, 1986, c1971.</t>
        </is>
      </c>
      <c r="M57" t="inlineStr">
        <is>
          <t>1986</t>
        </is>
      </c>
      <c r="N57" t="inlineStr">
        <is>
          <t>[Norton paperback ed.]</t>
        </is>
      </c>
      <c r="O57" t="inlineStr">
        <is>
          <t>eng</t>
        </is>
      </c>
      <c r="P57" t="inlineStr">
        <is>
          <t>nyu</t>
        </is>
      </c>
      <c r="R57" t="inlineStr">
        <is>
          <t xml:space="preserve">DC </t>
        </is>
      </c>
      <c r="S57" t="n">
        <v>6</v>
      </c>
      <c r="T57" t="n">
        <v>6</v>
      </c>
      <c r="U57" t="inlineStr">
        <is>
          <t>2003-12-07</t>
        </is>
      </c>
      <c r="V57" t="inlineStr">
        <is>
          <t>2003-12-07</t>
        </is>
      </c>
      <c r="W57" t="inlineStr">
        <is>
          <t>1990-07-19</t>
        </is>
      </c>
      <c r="X57" t="inlineStr">
        <is>
          <t>1990-07-19</t>
        </is>
      </c>
      <c r="Y57" t="n">
        <v>31</v>
      </c>
      <c r="Z57" t="n">
        <v>29</v>
      </c>
      <c r="AA57" t="n">
        <v>1118</v>
      </c>
      <c r="AB57" t="n">
        <v>1</v>
      </c>
      <c r="AC57" t="n">
        <v>11</v>
      </c>
      <c r="AD57" t="n">
        <v>0</v>
      </c>
      <c r="AE57" t="n">
        <v>36</v>
      </c>
      <c r="AF57" t="n">
        <v>0</v>
      </c>
      <c r="AG57" t="n">
        <v>15</v>
      </c>
      <c r="AH57" t="n">
        <v>0</v>
      </c>
      <c r="AI57" t="n">
        <v>9</v>
      </c>
      <c r="AJ57" t="n">
        <v>0</v>
      </c>
      <c r="AK57" t="n">
        <v>17</v>
      </c>
      <c r="AL57" t="n">
        <v>0</v>
      </c>
      <c r="AM57" t="n">
        <v>4</v>
      </c>
      <c r="AN57" t="n">
        <v>0</v>
      </c>
      <c r="AO57" t="n">
        <v>0</v>
      </c>
      <c r="AP57" t="inlineStr">
        <is>
          <t>No</t>
        </is>
      </c>
      <c r="AQ57" t="inlineStr">
        <is>
          <t>No</t>
        </is>
      </c>
      <c r="AS57">
        <f>HYPERLINK("https://creighton-primo.hosted.exlibrisgroup.com/primo-explore/search?tab=default_tab&amp;search_scope=EVERYTHING&amp;vid=01CRU&amp;lang=en_US&amp;offset=0&amp;query=any,contains,991000835179702656","Catalog Record")</f>
        <v/>
      </c>
      <c r="AT57">
        <f>HYPERLINK("http://www.worldcat.org/oclc/13472452","WorldCat Record")</f>
        <v/>
      </c>
      <c r="AU57" t="inlineStr">
        <is>
          <t>4925891893:eng</t>
        </is>
      </c>
      <c r="AV57" t="inlineStr">
        <is>
          <t>13472452</t>
        </is>
      </c>
      <c r="AW57" t="inlineStr">
        <is>
          <t>991000835179702656</t>
        </is>
      </c>
      <c r="AX57" t="inlineStr">
        <is>
          <t>991000835179702656</t>
        </is>
      </c>
      <c r="AY57" t="inlineStr">
        <is>
          <t>2265241210002656</t>
        </is>
      </c>
      <c r="AZ57" t="inlineStr">
        <is>
          <t>BOOK</t>
        </is>
      </c>
      <c r="BB57" t="inlineStr">
        <is>
          <t>9780393302608</t>
        </is>
      </c>
      <c r="BC57" t="inlineStr">
        <is>
          <t>32285000245638</t>
        </is>
      </c>
      <c r="BD57" t="inlineStr">
        <is>
          <t>893327634</t>
        </is>
      </c>
    </row>
    <row r="58">
      <c r="A58" t="inlineStr">
        <is>
          <t>No</t>
        </is>
      </c>
      <c r="B58" t="inlineStr">
        <is>
          <t>DC110 .B723 1977</t>
        </is>
      </c>
      <c r="C58" t="inlineStr">
        <is>
          <t>0                      DC 0110000B  723         1977</t>
        </is>
      </c>
      <c r="D58" t="inlineStr">
        <is>
          <t>Early modern France 1560-1715 / Robin Briggs.</t>
        </is>
      </c>
      <c r="F58" t="inlineStr">
        <is>
          <t>No</t>
        </is>
      </c>
      <c r="G58" t="inlineStr">
        <is>
          <t>1</t>
        </is>
      </c>
      <c r="H58" t="inlineStr">
        <is>
          <t>No</t>
        </is>
      </c>
      <c r="I58" t="inlineStr">
        <is>
          <t>No</t>
        </is>
      </c>
      <c r="J58" t="inlineStr">
        <is>
          <t>0</t>
        </is>
      </c>
      <c r="K58" t="inlineStr">
        <is>
          <t>Briggs, Robin.</t>
        </is>
      </c>
      <c r="L58" t="inlineStr">
        <is>
          <t>Oxford ; New York : Oxford University Press, c1977, 1984 printing.</t>
        </is>
      </c>
      <c r="M58" t="inlineStr">
        <is>
          <t>1977</t>
        </is>
      </c>
      <c r="O58" t="inlineStr">
        <is>
          <t>eng</t>
        </is>
      </c>
      <c r="P58" t="inlineStr">
        <is>
          <t>enk</t>
        </is>
      </c>
      <c r="R58" t="inlineStr">
        <is>
          <t xml:space="preserve">DC </t>
        </is>
      </c>
      <c r="S58" t="n">
        <v>4</v>
      </c>
      <c r="T58" t="n">
        <v>4</v>
      </c>
      <c r="U58" t="inlineStr">
        <is>
          <t>1996-02-05</t>
        </is>
      </c>
      <c r="V58" t="inlineStr">
        <is>
          <t>1996-02-05</t>
        </is>
      </c>
      <c r="W58" t="inlineStr">
        <is>
          <t>1990-02-20</t>
        </is>
      </c>
      <c r="X58" t="inlineStr">
        <is>
          <t>1990-02-20</t>
        </is>
      </c>
      <c r="Y58" t="n">
        <v>892</v>
      </c>
      <c r="Z58" t="n">
        <v>623</v>
      </c>
      <c r="AA58" t="n">
        <v>738</v>
      </c>
      <c r="AB58" t="n">
        <v>6</v>
      </c>
      <c r="AC58" t="n">
        <v>6</v>
      </c>
      <c r="AD58" t="n">
        <v>27</v>
      </c>
      <c r="AE58" t="n">
        <v>32</v>
      </c>
      <c r="AF58" t="n">
        <v>6</v>
      </c>
      <c r="AG58" t="n">
        <v>9</v>
      </c>
      <c r="AH58" t="n">
        <v>8</v>
      </c>
      <c r="AI58" t="n">
        <v>9</v>
      </c>
      <c r="AJ58" t="n">
        <v>17</v>
      </c>
      <c r="AK58" t="n">
        <v>19</v>
      </c>
      <c r="AL58" t="n">
        <v>5</v>
      </c>
      <c r="AM58" t="n">
        <v>5</v>
      </c>
      <c r="AN58" t="n">
        <v>0</v>
      </c>
      <c r="AO58" t="n">
        <v>0</v>
      </c>
      <c r="AP58" t="inlineStr">
        <is>
          <t>No</t>
        </is>
      </c>
      <c r="AQ58" t="inlineStr">
        <is>
          <t>Yes</t>
        </is>
      </c>
      <c r="AR58">
        <f>HYPERLINK("http://catalog.hathitrust.org/Record/000749815","HathiTrust Record")</f>
        <v/>
      </c>
      <c r="AS58">
        <f>HYPERLINK("https://creighton-primo.hosted.exlibrisgroup.com/primo-explore/search?tab=default_tab&amp;search_scope=EVERYTHING&amp;vid=01CRU&amp;lang=en_US&amp;offset=0&amp;query=any,contains,991004412689702656","Catalog Record")</f>
        <v/>
      </c>
      <c r="AT58">
        <f>HYPERLINK("http://www.worldcat.org/oclc/3349152","WorldCat Record")</f>
        <v/>
      </c>
      <c r="AU58" t="inlineStr">
        <is>
          <t>414513:eng</t>
        </is>
      </c>
      <c r="AV58" t="inlineStr">
        <is>
          <t>3349152</t>
        </is>
      </c>
      <c r="AW58" t="inlineStr">
        <is>
          <t>991004412689702656</t>
        </is>
      </c>
      <c r="AX58" t="inlineStr">
        <is>
          <t>991004412689702656</t>
        </is>
      </c>
      <c r="AY58" t="inlineStr">
        <is>
          <t>2264748380002656</t>
        </is>
      </c>
      <c r="AZ58" t="inlineStr">
        <is>
          <t>BOOK</t>
        </is>
      </c>
      <c r="BB58" t="inlineStr">
        <is>
          <t>9780192158154</t>
        </is>
      </c>
      <c r="BC58" t="inlineStr">
        <is>
          <t>32285000055847</t>
        </is>
      </c>
      <c r="BD58" t="inlineStr">
        <is>
          <t>893800944</t>
        </is>
      </c>
    </row>
    <row r="59">
      <c r="A59" t="inlineStr">
        <is>
          <t>No</t>
        </is>
      </c>
      <c r="B59" t="inlineStr">
        <is>
          <t>DC110 .C57 1965</t>
        </is>
      </c>
      <c r="C59" t="inlineStr">
        <is>
          <t>0                      DC 0110000C  57          1965</t>
        </is>
      </c>
      <c r="D59" t="inlineStr">
        <is>
          <t>A history of modern France.</t>
        </is>
      </c>
      <c r="F59" t="inlineStr">
        <is>
          <t>No</t>
        </is>
      </c>
      <c r="G59" t="inlineStr">
        <is>
          <t>1</t>
        </is>
      </c>
      <c r="H59" t="inlineStr">
        <is>
          <t>No</t>
        </is>
      </c>
      <c r="I59" t="inlineStr">
        <is>
          <t>No</t>
        </is>
      </c>
      <c r="J59" t="inlineStr">
        <is>
          <t>0</t>
        </is>
      </c>
      <c r="K59" t="inlineStr">
        <is>
          <t>Cobban, Alfred.</t>
        </is>
      </c>
      <c r="L59" t="inlineStr">
        <is>
          <t>New York, Braziller [1965]</t>
        </is>
      </c>
      <c r="M59" t="inlineStr">
        <is>
          <t>1965</t>
        </is>
      </c>
      <c r="N59" t="inlineStr">
        <is>
          <t>[New ed., rev. and enl.]</t>
        </is>
      </c>
      <c r="O59" t="inlineStr">
        <is>
          <t>eng</t>
        </is>
      </c>
      <c r="P59" t="inlineStr">
        <is>
          <t>nyu</t>
        </is>
      </c>
      <c r="R59" t="inlineStr">
        <is>
          <t xml:space="preserve">DC </t>
        </is>
      </c>
      <c r="S59" t="n">
        <v>1</v>
      </c>
      <c r="T59" t="n">
        <v>1</v>
      </c>
      <c r="U59" t="inlineStr">
        <is>
          <t>2004-09-28</t>
        </is>
      </c>
      <c r="V59" t="inlineStr">
        <is>
          <t>2004-09-28</t>
        </is>
      </c>
      <c r="W59" t="inlineStr">
        <is>
          <t>1996-05-13</t>
        </is>
      </c>
      <c r="X59" t="inlineStr">
        <is>
          <t>1996-05-13</t>
        </is>
      </c>
      <c r="Y59" t="n">
        <v>706</v>
      </c>
      <c r="Z59" t="n">
        <v>693</v>
      </c>
      <c r="AA59" t="n">
        <v>1358</v>
      </c>
      <c r="AB59" t="n">
        <v>5</v>
      </c>
      <c r="AC59" t="n">
        <v>10</v>
      </c>
      <c r="AD59" t="n">
        <v>19</v>
      </c>
      <c r="AE59" t="n">
        <v>51</v>
      </c>
      <c r="AF59" t="n">
        <v>5</v>
      </c>
      <c r="AG59" t="n">
        <v>18</v>
      </c>
      <c r="AH59" t="n">
        <v>4</v>
      </c>
      <c r="AI59" t="n">
        <v>10</v>
      </c>
      <c r="AJ59" t="n">
        <v>8</v>
      </c>
      <c r="AK59" t="n">
        <v>24</v>
      </c>
      <c r="AL59" t="n">
        <v>4</v>
      </c>
      <c r="AM59" t="n">
        <v>9</v>
      </c>
      <c r="AN59" t="n">
        <v>0</v>
      </c>
      <c r="AO59" t="n">
        <v>0</v>
      </c>
      <c r="AP59" t="inlineStr">
        <is>
          <t>No</t>
        </is>
      </c>
      <c r="AQ59" t="inlineStr">
        <is>
          <t>Yes</t>
        </is>
      </c>
      <c r="AR59">
        <f>HYPERLINK("http://catalog.hathitrust.org/Record/010826080","HathiTrust Record")</f>
        <v/>
      </c>
      <c r="AS59">
        <f>HYPERLINK("https://creighton-primo.hosted.exlibrisgroup.com/primo-explore/search?tab=default_tab&amp;search_scope=EVERYTHING&amp;vid=01CRU&amp;lang=en_US&amp;offset=0&amp;query=any,contains,991002846499702656","Catalog Record")</f>
        <v/>
      </c>
      <c r="AT59">
        <f>HYPERLINK("http://www.worldcat.org/oclc/484652","WorldCat Record")</f>
        <v/>
      </c>
      <c r="AU59" t="inlineStr">
        <is>
          <t>4820361496:eng</t>
        </is>
      </c>
      <c r="AV59" t="inlineStr">
        <is>
          <t>484652</t>
        </is>
      </c>
      <c r="AW59" t="inlineStr">
        <is>
          <t>991002846499702656</t>
        </is>
      </c>
      <c r="AX59" t="inlineStr">
        <is>
          <t>991002846499702656</t>
        </is>
      </c>
      <c r="AY59" t="inlineStr">
        <is>
          <t>2257583890002656</t>
        </is>
      </c>
      <c r="AZ59" t="inlineStr">
        <is>
          <t>BOOK</t>
        </is>
      </c>
      <c r="BC59" t="inlineStr">
        <is>
          <t>32285002163565</t>
        </is>
      </c>
      <c r="BD59" t="inlineStr">
        <is>
          <t>893716993</t>
        </is>
      </c>
    </row>
    <row r="60">
      <c r="A60" t="inlineStr">
        <is>
          <t>No</t>
        </is>
      </c>
      <c r="B60" t="inlineStr">
        <is>
          <t>DC110 .G8 1965</t>
        </is>
      </c>
      <c r="C60" t="inlineStr">
        <is>
          <t>0                      DC 0110000G  8           1965</t>
        </is>
      </c>
      <c r="D60" t="inlineStr">
        <is>
          <t>France in the classical age; the life and death of an ideal / by Albert Guérard.</t>
        </is>
      </c>
      <c r="F60" t="inlineStr">
        <is>
          <t>No</t>
        </is>
      </c>
      <c r="G60" t="inlineStr">
        <is>
          <t>1</t>
        </is>
      </c>
      <c r="H60" t="inlineStr">
        <is>
          <t>No</t>
        </is>
      </c>
      <c r="I60" t="inlineStr">
        <is>
          <t>No</t>
        </is>
      </c>
      <c r="J60" t="inlineStr">
        <is>
          <t>0</t>
        </is>
      </c>
      <c r="K60" t="inlineStr">
        <is>
          <t>Guérard, Albert Léon, 1880-1959.</t>
        </is>
      </c>
      <c r="L60" t="inlineStr">
        <is>
          <t>New York : Harper &amp; Row, 1965, c1956.</t>
        </is>
      </c>
      <c r="M60" t="inlineStr">
        <is>
          <t>1965</t>
        </is>
      </c>
      <c r="O60" t="inlineStr">
        <is>
          <t>eng</t>
        </is>
      </c>
      <c r="P60" t="inlineStr">
        <is>
          <t>___</t>
        </is>
      </c>
      <c r="Q60" t="inlineStr">
        <is>
          <t>(Harper torchbooks; The Academy library, TB 1183)</t>
        </is>
      </c>
      <c r="R60" t="inlineStr">
        <is>
          <t xml:space="preserve">DC </t>
        </is>
      </c>
      <c r="S60" t="n">
        <v>6</v>
      </c>
      <c r="T60" t="n">
        <v>6</v>
      </c>
      <c r="U60" t="inlineStr">
        <is>
          <t>2010-10-10</t>
        </is>
      </c>
      <c r="V60" t="inlineStr">
        <is>
          <t>2010-10-10</t>
        </is>
      </c>
      <c r="W60" t="inlineStr">
        <is>
          <t>1990-11-30</t>
        </is>
      </c>
      <c r="X60" t="inlineStr">
        <is>
          <t>1990-11-30</t>
        </is>
      </c>
      <c r="Y60" t="n">
        <v>394</v>
      </c>
      <c r="Z60" t="n">
        <v>340</v>
      </c>
      <c r="AA60" t="n">
        <v>359</v>
      </c>
      <c r="AB60" t="n">
        <v>5</v>
      </c>
      <c r="AC60" t="n">
        <v>5</v>
      </c>
      <c r="AD60" t="n">
        <v>19</v>
      </c>
      <c r="AE60" t="n">
        <v>21</v>
      </c>
      <c r="AF60" t="n">
        <v>7</v>
      </c>
      <c r="AG60" t="n">
        <v>7</v>
      </c>
      <c r="AH60" t="n">
        <v>2</v>
      </c>
      <c r="AI60" t="n">
        <v>4</v>
      </c>
      <c r="AJ60" t="n">
        <v>8</v>
      </c>
      <c r="AK60" t="n">
        <v>9</v>
      </c>
      <c r="AL60" t="n">
        <v>4</v>
      </c>
      <c r="AM60" t="n">
        <v>4</v>
      </c>
      <c r="AN60" t="n">
        <v>0</v>
      </c>
      <c r="AO60" t="n">
        <v>0</v>
      </c>
      <c r="AP60" t="inlineStr">
        <is>
          <t>No</t>
        </is>
      </c>
      <c r="AQ60" t="inlineStr">
        <is>
          <t>Yes</t>
        </is>
      </c>
      <c r="AR60">
        <f>HYPERLINK("http://catalog.hathitrust.org/Record/000455958","HathiTrust Record")</f>
        <v/>
      </c>
      <c r="AS60">
        <f>HYPERLINK("https://creighton-primo.hosted.exlibrisgroup.com/primo-explore/search?tab=default_tab&amp;search_scope=EVERYTHING&amp;vid=01CRU&amp;lang=en_US&amp;offset=0&amp;query=any,contains,991000938529702656","Catalog Record")</f>
        <v/>
      </c>
      <c r="AT60">
        <f>HYPERLINK("http://www.worldcat.org/oclc/165652","WorldCat Record")</f>
        <v/>
      </c>
      <c r="AU60" t="inlineStr">
        <is>
          <t>3855537360:eng</t>
        </is>
      </c>
      <c r="AV60" t="inlineStr">
        <is>
          <t>165652</t>
        </is>
      </c>
      <c r="AW60" t="inlineStr">
        <is>
          <t>991000938529702656</t>
        </is>
      </c>
      <c r="AX60" t="inlineStr">
        <is>
          <t>991000938529702656</t>
        </is>
      </c>
      <c r="AY60" t="inlineStr">
        <is>
          <t>2269690690002656</t>
        </is>
      </c>
      <c r="AZ60" t="inlineStr">
        <is>
          <t>BOOK</t>
        </is>
      </c>
      <c r="BC60" t="inlineStr">
        <is>
          <t>32285000393867</t>
        </is>
      </c>
      <c r="BD60" t="inlineStr">
        <is>
          <t>893797147</t>
        </is>
      </c>
    </row>
    <row r="61">
      <c r="A61" t="inlineStr">
        <is>
          <t>No</t>
        </is>
      </c>
      <c r="B61" t="inlineStr">
        <is>
          <t>DC110 .W7</t>
        </is>
      </c>
      <c r="C61" t="inlineStr">
        <is>
          <t>0                      DC 0110000W  7</t>
        </is>
      </c>
      <c r="D61" t="inlineStr">
        <is>
          <t>France in modern times: 1760 to the present.</t>
        </is>
      </c>
      <c r="F61" t="inlineStr">
        <is>
          <t>No</t>
        </is>
      </c>
      <c r="G61" t="inlineStr">
        <is>
          <t>1</t>
        </is>
      </c>
      <c r="H61" t="inlineStr">
        <is>
          <t>No</t>
        </is>
      </c>
      <c r="I61" t="inlineStr">
        <is>
          <t>No</t>
        </is>
      </c>
      <c r="J61" t="inlineStr">
        <is>
          <t>0</t>
        </is>
      </c>
      <c r="K61" t="inlineStr">
        <is>
          <t>Wright, Gordon, 1912-2000.</t>
        </is>
      </c>
      <c r="L61" t="inlineStr">
        <is>
          <t>Chicago, Rand McNally [c1960]</t>
        </is>
      </c>
      <c r="M61" t="inlineStr">
        <is>
          <t>1960</t>
        </is>
      </c>
      <c r="O61" t="inlineStr">
        <is>
          <t>eng</t>
        </is>
      </c>
      <c r="P61" t="inlineStr">
        <is>
          <t>ilu</t>
        </is>
      </c>
      <c r="Q61" t="inlineStr">
        <is>
          <t>Rand McNally history series</t>
        </is>
      </c>
      <c r="R61" t="inlineStr">
        <is>
          <t xml:space="preserve">DC </t>
        </is>
      </c>
      <c r="S61" t="n">
        <v>2</v>
      </c>
      <c r="T61" t="n">
        <v>2</v>
      </c>
      <c r="U61" t="inlineStr">
        <is>
          <t>2000-11-21</t>
        </is>
      </c>
      <c r="V61" t="inlineStr">
        <is>
          <t>2000-11-21</t>
        </is>
      </c>
      <c r="W61" t="inlineStr">
        <is>
          <t>1996-05-13</t>
        </is>
      </c>
      <c r="X61" t="inlineStr">
        <is>
          <t>1996-05-13</t>
        </is>
      </c>
      <c r="Y61" t="n">
        <v>851</v>
      </c>
      <c r="Z61" t="n">
        <v>786</v>
      </c>
      <c r="AA61" t="n">
        <v>847</v>
      </c>
      <c r="AB61" t="n">
        <v>4</v>
      </c>
      <c r="AC61" t="n">
        <v>4</v>
      </c>
      <c r="AD61" t="n">
        <v>33</v>
      </c>
      <c r="AE61" t="n">
        <v>34</v>
      </c>
      <c r="AF61" t="n">
        <v>14</v>
      </c>
      <c r="AG61" t="n">
        <v>14</v>
      </c>
      <c r="AH61" t="n">
        <v>8</v>
      </c>
      <c r="AI61" t="n">
        <v>8</v>
      </c>
      <c r="AJ61" t="n">
        <v>16</v>
      </c>
      <c r="AK61" t="n">
        <v>17</v>
      </c>
      <c r="AL61" t="n">
        <v>3</v>
      </c>
      <c r="AM61" t="n">
        <v>3</v>
      </c>
      <c r="AN61" t="n">
        <v>0</v>
      </c>
      <c r="AO61" t="n">
        <v>0</v>
      </c>
      <c r="AP61" t="inlineStr">
        <is>
          <t>Yes</t>
        </is>
      </c>
      <c r="AQ61" t="inlineStr">
        <is>
          <t>No</t>
        </is>
      </c>
      <c r="AR61">
        <f>HYPERLINK("http://catalog.hathitrust.org/Record/000456335","HathiTrust Record")</f>
        <v/>
      </c>
      <c r="AS61">
        <f>HYPERLINK("https://creighton-primo.hosted.exlibrisgroup.com/primo-explore/search?tab=default_tab&amp;search_scope=EVERYTHING&amp;vid=01CRU&amp;lang=en_US&amp;offset=0&amp;query=any,contains,991002692259702656","Catalog Record")</f>
        <v/>
      </c>
      <c r="AT61">
        <f>HYPERLINK("http://www.worldcat.org/oclc/402013","WorldCat Record")</f>
        <v/>
      </c>
      <c r="AU61" t="inlineStr">
        <is>
          <t>315481539:eng</t>
        </is>
      </c>
      <c r="AV61" t="inlineStr">
        <is>
          <t>402013</t>
        </is>
      </c>
      <c r="AW61" t="inlineStr">
        <is>
          <t>991002692259702656</t>
        </is>
      </c>
      <c r="AX61" t="inlineStr">
        <is>
          <t>991002692259702656</t>
        </is>
      </c>
      <c r="AY61" t="inlineStr">
        <is>
          <t>2267689160002656</t>
        </is>
      </c>
      <c r="AZ61" t="inlineStr">
        <is>
          <t>BOOK</t>
        </is>
      </c>
      <c r="BC61" t="inlineStr">
        <is>
          <t>32285002163573</t>
        </is>
      </c>
      <c r="BD61" t="inlineStr">
        <is>
          <t>893591650</t>
        </is>
      </c>
    </row>
    <row r="62">
      <c r="A62" t="inlineStr">
        <is>
          <t>No</t>
        </is>
      </c>
      <c r="B62" t="inlineStr">
        <is>
          <t>DC110 .W7 1987</t>
        </is>
      </c>
      <c r="C62" t="inlineStr">
        <is>
          <t>0                      DC 0110000W  7           1987</t>
        </is>
      </c>
      <c r="D62" t="inlineStr">
        <is>
          <t>France in modern times : from the Enlightenment to the present / Gordon Wright.</t>
        </is>
      </c>
      <c r="F62" t="inlineStr">
        <is>
          <t>No</t>
        </is>
      </c>
      <c r="G62" t="inlineStr">
        <is>
          <t>1</t>
        </is>
      </c>
      <c r="H62" t="inlineStr">
        <is>
          <t>No</t>
        </is>
      </c>
      <c r="I62" t="inlineStr">
        <is>
          <t>No</t>
        </is>
      </c>
      <c r="J62" t="inlineStr">
        <is>
          <t>0</t>
        </is>
      </c>
      <c r="K62" t="inlineStr">
        <is>
          <t>Wright, Gordon, 1912-2000.</t>
        </is>
      </c>
      <c r="L62" t="inlineStr">
        <is>
          <t>New York : Norton, c1987.</t>
        </is>
      </c>
      <c r="M62" t="inlineStr">
        <is>
          <t>1987</t>
        </is>
      </c>
      <c r="N62" t="inlineStr">
        <is>
          <t>4th ed.</t>
        </is>
      </c>
      <c r="O62" t="inlineStr">
        <is>
          <t>eng</t>
        </is>
      </c>
      <c r="P62" t="inlineStr">
        <is>
          <t>nyu</t>
        </is>
      </c>
      <c r="R62" t="inlineStr">
        <is>
          <t xml:space="preserve">DC </t>
        </is>
      </c>
      <c r="S62" t="n">
        <v>7</v>
      </c>
      <c r="T62" t="n">
        <v>7</v>
      </c>
      <c r="U62" t="inlineStr">
        <is>
          <t>2007-03-19</t>
        </is>
      </c>
      <c r="V62" t="inlineStr">
        <is>
          <t>2007-03-19</t>
        </is>
      </c>
      <c r="W62" t="inlineStr">
        <is>
          <t>2003-02-12</t>
        </is>
      </c>
      <c r="X62" t="inlineStr">
        <is>
          <t>2003-02-12</t>
        </is>
      </c>
      <c r="Y62" t="n">
        <v>263</v>
      </c>
      <c r="Z62" t="n">
        <v>176</v>
      </c>
      <c r="AA62" t="n">
        <v>704</v>
      </c>
      <c r="AB62" t="n">
        <v>2</v>
      </c>
      <c r="AC62" t="n">
        <v>6</v>
      </c>
      <c r="AD62" t="n">
        <v>7</v>
      </c>
      <c r="AE62" t="n">
        <v>30</v>
      </c>
      <c r="AF62" t="n">
        <v>3</v>
      </c>
      <c r="AG62" t="n">
        <v>12</v>
      </c>
      <c r="AH62" t="n">
        <v>1</v>
      </c>
      <c r="AI62" t="n">
        <v>8</v>
      </c>
      <c r="AJ62" t="n">
        <v>5</v>
      </c>
      <c r="AK62" t="n">
        <v>17</v>
      </c>
      <c r="AL62" t="n">
        <v>1</v>
      </c>
      <c r="AM62" t="n">
        <v>4</v>
      </c>
      <c r="AN62" t="n">
        <v>0</v>
      </c>
      <c r="AO62" t="n">
        <v>0</v>
      </c>
      <c r="AP62" t="inlineStr">
        <is>
          <t>No</t>
        </is>
      </c>
      <c r="AQ62" t="inlineStr">
        <is>
          <t>No</t>
        </is>
      </c>
      <c r="AS62">
        <f>HYPERLINK("https://creighton-primo.hosted.exlibrisgroup.com/primo-explore/search?tab=default_tab&amp;search_scope=EVERYTHING&amp;vid=01CRU&amp;lang=en_US&amp;offset=0&amp;query=any,contains,991003994119702656","Catalog Record")</f>
        <v/>
      </c>
      <c r="AT62">
        <f>HYPERLINK("http://www.worldcat.org/oclc/16634754","WorldCat Record")</f>
        <v/>
      </c>
      <c r="AU62" t="inlineStr">
        <is>
          <t>4020048090:eng</t>
        </is>
      </c>
      <c r="AV62" t="inlineStr">
        <is>
          <t>16634754</t>
        </is>
      </c>
      <c r="AW62" t="inlineStr">
        <is>
          <t>991003994119702656</t>
        </is>
      </c>
      <c r="AX62" t="inlineStr">
        <is>
          <t>991003994119702656</t>
        </is>
      </c>
      <c r="AY62" t="inlineStr">
        <is>
          <t>2265638600002656</t>
        </is>
      </c>
      <c r="AZ62" t="inlineStr">
        <is>
          <t>BOOK</t>
        </is>
      </c>
      <c r="BB62" t="inlineStr">
        <is>
          <t>9780393955828</t>
        </is>
      </c>
      <c r="BC62" t="inlineStr">
        <is>
          <t>32285004698220</t>
        </is>
      </c>
      <c r="BD62" t="inlineStr">
        <is>
          <t>893442051</t>
        </is>
      </c>
    </row>
    <row r="63">
      <c r="A63" t="inlineStr">
        <is>
          <t>No</t>
        </is>
      </c>
      <c r="B63" t="inlineStr">
        <is>
          <t>DC111 .B26</t>
        </is>
      </c>
      <c r="C63" t="inlineStr">
        <is>
          <t>0                      DC 0111000B  26</t>
        </is>
      </c>
      <c r="D63" t="inlineStr">
        <is>
          <t>The Huguenots and Henry of Navarre, by Henry M. Baird.</t>
        </is>
      </c>
      <c r="E63" t="inlineStr">
        <is>
          <t>V.1</t>
        </is>
      </c>
      <c r="F63" t="inlineStr">
        <is>
          <t>Yes</t>
        </is>
      </c>
      <c r="G63" t="inlineStr">
        <is>
          <t>1</t>
        </is>
      </c>
      <c r="H63" t="inlineStr">
        <is>
          <t>No</t>
        </is>
      </c>
      <c r="I63" t="inlineStr">
        <is>
          <t>No</t>
        </is>
      </c>
      <c r="J63" t="inlineStr">
        <is>
          <t>0</t>
        </is>
      </c>
      <c r="K63" t="inlineStr">
        <is>
          <t>Baird, Henry Martyn, 1832-1906.</t>
        </is>
      </c>
      <c r="L63" t="inlineStr">
        <is>
          <t>New York, C. Scribner's sons, 1886.</t>
        </is>
      </c>
      <c r="M63" t="inlineStr">
        <is>
          <t>1886</t>
        </is>
      </c>
      <c r="O63" t="inlineStr">
        <is>
          <t>eng</t>
        </is>
      </c>
      <c r="P63" t="inlineStr">
        <is>
          <t>nyu</t>
        </is>
      </c>
      <c r="R63" t="inlineStr">
        <is>
          <t xml:space="preserve">DC </t>
        </is>
      </c>
      <c r="S63" t="n">
        <v>0</v>
      </c>
      <c r="T63" t="n">
        <v>1</v>
      </c>
      <c r="U63" t="inlineStr">
        <is>
          <t>2005-10-27</t>
        </is>
      </c>
      <c r="V63" t="inlineStr">
        <is>
          <t>2008-10-08</t>
        </is>
      </c>
      <c r="W63" t="inlineStr">
        <is>
          <t>2000-03-13</t>
        </is>
      </c>
      <c r="X63" t="inlineStr">
        <is>
          <t>2000-03-13</t>
        </is>
      </c>
      <c r="Y63" t="n">
        <v>325</v>
      </c>
      <c r="Z63" t="n">
        <v>308</v>
      </c>
      <c r="AA63" t="n">
        <v>434</v>
      </c>
      <c r="AB63" t="n">
        <v>2</v>
      </c>
      <c r="AC63" t="n">
        <v>4</v>
      </c>
      <c r="AD63" t="n">
        <v>9</v>
      </c>
      <c r="AE63" t="n">
        <v>22</v>
      </c>
      <c r="AF63" t="n">
        <v>4</v>
      </c>
      <c r="AG63" t="n">
        <v>8</v>
      </c>
      <c r="AH63" t="n">
        <v>0</v>
      </c>
      <c r="AI63" t="n">
        <v>3</v>
      </c>
      <c r="AJ63" t="n">
        <v>5</v>
      </c>
      <c r="AK63" t="n">
        <v>11</v>
      </c>
      <c r="AL63" t="n">
        <v>1</v>
      </c>
      <c r="AM63" t="n">
        <v>3</v>
      </c>
      <c r="AN63" t="n">
        <v>0</v>
      </c>
      <c r="AO63" t="n">
        <v>0</v>
      </c>
      <c r="AP63" t="inlineStr">
        <is>
          <t>Yes</t>
        </is>
      </c>
      <c r="AQ63" t="inlineStr">
        <is>
          <t>No</t>
        </is>
      </c>
      <c r="AR63">
        <f>HYPERLINK("http://catalog.hathitrust.org/Record/000455845","HathiTrust Record")</f>
        <v/>
      </c>
      <c r="AS63">
        <f>HYPERLINK("https://creighton-primo.hosted.exlibrisgroup.com/primo-explore/search?tab=default_tab&amp;search_scope=EVERYTHING&amp;vid=01CRU&amp;lang=en_US&amp;offset=0&amp;query=any,contains,991002859089702656","Catalog Record")</f>
        <v/>
      </c>
      <c r="AT63">
        <f>HYPERLINK("http://www.worldcat.org/oclc/491872","WorldCat Record")</f>
        <v/>
      </c>
      <c r="AU63" t="inlineStr">
        <is>
          <t>5573168737:eng</t>
        </is>
      </c>
      <c r="AV63" t="inlineStr">
        <is>
          <t>491872</t>
        </is>
      </c>
      <c r="AW63" t="inlineStr">
        <is>
          <t>991002859089702656</t>
        </is>
      </c>
      <c r="AX63" t="inlineStr">
        <is>
          <t>991002859089702656</t>
        </is>
      </c>
      <c r="AY63" t="inlineStr">
        <is>
          <t>2256553860002656</t>
        </is>
      </c>
      <c r="AZ63" t="inlineStr">
        <is>
          <t>BOOK</t>
        </is>
      </c>
      <c r="BB63" t="inlineStr">
        <is>
          <t>9780404005405</t>
        </is>
      </c>
      <c r="BC63" t="inlineStr">
        <is>
          <t>32285002340684</t>
        </is>
      </c>
      <c r="BD63" t="inlineStr">
        <is>
          <t>893498633</t>
        </is>
      </c>
    </row>
    <row r="64">
      <c r="A64" t="inlineStr">
        <is>
          <t>No</t>
        </is>
      </c>
      <c r="B64" t="inlineStr">
        <is>
          <t>DC111 .B26</t>
        </is>
      </c>
      <c r="C64" t="inlineStr">
        <is>
          <t>0                      DC 0111000B  26</t>
        </is>
      </c>
      <c r="D64" t="inlineStr">
        <is>
          <t>The Huguenots and Henry of Navarre, by Henry M. Baird.</t>
        </is>
      </c>
      <c r="E64" t="inlineStr">
        <is>
          <t>V.2</t>
        </is>
      </c>
      <c r="F64" t="inlineStr">
        <is>
          <t>Yes</t>
        </is>
      </c>
      <c r="G64" t="inlineStr">
        <is>
          <t>1</t>
        </is>
      </c>
      <c r="H64" t="inlineStr">
        <is>
          <t>No</t>
        </is>
      </c>
      <c r="I64" t="inlineStr">
        <is>
          <t>No</t>
        </is>
      </c>
      <c r="J64" t="inlineStr">
        <is>
          <t>0</t>
        </is>
      </c>
      <c r="K64" t="inlineStr">
        <is>
          <t>Baird, Henry Martyn, 1832-1906.</t>
        </is>
      </c>
      <c r="L64" t="inlineStr">
        <is>
          <t>New York, C. Scribner's sons, 1886.</t>
        </is>
      </c>
      <c r="M64" t="inlineStr">
        <is>
          <t>1886</t>
        </is>
      </c>
      <c r="O64" t="inlineStr">
        <is>
          <t>eng</t>
        </is>
      </c>
      <c r="P64" t="inlineStr">
        <is>
          <t>nyu</t>
        </is>
      </c>
      <c r="R64" t="inlineStr">
        <is>
          <t xml:space="preserve">DC </t>
        </is>
      </c>
      <c r="S64" t="n">
        <v>1</v>
      </c>
      <c r="T64" t="n">
        <v>1</v>
      </c>
      <c r="U64" t="inlineStr">
        <is>
          <t>2008-10-08</t>
        </is>
      </c>
      <c r="V64" t="inlineStr">
        <is>
          <t>2008-10-08</t>
        </is>
      </c>
      <c r="W64" t="inlineStr">
        <is>
          <t>1996-11-05</t>
        </is>
      </c>
      <c r="X64" t="inlineStr">
        <is>
          <t>2000-03-13</t>
        </is>
      </c>
      <c r="Y64" t="n">
        <v>325</v>
      </c>
      <c r="Z64" t="n">
        <v>308</v>
      </c>
      <c r="AA64" t="n">
        <v>434</v>
      </c>
      <c r="AB64" t="n">
        <v>2</v>
      </c>
      <c r="AC64" t="n">
        <v>4</v>
      </c>
      <c r="AD64" t="n">
        <v>9</v>
      </c>
      <c r="AE64" t="n">
        <v>22</v>
      </c>
      <c r="AF64" t="n">
        <v>4</v>
      </c>
      <c r="AG64" t="n">
        <v>8</v>
      </c>
      <c r="AH64" t="n">
        <v>0</v>
      </c>
      <c r="AI64" t="n">
        <v>3</v>
      </c>
      <c r="AJ64" t="n">
        <v>5</v>
      </c>
      <c r="AK64" t="n">
        <v>11</v>
      </c>
      <c r="AL64" t="n">
        <v>1</v>
      </c>
      <c r="AM64" t="n">
        <v>3</v>
      </c>
      <c r="AN64" t="n">
        <v>0</v>
      </c>
      <c r="AO64" t="n">
        <v>0</v>
      </c>
      <c r="AP64" t="inlineStr">
        <is>
          <t>Yes</t>
        </is>
      </c>
      <c r="AQ64" t="inlineStr">
        <is>
          <t>No</t>
        </is>
      </c>
      <c r="AR64">
        <f>HYPERLINK("http://catalog.hathitrust.org/Record/000455845","HathiTrust Record")</f>
        <v/>
      </c>
      <c r="AS64">
        <f>HYPERLINK("https://creighton-primo.hosted.exlibrisgroup.com/primo-explore/search?tab=default_tab&amp;search_scope=EVERYTHING&amp;vid=01CRU&amp;lang=en_US&amp;offset=0&amp;query=any,contains,991002859089702656","Catalog Record")</f>
        <v/>
      </c>
      <c r="AT64">
        <f>HYPERLINK("http://www.worldcat.org/oclc/491872","WorldCat Record")</f>
        <v/>
      </c>
      <c r="AU64" t="inlineStr">
        <is>
          <t>5573168737:eng</t>
        </is>
      </c>
      <c r="AV64" t="inlineStr">
        <is>
          <t>491872</t>
        </is>
      </c>
      <c r="AW64" t="inlineStr">
        <is>
          <t>991002859089702656</t>
        </is>
      </c>
      <c r="AX64" t="inlineStr">
        <is>
          <t>991002859089702656</t>
        </is>
      </c>
      <c r="AY64" t="inlineStr">
        <is>
          <t>2256553860002656</t>
        </is>
      </c>
      <c r="AZ64" t="inlineStr">
        <is>
          <t>BOOK</t>
        </is>
      </c>
      <c r="BB64" t="inlineStr">
        <is>
          <t>9780404005405</t>
        </is>
      </c>
      <c r="BC64" t="inlineStr">
        <is>
          <t>32285002340692</t>
        </is>
      </c>
      <c r="BD64" t="inlineStr">
        <is>
          <t>893535224</t>
        </is>
      </c>
    </row>
    <row r="65">
      <c r="A65" t="inlineStr">
        <is>
          <t>No</t>
        </is>
      </c>
      <c r="B65" t="inlineStr">
        <is>
          <t>DC111 .B52</t>
        </is>
      </c>
      <c r="C65" t="inlineStr">
        <is>
          <t>0                      DC 0111000B  52</t>
        </is>
      </c>
      <c r="D65" t="inlineStr">
        <is>
          <t>History of the rise of the Huguenots.</t>
        </is>
      </c>
      <c r="E65" t="inlineStr">
        <is>
          <t>V.1</t>
        </is>
      </c>
      <c r="F65" t="inlineStr">
        <is>
          <t>Yes</t>
        </is>
      </c>
      <c r="G65" t="inlineStr">
        <is>
          <t>1</t>
        </is>
      </c>
      <c r="H65" t="inlineStr">
        <is>
          <t>No</t>
        </is>
      </c>
      <c r="I65" t="inlineStr">
        <is>
          <t>No</t>
        </is>
      </c>
      <c r="J65" t="inlineStr">
        <is>
          <t>0</t>
        </is>
      </c>
      <c r="K65" t="inlineStr">
        <is>
          <t>Baird, Henry Martyn, 1832-1906.</t>
        </is>
      </c>
      <c r="L65" t="inlineStr">
        <is>
          <t>London, Hodder and Stoughton, 1880.</t>
        </is>
      </c>
      <c r="M65" t="inlineStr">
        <is>
          <t>1880</t>
        </is>
      </c>
      <c r="O65" t="inlineStr">
        <is>
          <t>eng</t>
        </is>
      </c>
      <c r="P65" t="inlineStr">
        <is>
          <t xml:space="preserve">xx </t>
        </is>
      </c>
      <c r="R65" t="inlineStr">
        <is>
          <t xml:space="preserve">DC </t>
        </is>
      </c>
      <c r="S65" t="n">
        <v>0</v>
      </c>
      <c r="T65" t="n">
        <v>2</v>
      </c>
      <c r="V65" t="inlineStr">
        <is>
          <t>1997-09-10</t>
        </is>
      </c>
      <c r="W65" t="inlineStr">
        <is>
          <t>1990-11-30</t>
        </is>
      </c>
      <c r="X65" t="inlineStr">
        <is>
          <t>1990-11-30</t>
        </is>
      </c>
      <c r="Y65" t="n">
        <v>104</v>
      </c>
      <c r="Z65" t="n">
        <v>49</v>
      </c>
      <c r="AA65" t="n">
        <v>51</v>
      </c>
      <c r="AB65" t="n">
        <v>1</v>
      </c>
      <c r="AC65" t="n">
        <v>1</v>
      </c>
      <c r="AD65" t="n">
        <v>3</v>
      </c>
      <c r="AE65" t="n">
        <v>3</v>
      </c>
      <c r="AF65" t="n">
        <v>1</v>
      </c>
      <c r="AG65" t="n">
        <v>1</v>
      </c>
      <c r="AH65" t="n">
        <v>0</v>
      </c>
      <c r="AI65" t="n">
        <v>0</v>
      </c>
      <c r="AJ65" t="n">
        <v>2</v>
      </c>
      <c r="AK65" t="n">
        <v>2</v>
      </c>
      <c r="AL65" t="n">
        <v>0</v>
      </c>
      <c r="AM65" t="n">
        <v>0</v>
      </c>
      <c r="AN65" t="n">
        <v>0</v>
      </c>
      <c r="AO65" t="n">
        <v>0</v>
      </c>
      <c r="AP65" t="inlineStr">
        <is>
          <t>Yes</t>
        </is>
      </c>
      <c r="AQ65" t="inlineStr">
        <is>
          <t>No</t>
        </is>
      </c>
      <c r="AR65">
        <f>HYPERLINK("http://catalog.hathitrust.org/Record/010313416","HathiTrust Record")</f>
        <v/>
      </c>
      <c r="AS65">
        <f>HYPERLINK("https://creighton-primo.hosted.exlibrisgroup.com/primo-explore/search?tab=default_tab&amp;search_scope=EVERYTHING&amp;vid=01CRU&amp;lang=en_US&amp;offset=0&amp;query=any,contains,991004643459702656","Catalog Record")</f>
        <v/>
      </c>
      <c r="AT65">
        <f>HYPERLINK("http://www.worldcat.org/oclc/4479778","WorldCat Record")</f>
        <v/>
      </c>
      <c r="AU65" t="inlineStr">
        <is>
          <t>4862551614:eng</t>
        </is>
      </c>
      <c r="AV65" t="inlineStr">
        <is>
          <t>4479778</t>
        </is>
      </c>
      <c r="AW65" t="inlineStr">
        <is>
          <t>991004643459702656</t>
        </is>
      </c>
      <c r="AX65" t="inlineStr">
        <is>
          <t>991004643459702656</t>
        </is>
      </c>
      <c r="AY65" t="inlineStr">
        <is>
          <t>2269677640002656</t>
        </is>
      </c>
      <c r="AZ65" t="inlineStr">
        <is>
          <t>BOOK</t>
        </is>
      </c>
      <c r="BC65" t="inlineStr">
        <is>
          <t>32285000393883</t>
        </is>
      </c>
      <c r="BD65" t="inlineStr">
        <is>
          <t>893795107</t>
        </is>
      </c>
    </row>
    <row r="66">
      <c r="A66" t="inlineStr">
        <is>
          <t>No</t>
        </is>
      </c>
      <c r="B66" t="inlineStr">
        <is>
          <t>DC111 .B52</t>
        </is>
      </c>
      <c r="C66" t="inlineStr">
        <is>
          <t>0                      DC 0111000B  52</t>
        </is>
      </c>
      <c r="D66" t="inlineStr">
        <is>
          <t>History of the rise of the Huguenots.</t>
        </is>
      </c>
      <c r="E66" t="inlineStr">
        <is>
          <t>V.2</t>
        </is>
      </c>
      <c r="F66" t="inlineStr">
        <is>
          <t>Yes</t>
        </is>
      </c>
      <c r="G66" t="inlineStr">
        <is>
          <t>1</t>
        </is>
      </c>
      <c r="H66" t="inlineStr">
        <is>
          <t>No</t>
        </is>
      </c>
      <c r="I66" t="inlineStr">
        <is>
          <t>No</t>
        </is>
      </c>
      <c r="J66" t="inlineStr">
        <is>
          <t>0</t>
        </is>
      </c>
      <c r="K66" t="inlineStr">
        <is>
          <t>Baird, Henry Martyn, 1832-1906.</t>
        </is>
      </c>
      <c r="L66" t="inlineStr">
        <is>
          <t>London, Hodder and Stoughton, 1880.</t>
        </is>
      </c>
      <c r="M66" t="inlineStr">
        <is>
          <t>1880</t>
        </is>
      </c>
      <c r="O66" t="inlineStr">
        <is>
          <t>eng</t>
        </is>
      </c>
      <c r="P66" t="inlineStr">
        <is>
          <t xml:space="preserve">xx </t>
        </is>
      </c>
      <c r="R66" t="inlineStr">
        <is>
          <t xml:space="preserve">DC </t>
        </is>
      </c>
      <c r="S66" t="n">
        <v>2</v>
      </c>
      <c r="T66" t="n">
        <v>2</v>
      </c>
      <c r="U66" t="inlineStr">
        <is>
          <t>1997-09-10</t>
        </is>
      </c>
      <c r="V66" t="inlineStr">
        <is>
          <t>1997-09-10</t>
        </is>
      </c>
      <c r="W66" t="inlineStr">
        <is>
          <t>1990-11-30</t>
        </is>
      </c>
      <c r="X66" t="inlineStr">
        <is>
          <t>1990-11-30</t>
        </is>
      </c>
      <c r="Y66" t="n">
        <v>104</v>
      </c>
      <c r="Z66" t="n">
        <v>49</v>
      </c>
      <c r="AA66" t="n">
        <v>51</v>
      </c>
      <c r="AB66" t="n">
        <v>1</v>
      </c>
      <c r="AC66" t="n">
        <v>1</v>
      </c>
      <c r="AD66" t="n">
        <v>3</v>
      </c>
      <c r="AE66" t="n">
        <v>3</v>
      </c>
      <c r="AF66" t="n">
        <v>1</v>
      </c>
      <c r="AG66" t="n">
        <v>1</v>
      </c>
      <c r="AH66" t="n">
        <v>0</v>
      </c>
      <c r="AI66" t="n">
        <v>0</v>
      </c>
      <c r="AJ66" t="n">
        <v>2</v>
      </c>
      <c r="AK66" t="n">
        <v>2</v>
      </c>
      <c r="AL66" t="n">
        <v>0</v>
      </c>
      <c r="AM66" t="n">
        <v>0</v>
      </c>
      <c r="AN66" t="n">
        <v>0</v>
      </c>
      <c r="AO66" t="n">
        <v>0</v>
      </c>
      <c r="AP66" t="inlineStr">
        <is>
          <t>Yes</t>
        </is>
      </c>
      <c r="AQ66" t="inlineStr">
        <is>
          <t>No</t>
        </is>
      </c>
      <c r="AR66">
        <f>HYPERLINK("http://catalog.hathitrust.org/Record/010313416","HathiTrust Record")</f>
        <v/>
      </c>
      <c r="AS66">
        <f>HYPERLINK("https://creighton-primo.hosted.exlibrisgroup.com/primo-explore/search?tab=default_tab&amp;search_scope=EVERYTHING&amp;vid=01CRU&amp;lang=en_US&amp;offset=0&amp;query=any,contains,991004643459702656","Catalog Record")</f>
        <v/>
      </c>
      <c r="AT66">
        <f>HYPERLINK("http://www.worldcat.org/oclc/4479778","WorldCat Record")</f>
        <v/>
      </c>
      <c r="AU66" t="inlineStr">
        <is>
          <t>4862551614:eng</t>
        </is>
      </c>
      <c r="AV66" t="inlineStr">
        <is>
          <t>4479778</t>
        </is>
      </c>
      <c r="AW66" t="inlineStr">
        <is>
          <t>991004643459702656</t>
        </is>
      </c>
      <c r="AX66" t="inlineStr">
        <is>
          <t>991004643459702656</t>
        </is>
      </c>
      <c r="AY66" t="inlineStr">
        <is>
          <t>2269677640002656</t>
        </is>
      </c>
      <c r="AZ66" t="inlineStr">
        <is>
          <t>BOOK</t>
        </is>
      </c>
      <c r="BC66" t="inlineStr">
        <is>
          <t>32285000393891</t>
        </is>
      </c>
      <c r="BD66" t="inlineStr">
        <is>
          <t>893795106</t>
        </is>
      </c>
    </row>
    <row r="67">
      <c r="A67" t="inlineStr">
        <is>
          <t>No</t>
        </is>
      </c>
      <c r="B67" t="inlineStr">
        <is>
          <t>DC111 .D45</t>
        </is>
      </c>
      <c r="C67" t="inlineStr">
        <is>
          <t>0                      DC 0111000D  45</t>
        </is>
      </c>
      <c r="D67" t="inlineStr">
        <is>
          <t>The Renaissance in France, 1488-1559; translated [from the French] by Anne and Christopher Fremantle.</t>
        </is>
      </c>
      <c r="F67" t="inlineStr">
        <is>
          <t>No</t>
        </is>
      </c>
      <c r="G67" t="inlineStr">
        <is>
          <t>1</t>
        </is>
      </c>
      <c r="H67" t="inlineStr">
        <is>
          <t>No</t>
        </is>
      </c>
      <c r="I67" t="inlineStr">
        <is>
          <t>No</t>
        </is>
      </c>
      <c r="J67" t="inlineStr">
        <is>
          <t>0</t>
        </is>
      </c>
      <c r="K67" t="inlineStr">
        <is>
          <t>Denieul-Cormier, Anne.</t>
        </is>
      </c>
      <c r="L67" t="inlineStr">
        <is>
          <t>London, Allen &amp; Unwin, 1969.</t>
        </is>
      </c>
      <c r="M67" t="inlineStr">
        <is>
          <t>1969</t>
        </is>
      </c>
      <c r="O67" t="inlineStr">
        <is>
          <t>eng</t>
        </is>
      </c>
      <c r="P67" t="inlineStr">
        <is>
          <t>enk</t>
        </is>
      </c>
      <c r="R67" t="inlineStr">
        <is>
          <t xml:space="preserve">DC </t>
        </is>
      </c>
      <c r="S67" t="n">
        <v>3</v>
      </c>
      <c r="T67" t="n">
        <v>3</v>
      </c>
      <c r="U67" t="inlineStr">
        <is>
          <t>1997-09-17</t>
        </is>
      </c>
      <c r="V67" t="inlineStr">
        <is>
          <t>1997-09-17</t>
        </is>
      </c>
      <c r="W67" t="inlineStr">
        <is>
          <t>1996-11-05</t>
        </is>
      </c>
      <c r="X67" t="inlineStr">
        <is>
          <t>1996-11-05</t>
        </is>
      </c>
      <c r="Y67" t="n">
        <v>335</v>
      </c>
      <c r="Z67" t="n">
        <v>234</v>
      </c>
      <c r="AA67" t="n">
        <v>262</v>
      </c>
      <c r="AB67" t="n">
        <v>4</v>
      </c>
      <c r="AC67" t="n">
        <v>4</v>
      </c>
      <c r="AD67" t="n">
        <v>16</v>
      </c>
      <c r="AE67" t="n">
        <v>16</v>
      </c>
      <c r="AF67" t="n">
        <v>4</v>
      </c>
      <c r="AG67" t="n">
        <v>4</v>
      </c>
      <c r="AH67" t="n">
        <v>4</v>
      </c>
      <c r="AI67" t="n">
        <v>4</v>
      </c>
      <c r="AJ67" t="n">
        <v>7</v>
      </c>
      <c r="AK67" t="n">
        <v>7</v>
      </c>
      <c r="AL67" t="n">
        <v>3</v>
      </c>
      <c r="AM67" t="n">
        <v>3</v>
      </c>
      <c r="AN67" t="n">
        <v>0</v>
      </c>
      <c r="AO67" t="n">
        <v>0</v>
      </c>
      <c r="AP67" t="inlineStr">
        <is>
          <t>No</t>
        </is>
      </c>
      <c r="AQ67" t="inlineStr">
        <is>
          <t>Yes</t>
        </is>
      </c>
      <c r="AR67">
        <f>HYPERLINK("http://catalog.hathitrust.org/Record/000455436","HathiTrust Record")</f>
        <v/>
      </c>
      <c r="AS67">
        <f>HYPERLINK("https://creighton-primo.hosted.exlibrisgroup.com/primo-explore/search?tab=default_tab&amp;search_scope=EVERYTHING&amp;vid=01CRU&amp;lang=en_US&amp;offset=0&amp;query=any,contains,991000831969702656","Catalog Record")</f>
        <v/>
      </c>
      <c r="AT67">
        <f>HYPERLINK("http://www.worldcat.org/oclc/148128","WorldCat Record")</f>
        <v/>
      </c>
      <c r="AU67" t="inlineStr">
        <is>
          <t>1332822:eng</t>
        </is>
      </c>
      <c r="AV67" t="inlineStr">
        <is>
          <t>148128</t>
        </is>
      </c>
      <c r="AW67" t="inlineStr">
        <is>
          <t>991000831969702656</t>
        </is>
      </c>
      <c r="AX67" t="inlineStr">
        <is>
          <t>991000831969702656</t>
        </is>
      </c>
      <c r="AY67" t="inlineStr">
        <is>
          <t>2259912530002656</t>
        </is>
      </c>
      <c r="AZ67" t="inlineStr">
        <is>
          <t>BOOK</t>
        </is>
      </c>
      <c r="BB67" t="inlineStr">
        <is>
          <t>9780049010185</t>
        </is>
      </c>
      <c r="BC67" t="inlineStr">
        <is>
          <t>32285002340759</t>
        </is>
      </c>
      <c r="BD67" t="inlineStr">
        <is>
          <t>893897260</t>
        </is>
      </c>
    </row>
    <row r="68">
      <c r="A68" t="inlineStr">
        <is>
          <t>No</t>
        </is>
      </c>
      <c r="B68" t="inlineStr">
        <is>
          <t>DC111 .K54 1989</t>
        </is>
      </c>
      <c r="C68" t="inlineStr">
        <is>
          <t>0                      DC 0111000K  54          1989</t>
        </is>
      </c>
      <c r="D68" t="inlineStr">
        <is>
          <t>The French wars of religion, 1559-1598 / R.J. Knecht.</t>
        </is>
      </c>
      <c r="F68" t="inlineStr">
        <is>
          <t>No</t>
        </is>
      </c>
      <c r="G68" t="inlineStr">
        <is>
          <t>1</t>
        </is>
      </c>
      <c r="H68" t="inlineStr">
        <is>
          <t>No</t>
        </is>
      </c>
      <c r="I68" t="inlineStr">
        <is>
          <t>No</t>
        </is>
      </c>
      <c r="J68" t="inlineStr">
        <is>
          <t>0</t>
        </is>
      </c>
      <c r="K68" t="inlineStr">
        <is>
          <t>Knecht, R. J. (Robert Jean)</t>
        </is>
      </c>
      <c r="L68" t="inlineStr">
        <is>
          <t>London ; New York : Longman, 1989.</t>
        </is>
      </c>
      <c r="M68" t="inlineStr">
        <is>
          <t>1989</t>
        </is>
      </c>
      <c r="O68" t="inlineStr">
        <is>
          <t>eng</t>
        </is>
      </c>
      <c r="P68" t="inlineStr">
        <is>
          <t>enk</t>
        </is>
      </c>
      <c r="Q68" t="inlineStr">
        <is>
          <t>Seminar studies in history</t>
        </is>
      </c>
      <c r="R68" t="inlineStr">
        <is>
          <t xml:space="preserve">DC </t>
        </is>
      </c>
      <c r="S68" t="n">
        <v>2</v>
      </c>
      <c r="T68" t="n">
        <v>2</v>
      </c>
      <c r="U68" t="inlineStr">
        <is>
          <t>2008-10-11</t>
        </is>
      </c>
      <c r="V68" t="inlineStr">
        <is>
          <t>2008-10-11</t>
        </is>
      </c>
      <c r="W68" t="inlineStr">
        <is>
          <t>1990-06-12</t>
        </is>
      </c>
      <c r="X68" t="inlineStr">
        <is>
          <t>1990-06-12</t>
        </is>
      </c>
      <c r="Y68" t="n">
        <v>172</v>
      </c>
      <c r="Z68" t="n">
        <v>88</v>
      </c>
      <c r="AA68" t="n">
        <v>289</v>
      </c>
      <c r="AB68" t="n">
        <v>1</v>
      </c>
      <c r="AC68" t="n">
        <v>1</v>
      </c>
      <c r="AD68" t="n">
        <v>4</v>
      </c>
      <c r="AE68" t="n">
        <v>16</v>
      </c>
      <c r="AF68" t="n">
        <v>1</v>
      </c>
      <c r="AG68" t="n">
        <v>4</v>
      </c>
      <c r="AH68" t="n">
        <v>1</v>
      </c>
      <c r="AI68" t="n">
        <v>6</v>
      </c>
      <c r="AJ68" t="n">
        <v>4</v>
      </c>
      <c r="AK68" t="n">
        <v>12</v>
      </c>
      <c r="AL68" t="n">
        <v>0</v>
      </c>
      <c r="AM68" t="n">
        <v>0</v>
      </c>
      <c r="AN68" t="n">
        <v>0</v>
      </c>
      <c r="AO68" t="n">
        <v>0</v>
      </c>
      <c r="AP68" t="inlineStr">
        <is>
          <t>No</t>
        </is>
      </c>
      <c r="AQ68" t="inlineStr">
        <is>
          <t>Yes</t>
        </is>
      </c>
      <c r="AR68">
        <f>HYPERLINK("http://catalog.hathitrust.org/Record/007131574","HathiTrust Record")</f>
        <v/>
      </c>
      <c r="AS68">
        <f>HYPERLINK("https://creighton-primo.hosted.exlibrisgroup.com/primo-explore/search?tab=default_tab&amp;search_scope=EVERYTHING&amp;vid=01CRU&amp;lang=en_US&amp;offset=0&amp;query=any,contains,991001381459702656","Catalog Record")</f>
        <v/>
      </c>
      <c r="AT68">
        <f>HYPERLINK("http://www.worldcat.org/oclc/18683642","WorldCat Record")</f>
        <v/>
      </c>
      <c r="AU68" t="inlineStr">
        <is>
          <t>17937557:eng</t>
        </is>
      </c>
      <c r="AV68" t="inlineStr">
        <is>
          <t>18683642</t>
        </is>
      </c>
      <c r="AW68" t="inlineStr">
        <is>
          <t>991001381459702656</t>
        </is>
      </c>
      <c r="AX68" t="inlineStr">
        <is>
          <t>991001381459702656</t>
        </is>
      </c>
      <c r="AY68" t="inlineStr">
        <is>
          <t>2265161200002656</t>
        </is>
      </c>
      <c r="AZ68" t="inlineStr">
        <is>
          <t>BOOK</t>
        </is>
      </c>
      <c r="BB68" t="inlineStr">
        <is>
          <t>9780582354562</t>
        </is>
      </c>
      <c r="BC68" t="inlineStr">
        <is>
          <t>32285000175736</t>
        </is>
      </c>
      <c r="BD68" t="inlineStr">
        <is>
          <t>893408085</t>
        </is>
      </c>
    </row>
    <row r="69">
      <c r="A69" t="inlineStr">
        <is>
          <t>No</t>
        </is>
      </c>
      <c r="B69" t="inlineStr">
        <is>
          <t>DC111 .R43 2002</t>
        </is>
      </c>
      <c r="C69" t="inlineStr">
        <is>
          <t>0                      DC 0111000R  43          2002</t>
        </is>
      </c>
      <c r="D69" t="inlineStr">
        <is>
          <t>Renaissance and Reformation France, 1500-1648 / edited by Mack P. Holt.</t>
        </is>
      </c>
      <c r="F69" t="inlineStr">
        <is>
          <t>No</t>
        </is>
      </c>
      <c r="G69" t="inlineStr">
        <is>
          <t>1</t>
        </is>
      </c>
      <c r="H69" t="inlineStr">
        <is>
          <t>No</t>
        </is>
      </c>
      <c r="I69" t="inlineStr">
        <is>
          <t>No</t>
        </is>
      </c>
      <c r="J69" t="inlineStr">
        <is>
          <t>0</t>
        </is>
      </c>
      <c r="L69" t="inlineStr">
        <is>
          <t>Oxford ; New York : Oxford University Press, 2002.</t>
        </is>
      </c>
      <c r="M69" t="inlineStr">
        <is>
          <t>2002</t>
        </is>
      </c>
      <c r="O69" t="inlineStr">
        <is>
          <t>eng</t>
        </is>
      </c>
      <c r="P69" t="inlineStr">
        <is>
          <t>nyu</t>
        </is>
      </c>
      <c r="Q69" t="inlineStr">
        <is>
          <t>The short Oxford history of France</t>
        </is>
      </c>
      <c r="R69" t="inlineStr">
        <is>
          <t xml:space="preserve">DC </t>
        </is>
      </c>
      <c r="S69" t="n">
        <v>1</v>
      </c>
      <c r="T69" t="n">
        <v>1</v>
      </c>
      <c r="U69" t="inlineStr">
        <is>
          <t>2009-01-12</t>
        </is>
      </c>
      <c r="V69" t="inlineStr">
        <is>
          <t>2009-01-12</t>
        </is>
      </c>
      <c r="W69" t="inlineStr">
        <is>
          <t>2009-01-12</t>
        </is>
      </c>
      <c r="X69" t="inlineStr">
        <is>
          <t>2009-01-12</t>
        </is>
      </c>
      <c r="Y69" t="n">
        <v>456</v>
      </c>
      <c r="Z69" t="n">
        <v>318</v>
      </c>
      <c r="AA69" t="n">
        <v>318</v>
      </c>
      <c r="AB69" t="n">
        <v>4</v>
      </c>
      <c r="AC69" t="n">
        <v>4</v>
      </c>
      <c r="AD69" t="n">
        <v>18</v>
      </c>
      <c r="AE69" t="n">
        <v>18</v>
      </c>
      <c r="AF69" t="n">
        <v>5</v>
      </c>
      <c r="AG69" t="n">
        <v>5</v>
      </c>
      <c r="AH69" t="n">
        <v>6</v>
      </c>
      <c r="AI69" t="n">
        <v>6</v>
      </c>
      <c r="AJ69" t="n">
        <v>9</v>
      </c>
      <c r="AK69" t="n">
        <v>9</v>
      </c>
      <c r="AL69" t="n">
        <v>3</v>
      </c>
      <c r="AM69" t="n">
        <v>3</v>
      </c>
      <c r="AN69" t="n">
        <v>0</v>
      </c>
      <c r="AO69" t="n">
        <v>0</v>
      </c>
      <c r="AP69" t="inlineStr">
        <is>
          <t>No</t>
        </is>
      </c>
      <c r="AQ69" t="inlineStr">
        <is>
          <t>No</t>
        </is>
      </c>
      <c r="AS69">
        <f>HYPERLINK("https://creighton-primo.hosted.exlibrisgroup.com/primo-explore/search?tab=default_tab&amp;search_scope=EVERYTHING&amp;vid=01CRU&amp;lang=en_US&amp;offset=0&amp;query=any,contains,991005289499702656","Catalog Record")</f>
        <v/>
      </c>
      <c r="AT69">
        <f>HYPERLINK("http://www.worldcat.org/oclc/48416806","WorldCat Record")</f>
        <v/>
      </c>
      <c r="AU69" t="inlineStr">
        <is>
          <t>892316:eng</t>
        </is>
      </c>
      <c r="AV69" t="inlineStr">
        <is>
          <t>48416806</t>
        </is>
      </c>
      <c r="AW69" t="inlineStr">
        <is>
          <t>991005289499702656</t>
        </is>
      </c>
      <c r="AX69" t="inlineStr">
        <is>
          <t>991005289499702656</t>
        </is>
      </c>
      <c r="AY69" t="inlineStr">
        <is>
          <t>2270724040002656</t>
        </is>
      </c>
      <c r="AZ69" t="inlineStr">
        <is>
          <t>BOOK</t>
        </is>
      </c>
      <c r="BB69" t="inlineStr">
        <is>
          <t>9780198731658</t>
        </is>
      </c>
      <c r="BC69" t="inlineStr">
        <is>
          <t>32285005476642</t>
        </is>
      </c>
      <c r="BD69" t="inlineStr">
        <is>
          <t>893263731</t>
        </is>
      </c>
    </row>
    <row r="70">
      <c r="A70" t="inlineStr">
        <is>
          <t>No</t>
        </is>
      </c>
      <c r="B70" t="inlineStr">
        <is>
          <t>DC111.3 .S2 1967</t>
        </is>
      </c>
      <c r="C70" t="inlineStr">
        <is>
          <t>0                      DC 0111300S  2           1967</t>
        </is>
      </c>
      <c r="D70" t="inlineStr">
        <is>
          <t>The French wars of religion; how important were religious factors? / Edited with an introd. by J. H. M. Salmon.</t>
        </is>
      </c>
      <c r="F70" t="inlineStr">
        <is>
          <t>No</t>
        </is>
      </c>
      <c r="G70" t="inlineStr">
        <is>
          <t>1</t>
        </is>
      </c>
      <c r="H70" t="inlineStr">
        <is>
          <t>No</t>
        </is>
      </c>
      <c r="I70" t="inlineStr">
        <is>
          <t>No</t>
        </is>
      </c>
      <c r="J70" t="inlineStr">
        <is>
          <t>0</t>
        </is>
      </c>
      <c r="K70" t="inlineStr">
        <is>
          <t>Salmon, J. H. M. (John Hearsey McMillan), 1925-2005, compiler.</t>
        </is>
      </c>
      <c r="L70" t="inlineStr">
        <is>
          <t>Boston : Heath, 1967.</t>
        </is>
      </c>
      <c r="M70" t="inlineStr">
        <is>
          <t>1967</t>
        </is>
      </c>
      <c r="O70" t="inlineStr">
        <is>
          <t>eng</t>
        </is>
      </c>
      <c r="P70" t="inlineStr">
        <is>
          <t>mau</t>
        </is>
      </c>
      <c r="Q70" t="inlineStr">
        <is>
          <t>Problems in European civilization</t>
        </is>
      </c>
      <c r="R70" t="inlineStr">
        <is>
          <t xml:space="preserve">DC </t>
        </is>
      </c>
      <c r="S70" t="n">
        <v>2</v>
      </c>
      <c r="T70" t="n">
        <v>2</v>
      </c>
      <c r="U70" t="inlineStr">
        <is>
          <t>2008-11-13</t>
        </is>
      </c>
      <c r="V70" t="inlineStr">
        <is>
          <t>2008-11-13</t>
        </is>
      </c>
      <c r="W70" t="inlineStr">
        <is>
          <t>1990-11-30</t>
        </is>
      </c>
      <c r="X70" t="inlineStr">
        <is>
          <t>1990-11-30</t>
        </is>
      </c>
      <c r="Y70" t="n">
        <v>580</v>
      </c>
      <c r="Z70" t="n">
        <v>484</v>
      </c>
      <c r="AA70" t="n">
        <v>518</v>
      </c>
      <c r="AB70" t="n">
        <v>6</v>
      </c>
      <c r="AC70" t="n">
        <v>6</v>
      </c>
      <c r="AD70" t="n">
        <v>25</v>
      </c>
      <c r="AE70" t="n">
        <v>26</v>
      </c>
      <c r="AF70" t="n">
        <v>8</v>
      </c>
      <c r="AG70" t="n">
        <v>8</v>
      </c>
      <c r="AH70" t="n">
        <v>2</v>
      </c>
      <c r="AI70" t="n">
        <v>3</v>
      </c>
      <c r="AJ70" t="n">
        <v>14</v>
      </c>
      <c r="AK70" t="n">
        <v>15</v>
      </c>
      <c r="AL70" t="n">
        <v>5</v>
      </c>
      <c r="AM70" t="n">
        <v>5</v>
      </c>
      <c r="AN70" t="n">
        <v>0</v>
      </c>
      <c r="AO70" t="n">
        <v>0</v>
      </c>
      <c r="AP70" t="inlineStr">
        <is>
          <t>No</t>
        </is>
      </c>
      <c r="AQ70" t="inlineStr">
        <is>
          <t>Yes</t>
        </is>
      </c>
      <c r="AR70">
        <f>HYPERLINK("http://catalog.hathitrust.org/Record/002709453","HathiTrust Record")</f>
        <v/>
      </c>
      <c r="AS70">
        <f>HYPERLINK("https://creighton-primo.hosted.exlibrisgroup.com/primo-explore/search?tab=default_tab&amp;search_scope=EVERYTHING&amp;vid=01CRU&amp;lang=en_US&amp;offset=0&amp;query=any,contains,991000962149702656","Catalog Record")</f>
        <v/>
      </c>
      <c r="AT70">
        <f>HYPERLINK("http://www.worldcat.org/oclc/169580","WorldCat Record")</f>
        <v/>
      </c>
      <c r="AU70" t="inlineStr">
        <is>
          <t>351840243:eng</t>
        </is>
      </c>
      <c r="AV70" t="inlineStr">
        <is>
          <t>169580</t>
        </is>
      </c>
      <c r="AW70" t="inlineStr">
        <is>
          <t>991000962149702656</t>
        </is>
      </c>
      <c r="AX70" t="inlineStr">
        <is>
          <t>991000962149702656</t>
        </is>
      </c>
      <c r="AY70" t="inlineStr">
        <is>
          <t>2263986540002656</t>
        </is>
      </c>
      <c r="AZ70" t="inlineStr">
        <is>
          <t>BOOK</t>
        </is>
      </c>
      <c r="BC70" t="inlineStr">
        <is>
          <t>32285000393925</t>
        </is>
      </c>
      <c r="BD70" t="inlineStr">
        <is>
          <t>893702603</t>
        </is>
      </c>
    </row>
    <row r="71">
      <c r="A71" t="inlineStr">
        <is>
          <t>No</t>
        </is>
      </c>
      <c r="B71" t="inlineStr">
        <is>
          <t>DC111.5 .S8 1976</t>
        </is>
      </c>
      <c r="C71" t="inlineStr">
        <is>
          <t>0                      DC 0111500S  8           1976</t>
        </is>
      </c>
      <c r="D71" t="inlineStr">
        <is>
          <t>The French Secretaries of State in the age of Catherine de Medici / by N. M. Sutherland.</t>
        </is>
      </c>
      <c r="F71" t="inlineStr">
        <is>
          <t>No</t>
        </is>
      </c>
      <c r="G71" t="inlineStr">
        <is>
          <t>1</t>
        </is>
      </c>
      <c r="H71" t="inlineStr">
        <is>
          <t>No</t>
        </is>
      </c>
      <c r="I71" t="inlineStr">
        <is>
          <t>No</t>
        </is>
      </c>
      <c r="J71" t="inlineStr">
        <is>
          <t>0</t>
        </is>
      </c>
      <c r="K71" t="inlineStr">
        <is>
          <t>Sutherland, N. M. (Nicola Mary), 1925-</t>
        </is>
      </c>
      <c r="L71" t="inlineStr">
        <is>
          <t>Westport, Conn. : Greenwood Press, 1976, c1962.</t>
        </is>
      </c>
      <c r="M71" t="inlineStr">
        <is>
          <t>1976</t>
        </is>
      </c>
      <c r="O71" t="inlineStr">
        <is>
          <t>eng</t>
        </is>
      </c>
      <c r="P71" t="inlineStr">
        <is>
          <t>ctu</t>
        </is>
      </c>
      <c r="R71" t="inlineStr">
        <is>
          <t xml:space="preserve">DC </t>
        </is>
      </c>
      <c r="S71" t="n">
        <v>2</v>
      </c>
      <c r="T71" t="n">
        <v>2</v>
      </c>
      <c r="U71" t="inlineStr">
        <is>
          <t>1998-08-26</t>
        </is>
      </c>
      <c r="V71" t="inlineStr">
        <is>
          <t>1998-08-26</t>
        </is>
      </c>
      <c r="W71" t="inlineStr">
        <is>
          <t>1996-11-05</t>
        </is>
      </c>
      <c r="X71" t="inlineStr">
        <is>
          <t>1996-11-05</t>
        </is>
      </c>
      <c r="Y71" t="n">
        <v>78</v>
      </c>
      <c r="Z71" t="n">
        <v>67</v>
      </c>
      <c r="AA71" t="n">
        <v>321</v>
      </c>
      <c r="AB71" t="n">
        <v>1</v>
      </c>
      <c r="AC71" t="n">
        <v>3</v>
      </c>
      <c r="AD71" t="n">
        <v>4</v>
      </c>
      <c r="AE71" t="n">
        <v>18</v>
      </c>
      <c r="AF71" t="n">
        <v>1</v>
      </c>
      <c r="AG71" t="n">
        <v>5</v>
      </c>
      <c r="AH71" t="n">
        <v>1</v>
      </c>
      <c r="AI71" t="n">
        <v>6</v>
      </c>
      <c r="AJ71" t="n">
        <v>2</v>
      </c>
      <c r="AK71" t="n">
        <v>10</v>
      </c>
      <c r="AL71" t="n">
        <v>0</v>
      </c>
      <c r="AM71" t="n">
        <v>2</v>
      </c>
      <c r="AN71" t="n">
        <v>0</v>
      </c>
      <c r="AO71" t="n">
        <v>0</v>
      </c>
      <c r="AP71" t="inlineStr">
        <is>
          <t>No</t>
        </is>
      </c>
      <c r="AQ71" t="inlineStr">
        <is>
          <t>Yes</t>
        </is>
      </c>
      <c r="AR71">
        <f>HYPERLINK("http://catalog.hathitrust.org/Record/004405961","HathiTrust Record")</f>
        <v/>
      </c>
      <c r="AS71">
        <f>HYPERLINK("https://creighton-primo.hosted.exlibrisgroup.com/primo-explore/search?tab=default_tab&amp;search_scope=EVERYTHING&amp;vid=01CRU&amp;lang=en_US&amp;offset=0&amp;query=any,contains,991004119379702656","Catalog Record")</f>
        <v/>
      </c>
      <c r="AT71">
        <f>HYPERLINK("http://www.worldcat.org/oclc/2423919","WorldCat Record")</f>
        <v/>
      </c>
      <c r="AU71" t="inlineStr">
        <is>
          <t>2278121:eng</t>
        </is>
      </c>
      <c r="AV71" t="inlineStr">
        <is>
          <t>2423919</t>
        </is>
      </c>
      <c r="AW71" t="inlineStr">
        <is>
          <t>991004119379702656</t>
        </is>
      </c>
      <c r="AX71" t="inlineStr">
        <is>
          <t>991004119379702656</t>
        </is>
      </c>
      <c r="AY71" t="inlineStr">
        <is>
          <t>2262647210002656</t>
        </is>
      </c>
      <c r="AZ71" t="inlineStr">
        <is>
          <t>BOOK</t>
        </is>
      </c>
      <c r="BB71" t="inlineStr">
        <is>
          <t>9780837187075</t>
        </is>
      </c>
      <c r="BC71" t="inlineStr">
        <is>
          <t>32285002340809</t>
        </is>
      </c>
      <c r="BD71" t="inlineStr">
        <is>
          <t>893259341</t>
        </is>
      </c>
    </row>
    <row r="72">
      <c r="A72" t="inlineStr">
        <is>
          <t>No</t>
        </is>
      </c>
      <c r="B72" t="inlineStr">
        <is>
          <t>DC112.J4 R6</t>
        </is>
      </c>
      <c r="C72" t="inlineStr">
        <is>
          <t>0                      DC 0112000J  4                  R  6</t>
        </is>
      </c>
      <c r="D72" t="inlineStr">
        <is>
          <t>Queen of Navarre; Jeanne d'Albret, 1528-1572.</t>
        </is>
      </c>
      <c r="F72" t="inlineStr">
        <is>
          <t>No</t>
        </is>
      </c>
      <c r="G72" t="inlineStr">
        <is>
          <t>1</t>
        </is>
      </c>
      <c r="H72" t="inlineStr">
        <is>
          <t>No</t>
        </is>
      </c>
      <c r="I72" t="inlineStr">
        <is>
          <t>No</t>
        </is>
      </c>
      <c r="J72" t="inlineStr">
        <is>
          <t>0</t>
        </is>
      </c>
      <c r="K72" t="inlineStr">
        <is>
          <t>Roelker, Nancy L. (Nancy Lyman)</t>
        </is>
      </c>
      <c r="L72" t="inlineStr">
        <is>
          <t>Cambridge, Belknap Press of Harvard University Press, 1968.</t>
        </is>
      </c>
      <c r="M72" t="inlineStr">
        <is>
          <t>1968</t>
        </is>
      </c>
      <c r="O72" t="inlineStr">
        <is>
          <t>eng</t>
        </is>
      </c>
      <c r="P72" t="inlineStr">
        <is>
          <t>mau</t>
        </is>
      </c>
      <c r="R72" t="inlineStr">
        <is>
          <t xml:space="preserve">DC </t>
        </is>
      </c>
      <c r="S72" t="n">
        <v>1</v>
      </c>
      <c r="T72" t="n">
        <v>1</v>
      </c>
      <c r="U72" t="inlineStr">
        <is>
          <t>2005-03-30</t>
        </is>
      </c>
      <c r="V72" t="inlineStr">
        <is>
          <t>2005-03-30</t>
        </is>
      </c>
      <c r="W72" t="inlineStr">
        <is>
          <t>1996-11-05</t>
        </is>
      </c>
      <c r="X72" t="inlineStr">
        <is>
          <t>1996-11-05</t>
        </is>
      </c>
      <c r="Y72" t="n">
        <v>820</v>
      </c>
      <c r="Z72" t="n">
        <v>724</v>
      </c>
      <c r="AA72" t="n">
        <v>727</v>
      </c>
      <c r="AB72" t="n">
        <v>6</v>
      </c>
      <c r="AC72" t="n">
        <v>6</v>
      </c>
      <c r="AD72" t="n">
        <v>32</v>
      </c>
      <c r="AE72" t="n">
        <v>32</v>
      </c>
      <c r="AF72" t="n">
        <v>11</v>
      </c>
      <c r="AG72" t="n">
        <v>11</v>
      </c>
      <c r="AH72" t="n">
        <v>7</v>
      </c>
      <c r="AI72" t="n">
        <v>7</v>
      </c>
      <c r="AJ72" t="n">
        <v>16</v>
      </c>
      <c r="AK72" t="n">
        <v>16</v>
      </c>
      <c r="AL72" t="n">
        <v>5</v>
      </c>
      <c r="AM72" t="n">
        <v>5</v>
      </c>
      <c r="AN72" t="n">
        <v>0</v>
      </c>
      <c r="AO72" t="n">
        <v>0</v>
      </c>
      <c r="AP72" t="inlineStr">
        <is>
          <t>No</t>
        </is>
      </c>
      <c r="AQ72" t="inlineStr">
        <is>
          <t>Yes</t>
        </is>
      </c>
      <c r="AR72">
        <f>HYPERLINK("http://catalog.hathitrust.org/Record/000564660","HathiTrust Record")</f>
        <v/>
      </c>
      <c r="AS72">
        <f>HYPERLINK("https://creighton-primo.hosted.exlibrisgroup.com/primo-explore/search?tab=default_tab&amp;search_scope=EVERYTHING&amp;vid=01CRU&amp;lang=en_US&amp;offset=0&amp;query=any,contains,991002807939702656","Catalog Record")</f>
        <v/>
      </c>
      <c r="AT72">
        <f>HYPERLINK("http://www.worldcat.org/oclc/451296","WorldCat Record")</f>
        <v/>
      </c>
      <c r="AU72" t="inlineStr">
        <is>
          <t>430354:eng</t>
        </is>
      </c>
      <c r="AV72" t="inlineStr">
        <is>
          <t>451296</t>
        </is>
      </c>
      <c r="AW72" t="inlineStr">
        <is>
          <t>991002807939702656</t>
        </is>
      </c>
      <c r="AX72" t="inlineStr">
        <is>
          <t>991002807939702656</t>
        </is>
      </c>
      <c r="AY72" t="inlineStr">
        <is>
          <t>2261109630002656</t>
        </is>
      </c>
      <c r="AZ72" t="inlineStr">
        <is>
          <t>BOOK</t>
        </is>
      </c>
      <c r="BC72" t="inlineStr">
        <is>
          <t>32285002340833</t>
        </is>
      </c>
      <c r="BD72" t="inlineStr">
        <is>
          <t>893904095</t>
        </is>
      </c>
    </row>
    <row r="73">
      <c r="A73" t="inlineStr">
        <is>
          <t>No</t>
        </is>
      </c>
      <c r="B73" t="inlineStr">
        <is>
          <t>DC112.M2 S74 2004</t>
        </is>
      </c>
      <c r="C73" t="inlineStr">
        <is>
          <t>0                      DC 0112000M  2                  S  74          2004</t>
        </is>
      </c>
      <c r="D73" t="inlineStr">
        <is>
          <t>The power and patronage of Marguerite de Navarre / Barbara Stephenson.</t>
        </is>
      </c>
      <c r="F73" t="inlineStr">
        <is>
          <t>No</t>
        </is>
      </c>
      <c r="G73" t="inlineStr">
        <is>
          <t>1</t>
        </is>
      </c>
      <c r="H73" t="inlineStr">
        <is>
          <t>No</t>
        </is>
      </c>
      <c r="I73" t="inlineStr">
        <is>
          <t>No</t>
        </is>
      </c>
      <c r="J73" t="inlineStr">
        <is>
          <t>0</t>
        </is>
      </c>
      <c r="K73" t="inlineStr">
        <is>
          <t>Stephenson, Barbara.</t>
        </is>
      </c>
      <c r="L73" t="inlineStr">
        <is>
          <t>Aldershot, Hants, England ; Burlington, VT, USA : Ashgate, c2004.</t>
        </is>
      </c>
      <c r="M73" t="inlineStr">
        <is>
          <t>2003</t>
        </is>
      </c>
      <c r="O73" t="inlineStr">
        <is>
          <t>eng</t>
        </is>
      </c>
      <c r="P73" t="inlineStr">
        <is>
          <t>enk</t>
        </is>
      </c>
      <c r="Q73" t="inlineStr">
        <is>
          <t>Women and gender in the early modern world</t>
        </is>
      </c>
      <c r="R73" t="inlineStr">
        <is>
          <t xml:space="preserve">DC </t>
        </is>
      </c>
      <c r="S73" t="n">
        <v>1</v>
      </c>
      <c r="T73" t="n">
        <v>1</v>
      </c>
      <c r="U73" t="inlineStr">
        <is>
          <t>2008-03-31</t>
        </is>
      </c>
      <c r="V73" t="inlineStr">
        <is>
          <t>2008-03-31</t>
        </is>
      </c>
      <c r="W73" t="inlineStr">
        <is>
          <t>2008-03-31</t>
        </is>
      </c>
      <c r="X73" t="inlineStr">
        <is>
          <t>2008-03-31</t>
        </is>
      </c>
      <c r="Y73" t="n">
        <v>251</v>
      </c>
      <c r="Z73" t="n">
        <v>201</v>
      </c>
      <c r="AA73" t="n">
        <v>233</v>
      </c>
      <c r="AB73" t="n">
        <v>2</v>
      </c>
      <c r="AC73" t="n">
        <v>2</v>
      </c>
      <c r="AD73" t="n">
        <v>12</v>
      </c>
      <c r="AE73" t="n">
        <v>12</v>
      </c>
      <c r="AF73" t="n">
        <v>3</v>
      </c>
      <c r="AG73" t="n">
        <v>3</v>
      </c>
      <c r="AH73" t="n">
        <v>5</v>
      </c>
      <c r="AI73" t="n">
        <v>5</v>
      </c>
      <c r="AJ73" t="n">
        <v>8</v>
      </c>
      <c r="AK73" t="n">
        <v>8</v>
      </c>
      <c r="AL73" t="n">
        <v>1</v>
      </c>
      <c r="AM73" t="n">
        <v>1</v>
      </c>
      <c r="AN73" t="n">
        <v>0</v>
      </c>
      <c r="AO73" t="n">
        <v>0</v>
      </c>
      <c r="AP73" t="inlineStr">
        <is>
          <t>No</t>
        </is>
      </c>
      <c r="AQ73" t="inlineStr">
        <is>
          <t>Yes</t>
        </is>
      </c>
      <c r="AR73">
        <f>HYPERLINK("http://catalog.hathitrust.org/Record/004372470","HathiTrust Record")</f>
        <v/>
      </c>
      <c r="AS73">
        <f>HYPERLINK("https://creighton-primo.hosted.exlibrisgroup.com/primo-explore/search?tab=default_tab&amp;search_scope=EVERYTHING&amp;vid=01CRU&amp;lang=en_US&amp;offset=0&amp;query=any,contains,991005194549702656","Catalog Record")</f>
        <v/>
      </c>
      <c r="AT73">
        <f>HYPERLINK("http://www.worldcat.org/oclc/52858393","WorldCat Record")</f>
        <v/>
      </c>
      <c r="AU73" t="inlineStr">
        <is>
          <t>1042545:eng</t>
        </is>
      </c>
      <c r="AV73" t="inlineStr">
        <is>
          <t>52858393</t>
        </is>
      </c>
      <c r="AW73" t="inlineStr">
        <is>
          <t>991005194549702656</t>
        </is>
      </c>
      <c r="AX73" t="inlineStr">
        <is>
          <t>991005194549702656</t>
        </is>
      </c>
      <c r="AY73" t="inlineStr">
        <is>
          <t>2260835260002656</t>
        </is>
      </c>
      <c r="AZ73" t="inlineStr">
        <is>
          <t>BOOK</t>
        </is>
      </c>
      <c r="BB73" t="inlineStr">
        <is>
          <t>9780754606987</t>
        </is>
      </c>
      <c r="BC73" t="inlineStr">
        <is>
          <t>32285005399646</t>
        </is>
      </c>
      <c r="BD73" t="inlineStr">
        <is>
          <t>893625595</t>
        </is>
      </c>
    </row>
    <row r="74">
      <c r="A74" t="inlineStr">
        <is>
          <t>No</t>
        </is>
      </c>
      <c r="B74" t="inlineStr">
        <is>
          <t>DC114 .B38 1988</t>
        </is>
      </c>
      <c r="C74" t="inlineStr">
        <is>
          <t>0                      DC 0114000B  38          1988</t>
        </is>
      </c>
      <c r="D74" t="inlineStr">
        <is>
          <t>Henry II, King of France 1547-1559 / Frederic J. Baumgartner.</t>
        </is>
      </c>
      <c r="F74" t="inlineStr">
        <is>
          <t>No</t>
        </is>
      </c>
      <c r="G74" t="inlineStr">
        <is>
          <t>1</t>
        </is>
      </c>
      <c r="H74" t="inlineStr">
        <is>
          <t>No</t>
        </is>
      </c>
      <c r="I74" t="inlineStr">
        <is>
          <t>No</t>
        </is>
      </c>
      <c r="J74" t="inlineStr">
        <is>
          <t>0</t>
        </is>
      </c>
      <c r="K74" t="inlineStr">
        <is>
          <t>Baumgartner, Frederic J.</t>
        </is>
      </c>
      <c r="L74" t="inlineStr">
        <is>
          <t>Durham : Duke University Press, 1988.</t>
        </is>
      </c>
      <c r="M74" t="inlineStr">
        <is>
          <t>1988</t>
        </is>
      </c>
      <c r="O74" t="inlineStr">
        <is>
          <t>eng</t>
        </is>
      </c>
      <c r="P74" t="inlineStr">
        <is>
          <t>ncu</t>
        </is>
      </c>
      <c r="R74" t="inlineStr">
        <is>
          <t xml:space="preserve">DC </t>
        </is>
      </c>
      <c r="S74" t="n">
        <v>1</v>
      </c>
      <c r="T74" t="n">
        <v>1</v>
      </c>
      <c r="U74" t="inlineStr">
        <is>
          <t>2008-10-12</t>
        </is>
      </c>
      <c r="V74" t="inlineStr">
        <is>
          <t>2008-10-12</t>
        </is>
      </c>
      <c r="W74" t="inlineStr">
        <is>
          <t>1990-07-19</t>
        </is>
      </c>
      <c r="X74" t="inlineStr">
        <is>
          <t>1990-07-19</t>
        </is>
      </c>
      <c r="Y74" t="n">
        <v>585</v>
      </c>
      <c r="Z74" t="n">
        <v>493</v>
      </c>
      <c r="AA74" t="n">
        <v>506</v>
      </c>
      <c r="AB74" t="n">
        <v>4</v>
      </c>
      <c r="AC74" t="n">
        <v>4</v>
      </c>
      <c r="AD74" t="n">
        <v>19</v>
      </c>
      <c r="AE74" t="n">
        <v>19</v>
      </c>
      <c r="AF74" t="n">
        <v>7</v>
      </c>
      <c r="AG74" t="n">
        <v>7</v>
      </c>
      <c r="AH74" t="n">
        <v>5</v>
      </c>
      <c r="AI74" t="n">
        <v>5</v>
      </c>
      <c r="AJ74" t="n">
        <v>12</v>
      </c>
      <c r="AK74" t="n">
        <v>12</v>
      </c>
      <c r="AL74" t="n">
        <v>3</v>
      </c>
      <c r="AM74" t="n">
        <v>3</v>
      </c>
      <c r="AN74" t="n">
        <v>0</v>
      </c>
      <c r="AO74" t="n">
        <v>0</v>
      </c>
      <c r="AP74" t="inlineStr">
        <is>
          <t>No</t>
        </is>
      </c>
      <c r="AQ74" t="inlineStr">
        <is>
          <t>Yes</t>
        </is>
      </c>
      <c r="AR74">
        <f>HYPERLINK("http://catalog.hathitrust.org/Record/000872012","HathiTrust Record")</f>
        <v/>
      </c>
      <c r="AS74">
        <f>HYPERLINK("https://creighton-primo.hosted.exlibrisgroup.com/primo-explore/search?tab=default_tab&amp;search_scope=EVERYTHING&amp;vid=01CRU&amp;lang=en_US&amp;offset=0&amp;query=any,contains,991001097549702656","Catalog Record")</f>
        <v/>
      </c>
      <c r="AT74">
        <f>HYPERLINK("http://www.worldcat.org/oclc/16277097","WorldCat Record")</f>
        <v/>
      </c>
      <c r="AU74" t="inlineStr">
        <is>
          <t>12349029:eng</t>
        </is>
      </c>
      <c r="AV74" t="inlineStr">
        <is>
          <t>16277097</t>
        </is>
      </c>
      <c r="AW74" t="inlineStr">
        <is>
          <t>991001097549702656</t>
        </is>
      </c>
      <c r="AX74" t="inlineStr">
        <is>
          <t>991001097549702656</t>
        </is>
      </c>
      <c r="AY74" t="inlineStr">
        <is>
          <t>2260915970002656</t>
        </is>
      </c>
      <c r="AZ74" t="inlineStr">
        <is>
          <t>BOOK</t>
        </is>
      </c>
      <c r="BB74" t="inlineStr">
        <is>
          <t>9780822307952</t>
        </is>
      </c>
      <c r="BC74" t="inlineStr">
        <is>
          <t>32285000245653</t>
        </is>
      </c>
      <c r="BD74" t="inlineStr">
        <is>
          <t>893702726</t>
        </is>
      </c>
    </row>
    <row r="75">
      <c r="A75" t="inlineStr">
        <is>
          <t>No</t>
        </is>
      </c>
      <c r="B75" t="inlineStr">
        <is>
          <t>DC116.5 .S25 1975b</t>
        </is>
      </c>
      <c r="C75" t="inlineStr">
        <is>
          <t>0                      DC 0116500S  25          1975b</t>
        </is>
      </c>
      <c r="D75" t="inlineStr">
        <is>
          <t>Society in crisis : France in the sixteenth century / J. H. M. Salmon.</t>
        </is>
      </c>
      <c r="F75" t="inlineStr">
        <is>
          <t>No</t>
        </is>
      </c>
      <c r="G75" t="inlineStr">
        <is>
          <t>1</t>
        </is>
      </c>
      <c r="H75" t="inlineStr">
        <is>
          <t>No</t>
        </is>
      </c>
      <c r="I75" t="inlineStr">
        <is>
          <t>No</t>
        </is>
      </c>
      <c r="J75" t="inlineStr">
        <is>
          <t>0</t>
        </is>
      </c>
      <c r="K75" t="inlineStr">
        <is>
          <t>Salmon, J. H. M. (John Hearsey McMillan), 1925-2005.</t>
        </is>
      </c>
      <c r="L75" t="inlineStr">
        <is>
          <t>New York : St. Martin's Press, 1975.</t>
        </is>
      </c>
      <c r="M75" t="inlineStr">
        <is>
          <t>1975</t>
        </is>
      </c>
      <c r="O75" t="inlineStr">
        <is>
          <t>eng</t>
        </is>
      </c>
      <c r="P75" t="inlineStr">
        <is>
          <t>nyu</t>
        </is>
      </c>
      <c r="R75" t="inlineStr">
        <is>
          <t xml:space="preserve">DC </t>
        </is>
      </c>
      <c r="S75" t="n">
        <v>5</v>
      </c>
      <c r="T75" t="n">
        <v>5</v>
      </c>
      <c r="U75" t="inlineStr">
        <is>
          <t>2008-10-11</t>
        </is>
      </c>
      <c r="V75" t="inlineStr">
        <is>
          <t>2008-10-11</t>
        </is>
      </c>
      <c r="W75" t="inlineStr">
        <is>
          <t>1992-05-01</t>
        </is>
      </c>
      <c r="X75" t="inlineStr">
        <is>
          <t>1992-05-01</t>
        </is>
      </c>
      <c r="Y75" t="n">
        <v>520</v>
      </c>
      <c r="Z75" t="n">
        <v>479</v>
      </c>
      <c r="AA75" t="n">
        <v>527</v>
      </c>
      <c r="AB75" t="n">
        <v>4</v>
      </c>
      <c r="AC75" t="n">
        <v>4</v>
      </c>
      <c r="AD75" t="n">
        <v>17</v>
      </c>
      <c r="AE75" t="n">
        <v>20</v>
      </c>
      <c r="AF75" t="n">
        <v>4</v>
      </c>
      <c r="AG75" t="n">
        <v>5</v>
      </c>
      <c r="AH75" t="n">
        <v>6</v>
      </c>
      <c r="AI75" t="n">
        <v>6</v>
      </c>
      <c r="AJ75" t="n">
        <v>7</v>
      </c>
      <c r="AK75" t="n">
        <v>10</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HYPERLINK("https://creighton-primo.hosted.exlibrisgroup.com/primo-explore/search?tab=default_tab&amp;search_scope=EVERYTHING&amp;vid=01CRU&amp;lang=en_US&amp;offset=0&amp;query=any,contains,991003966739702656","Catalog Record")</f>
        <v/>
      </c>
      <c r="AT75">
        <f>HYPERLINK("http://www.worldcat.org/oclc/1986312","WorldCat Record")</f>
        <v/>
      </c>
      <c r="AU75" t="inlineStr">
        <is>
          <t>3084534:eng</t>
        </is>
      </c>
      <c r="AV75" t="inlineStr">
        <is>
          <t>1986312</t>
        </is>
      </c>
      <c r="AW75" t="inlineStr">
        <is>
          <t>991003966739702656</t>
        </is>
      </c>
      <c r="AX75" t="inlineStr">
        <is>
          <t>991003966739702656</t>
        </is>
      </c>
      <c r="AY75" t="inlineStr">
        <is>
          <t>2265222030002656</t>
        </is>
      </c>
      <c r="AZ75" t="inlineStr">
        <is>
          <t>BOOK</t>
        </is>
      </c>
      <c r="BC75" t="inlineStr">
        <is>
          <t>32285001091445</t>
        </is>
      </c>
      <c r="BD75" t="inlineStr">
        <is>
          <t>893794322</t>
        </is>
      </c>
    </row>
    <row r="76">
      <c r="A76" t="inlineStr">
        <is>
          <t>No</t>
        </is>
      </c>
      <c r="B76" t="inlineStr">
        <is>
          <t>DC118 .E713</t>
        </is>
      </c>
      <c r="C76" t="inlineStr">
        <is>
          <t>0                      DC 0118000E  713</t>
        </is>
      </c>
      <c r="D76" t="inlineStr">
        <is>
          <t>St. Bartholomew's night; the massacre of Saint Bartholomew. Translated from the French by Patrick O'Brian.</t>
        </is>
      </c>
      <c r="F76" t="inlineStr">
        <is>
          <t>No</t>
        </is>
      </c>
      <c r="G76" t="inlineStr">
        <is>
          <t>1</t>
        </is>
      </c>
      <c r="H76" t="inlineStr">
        <is>
          <t>No</t>
        </is>
      </c>
      <c r="I76" t="inlineStr">
        <is>
          <t>No</t>
        </is>
      </c>
      <c r="J76" t="inlineStr">
        <is>
          <t>0</t>
        </is>
      </c>
      <c r="K76" t="inlineStr">
        <is>
          <t>Erlanger, Philippe, 1903-1987.</t>
        </is>
      </c>
      <c r="L76" t="inlineStr">
        <is>
          <t>[New York] Pantheon Books [1962]</t>
        </is>
      </c>
      <c r="M76" t="inlineStr">
        <is>
          <t>1962</t>
        </is>
      </c>
      <c r="O76" t="inlineStr">
        <is>
          <t>eng</t>
        </is>
      </c>
      <c r="P76" t="inlineStr">
        <is>
          <t>nyu</t>
        </is>
      </c>
      <c r="R76" t="inlineStr">
        <is>
          <t xml:space="preserve">DC </t>
        </is>
      </c>
      <c r="S76" t="n">
        <v>1</v>
      </c>
      <c r="T76" t="n">
        <v>1</v>
      </c>
      <c r="U76" t="inlineStr">
        <is>
          <t>2008-10-11</t>
        </is>
      </c>
      <c r="V76" t="inlineStr">
        <is>
          <t>2008-10-11</t>
        </is>
      </c>
      <c r="W76" t="inlineStr">
        <is>
          <t>1996-11-05</t>
        </is>
      </c>
      <c r="X76" t="inlineStr">
        <is>
          <t>1996-11-05</t>
        </is>
      </c>
      <c r="Y76" t="n">
        <v>428</v>
      </c>
      <c r="Z76" t="n">
        <v>409</v>
      </c>
      <c r="AA76" t="n">
        <v>409</v>
      </c>
      <c r="AB76" t="n">
        <v>4</v>
      </c>
      <c r="AC76" t="n">
        <v>4</v>
      </c>
      <c r="AD76" t="n">
        <v>25</v>
      </c>
      <c r="AE76" t="n">
        <v>25</v>
      </c>
      <c r="AF76" t="n">
        <v>11</v>
      </c>
      <c r="AG76" t="n">
        <v>11</v>
      </c>
      <c r="AH76" t="n">
        <v>6</v>
      </c>
      <c r="AI76" t="n">
        <v>6</v>
      </c>
      <c r="AJ76" t="n">
        <v>12</v>
      </c>
      <c r="AK76" t="n">
        <v>12</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HYPERLINK("https://creighton-primo.hosted.exlibrisgroup.com/primo-explore/search?tab=default_tab&amp;search_scope=EVERYTHING&amp;vid=01CRU&amp;lang=en_US&amp;offset=0&amp;query=any,contains,991002995989702656","Catalog Record")</f>
        <v/>
      </c>
      <c r="AT76">
        <f>HYPERLINK("http://www.worldcat.org/oclc/564341","WorldCat Record")</f>
        <v/>
      </c>
      <c r="AU76" t="inlineStr">
        <is>
          <t>350930586:eng</t>
        </is>
      </c>
      <c r="AV76" t="inlineStr">
        <is>
          <t>564341</t>
        </is>
      </c>
      <c r="AW76" t="inlineStr">
        <is>
          <t>991002995989702656</t>
        </is>
      </c>
      <c r="AX76" t="inlineStr">
        <is>
          <t>991002995989702656</t>
        </is>
      </c>
      <c r="AY76" t="inlineStr">
        <is>
          <t>2256782120002656</t>
        </is>
      </c>
      <c r="AZ76" t="inlineStr">
        <is>
          <t>BOOK</t>
        </is>
      </c>
      <c r="BC76" t="inlineStr">
        <is>
          <t>32285002340890</t>
        </is>
      </c>
      <c r="BD76" t="inlineStr">
        <is>
          <t>893598141</t>
        </is>
      </c>
    </row>
    <row r="77">
      <c r="A77" t="inlineStr">
        <is>
          <t>No</t>
        </is>
      </c>
      <c r="B77" t="inlineStr">
        <is>
          <t>DC118 .K56 1988</t>
        </is>
      </c>
      <c r="C77" t="inlineStr">
        <is>
          <t>0                      DC 0118000K  56          1988</t>
        </is>
      </c>
      <c r="D77" t="inlineStr">
        <is>
          <t>Myths about the St. Bartholomew's Day massacres, 1572-1576 / Robert M. Kingdon.</t>
        </is>
      </c>
      <c r="F77" t="inlineStr">
        <is>
          <t>No</t>
        </is>
      </c>
      <c r="G77" t="inlineStr">
        <is>
          <t>1</t>
        </is>
      </c>
      <c r="H77" t="inlineStr">
        <is>
          <t>No</t>
        </is>
      </c>
      <c r="I77" t="inlineStr">
        <is>
          <t>No</t>
        </is>
      </c>
      <c r="J77" t="inlineStr">
        <is>
          <t>0</t>
        </is>
      </c>
      <c r="K77" t="inlineStr">
        <is>
          <t>Kingdon, Robert M. (Robert McCune), 1927-2010.</t>
        </is>
      </c>
      <c r="L77" t="inlineStr">
        <is>
          <t>Cambridge, Mass. : Harvard University Press, 1988.</t>
        </is>
      </c>
      <c r="M77" t="inlineStr">
        <is>
          <t>1988</t>
        </is>
      </c>
      <c r="O77" t="inlineStr">
        <is>
          <t>eng</t>
        </is>
      </c>
      <c r="P77" t="inlineStr">
        <is>
          <t>mau</t>
        </is>
      </c>
      <c r="R77" t="inlineStr">
        <is>
          <t xml:space="preserve">DC </t>
        </is>
      </c>
      <c r="S77" t="n">
        <v>4</v>
      </c>
      <c r="T77" t="n">
        <v>4</v>
      </c>
      <c r="U77" t="inlineStr">
        <is>
          <t>2009-08-31</t>
        </is>
      </c>
      <c r="V77" t="inlineStr">
        <is>
          <t>2009-08-31</t>
        </is>
      </c>
      <c r="W77" t="inlineStr">
        <is>
          <t>1990-11-30</t>
        </is>
      </c>
      <c r="X77" t="inlineStr">
        <is>
          <t>1990-11-30</t>
        </is>
      </c>
      <c r="Y77" t="n">
        <v>622</v>
      </c>
      <c r="Z77" t="n">
        <v>478</v>
      </c>
      <c r="AA77" t="n">
        <v>486</v>
      </c>
      <c r="AB77" t="n">
        <v>3</v>
      </c>
      <c r="AC77" t="n">
        <v>3</v>
      </c>
      <c r="AD77" t="n">
        <v>22</v>
      </c>
      <c r="AE77" t="n">
        <v>22</v>
      </c>
      <c r="AF77" t="n">
        <v>6</v>
      </c>
      <c r="AG77" t="n">
        <v>6</v>
      </c>
      <c r="AH77" t="n">
        <v>5</v>
      </c>
      <c r="AI77" t="n">
        <v>5</v>
      </c>
      <c r="AJ77" t="n">
        <v>15</v>
      </c>
      <c r="AK77" t="n">
        <v>15</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HYPERLINK("https://creighton-primo.hosted.exlibrisgroup.com/primo-explore/search?tab=default_tab&amp;search_scope=EVERYTHING&amp;vid=01CRU&amp;lang=en_US&amp;offset=0&amp;query=any,contains,991001068519702656","Catalog Record")</f>
        <v/>
      </c>
      <c r="AT77">
        <f>HYPERLINK("http://www.worldcat.org/oclc/15856117","WorldCat Record")</f>
        <v/>
      </c>
      <c r="AU77" t="inlineStr">
        <is>
          <t>2682348:eng</t>
        </is>
      </c>
      <c r="AV77" t="inlineStr">
        <is>
          <t>15856117</t>
        </is>
      </c>
      <c r="AW77" t="inlineStr">
        <is>
          <t>991001068519702656</t>
        </is>
      </c>
      <c r="AX77" t="inlineStr">
        <is>
          <t>991001068519702656</t>
        </is>
      </c>
      <c r="AY77" t="inlineStr">
        <is>
          <t>2272353720002656</t>
        </is>
      </c>
      <c r="AZ77" t="inlineStr">
        <is>
          <t>BOOK</t>
        </is>
      </c>
      <c r="BB77" t="inlineStr">
        <is>
          <t>9780674598317</t>
        </is>
      </c>
      <c r="BC77" t="inlineStr">
        <is>
          <t>32285000393941</t>
        </is>
      </c>
      <c r="BD77" t="inlineStr">
        <is>
          <t>893708961</t>
        </is>
      </c>
    </row>
    <row r="78">
      <c r="A78" t="inlineStr">
        <is>
          <t>No</t>
        </is>
      </c>
      <c r="B78" t="inlineStr">
        <is>
          <t>DC119.8 .K64 1998</t>
        </is>
      </c>
      <c r="C78" t="inlineStr">
        <is>
          <t>0                      DC 0119800K  64          1998</t>
        </is>
      </c>
      <c r="D78" t="inlineStr">
        <is>
          <t>Catherine De' Medici / R.J. Knecht.</t>
        </is>
      </c>
      <c r="F78" t="inlineStr">
        <is>
          <t>No</t>
        </is>
      </c>
      <c r="G78" t="inlineStr">
        <is>
          <t>1</t>
        </is>
      </c>
      <c r="H78" t="inlineStr">
        <is>
          <t>No</t>
        </is>
      </c>
      <c r="I78" t="inlineStr">
        <is>
          <t>No</t>
        </is>
      </c>
      <c r="J78" t="inlineStr">
        <is>
          <t>0</t>
        </is>
      </c>
      <c r="K78" t="inlineStr">
        <is>
          <t>Knecht, R. J. (Robert Jean)</t>
        </is>
      </c>
      <c r="L78" t="inlineStr">
        <is>
          <t>London ; New York : Longman, 1998.</t>
        </is>
      </c>
      <c r="M78" t="inlineStr">
        <is>
          <t>1998</t>
        </is>
      </c>
      <c r="O78" t="inlineStr">
        <is>
          <t>eng</t>
        </is>
      </c>
      <c r="P78" t="inlineStr">
        <is>
          <t>enk</t>
        </is>
      </c>
      <c r="Q78" t="inlineStr">
        <is>
          <t>Profiles in power</t>
        </is>
      </c>
      <c r="R78" t="inlineStr">
        <is>
          <t xml:space="preserve">DC </t>
        </is>
      </c>
      <c r="S78" t="n">
        <v>6</v>
      </c>
      <c r="T78" t="n">
        <v>6</v>
      </c>
      <c r="U78" t="inlineStr">
        <is>
          <t>2002-08-13</t>
        </is>
      </c>
      <c r="V78" t="inlineStr">
        <is>
          <t>2002-08-13</t>
        </is>
      </c>
      <c r="W78" t="inlineStr">
        <is>
          <t>1998-07-22</t>
        </is>
      </c>
      <c r="X78" t="inlineStr">
        <is>
          <t>1998-07-22</t>
        </is>
      </c>
      <c r="Y78" t="n">
        <v>418</v>
      </c>
      <c r="Z78" t="n">
        <v>297</v>
      </c>
      <c r="AA78" t="n">
        <v>314</v>
      </c>
      <c r="AB78" t="n">
        <v>3</v>
      </c>
      <c r="AC78" t="n">
        <v>3</v>
      </c>
      <c r="AD78" t="n">
        <v>18</v>
      </c>
      <c r="AE78" t="n">
        <v>18</v>
      </c>
      <c r="AF78" t="n">
        <v>5</v>
      </c>
      <c r="AG78" t="n">
        <v>5</v>
      </c>
      <c r="AH78" t="n">
        <v>7</v>
      </c>
      <c r="AI78" t="n">
        <v>7</v>
      </c>
      <c r="AJ78" t="n">
        <v>11</v>
      </c>
      <c r="AK78" t="n">
        <v>11</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HYPERLINK("https://creighton-primo.hosted.exlibrisgroup.com/primo-explore/search?tab=default_tab&amp;search_scope=EVERYTHING&amp;vid=01CRU&amp;lang=en_US&amp;offset=0&amp;query=any,contains,991002847869702656","Catalog Record")</f>
        <v/>
      </c>
      <c r="AT78">
        <f>HYPERLINK("http://www.worldcat.org/oclc/37527683","WorldCat Record")</f>
        <v/>
      </c>
      <c r="AU78" t="inlineStr">
        <is>
          <t>3901264725:eng</t>
        </is>
      </c>
      <c r="AV78" t="inlineStr">
        <is>
          <t>37527683</t>
        </is>
      </c>
      <c r="AW78" t="inlineStr">
        <is>
          <t>991002847869702656</t>
        </is>
      </c>
      <c r="AX78" t="inlineStr">
        <is>
          <t>991002847869702656</t>
        </is>
      </c>
      <c r="AY78" t="inlineStr">
        <is>
          <t>2265080910002656</t>
        </is>
      </c>
      <c r="AZ78" t="inlineStr">
        <is>
          <t>BOOK</t>
        </is>
      </c>
      <c r="BB78" t="inlineStr">
        <is>
          <t>9780582082410</t>
        </is>
      </c>
      <c r="BC78" t="inlineStr">
        <is>
          <t>32285003434999</t>
        </is>
      </c>
      <c r="BD78" t="inlineStr">
        <is>
          <t>893805128</t>
        </is>
      </c>
    </row>
    <row r="79">
      <c r="A79" t="inlineStr">
        <is>
          <t>No</t>
        </is>
      </c>
      <c r="B79" t="inlineStr">
        <is>
          <t>DC120 .J4 1964</t>
        </is>
      </c>
      <c r="C79" t="inlineStr">
        <is>
          <t>0                      DC 0120000J  4           1964</t>
        </is>
      </c>
      <c r="D79" t="inlineStr">
        <is>
          <t>Diplomacy and dogmatism, Bernardino de Mendoza and the French Catholic League.</t>
        </is>
      </c>
      <c r="F79" t="inlineStr">
        <is>
          <t>No</t>
        </is>
      </c>
      <c r="G79" t="inlineStr">
        <is>
          <t>1</t>
        </is>
      </c>
      <c r="H79" t="inlineStr">
        <is>
          <t>No</t>
        </is>
      </c>
      <c r="I79" t="inlineStr">
        <is>
          <t>No</t>
        </is>
      </c>
      <c r="J79" t="inlineStr">
        <is>
          <t>0</t>
        </is>
      </c>
      <c r="K79" t="inlineStr">
        <is>
          <t>Jensen, De Lamar, 1925-</t>
        </is>
      </c>
      <c r="L79" t="inlineStr">
        <is>
          <t>Cambridge, Harvard University Press, 1964.</t>
        </is>
      </c>
      <c r="M79" t="inlineStr">
        <is>
          <t>1964</t>
        </is>
      </c>
      <c r="O79" t="inlineStr">
        <is>
          <t>eng</t>
        </is>
      </c>
      <c r="P79" t="inlineStr">
        <is>
          <t>mau</t>
        </is>
      </c>
      <c r="R79" t="inlineStr">
        <is>
          <t xml:space="preserve">DC </t>
        </is>
      </c>
      <c r="S79" t="n">
        <v>2</v>
      </c>
      <c r="T79" t="n">
        <v>2</v>
      </c>
      <c r="U79" t="inlineStr">
        <is>
          <t>1997-10-17</t>
        </is>
      </c>
      <c r="V79" t="inlineStr">
        <is>
          <t>1997-10-17</t>
        </is>
      </c>
      <c r="W79" t="inlineStr">
        <is>
          <t>1996-11-05</t>
        </is>
      </c>
      <c r="X79" t="inlineStr">
        <is>
          <t>1996-11-05</t>
        </is>
      </c>
      <c r="Y79" t="n">
        <v>509</v>
      </c>
      <c r="Z79" t="n">
        <v>419</v>
      </c>
      <c r="AA79" t="n">
        <v>433</v>
      </c>
      <c r="AB79" t="n">
        <v>4</v>
      </c>
      <c r="AC79" t="n">
        <v>4</v>
      </c>
      <c r="AD79" t="n">
        <v>30</v>
      </c>
      <c r="AE79" t="n">
        <v>30</v>
      </c>
      <c r="AF79" t="n">
        <v>9</v>
      </c>
      <c r="AG79" t="n">
        <v>9</v>
      </c>
      <c r="AH79" t="n">
        <v>8</v>
      </c>
      <c r="AI79" t="n">
        <v>8</v>
      </c>
      <c r="AJ79" t="n">
        <v>20</v>
      </c>
      <c r="AK79" t="n">
        <v>20</v>
      </c>
      <c r="AL79" t="n">
        <v>3</v>
      </c>
      <c r="AM79" t="n">
        <v>3</v>
      </c>
      <c r="AN79" t="n">
        <v>1</v>
      </c>
      <c r="AO79" t="n">
        <v>1</v>
      </c>
      <c r="AP79" t="inlineStr">
        <is>
          <t>No</t>
        </is>
      </c>
      <c r="AQ79" t="inlineStr">
        <is>
          <t>Yes</t>
        </is>
      </c>
      <c r="AR79">
        <f>HYPERLINK("http://catalog.hathitrust.org/Record/000455362","HathiTrust Record")</f>
        <v/>
      </c>
      <c r="AS79">
        <f>HYPERLINK("https://creighton-primo.hosted.exlibrisgroup.com/primo-explore/search?tab=default_tab&amp;search_scope=EVERYTHING&amp;vid=01CRU&amp;lang=en_US&amp;offset=0&amp;query=any,contains,991002711549702656","Catalog Record")</f>
        <v/>
      </c>
      <c r="AT79">
        <f>HYPERLINK("http://www.worldcat.org/oclc/409430","WorldCat Record")</f>
        <v/>
      </c>
      <c r="AU79" t="inlineStr">
        <is>
          <t>1447190:eng</t>
        </is>
      </c>
      <c r="AV79" t="inlineStr">
        <is>
          <t>409430</t>
        </is>
      </c>
      <c r="AW79" t="inlineStr">
        <is>
          <t>991002711549702656</t>
        </is>
      </c>
      <c r="AX79" t="inlineStr">
        <is>
          <t>991002711549702656</t>
        </is>
      </c>
      <c r="AY79" t="inlineStr">
        <is>
          <t>2262375260002656</t>
        </is>
      </c>
      <c r="AZ79" t="inlineStr">
        <is>
          <t>BOOK</t>
        </is>
      </c>
      <c r="BC79" t="inlineStr">
        <is>
          <t>32285002340924</t>
        </is>
      </c>
      <c r="BD79" t="inlineStr">
        <is>
          <t>893535147</t>
        </is>
      </c>
    </row>
    <row r="80">
      <c r="A80" t="inlineStr">
        <is>
          <t>No</t>
        </is>
      </c>
      <c r="B80" t="inlineStr">
        <is>
          <t>DC121 .T7 1966a</t>
        </is>
      </c>
      <c r="C80" t="inlineStr">
        <is>
          <t>0                      DC 0121000T  7           1966a</t>
        </is>
      </c>
      <c r="D80" t="inlineStr">
        <is>
          <t>Seventeenth century France / by G. R. R. Treasure.</t>
        </is>
      </c>
      <c r="F80" t="inlineStr">
        <is>
          <t>No</t>
        </is>
      </c>
      <c r="G80" t="inlineStr">
        <is>
          <t>1</t>
        </is>
      </c>
      <c r="H80" t="inlineStr">
        <is>
          <t>No</t>
        </is>
      </c>
      <c r="I80" t="inlineStr">
        <is>
          <t>No</t>
        </is>
      </c>
      <c r="J80" t="inlineStr">
        <is>
          <t>0</t>
        </is>
      </c>
      <c r="K80" t="inlineStr">
        <is>
          <t>Treasure, G. R. R. (Geoffrey Russell Richards)</t>
        </is>
      </c>
      <c r="L80" t="inlineStr">
        <is>
          <t>[New York] : Barnes &amp; Noble, [1966]</t>
        </is>
      </c>
      <c r="M80" t="inlineStr">
        <is>
          <t>1966</t>
        </is>
      </c>
      <c r="O80" t="inlineStr">
        <is>
          <t>eng</t>
        </is>
      </c>
      <c r="P80" t="inlineStr">
        <is>
          <t>nyu</t>
        </is>
      </c>
      <c r="R80" t="inlineStr">
        <is>
          <t xml:space="preserve">DC </t>
        </is>
      </c>
      <c r="S80" t="n">
        <v>7</v>
      </c>
      <c r="T80" t="n">
        <v>7</v>
      </c>
      <c r="U80" t="inlineStr">
        <is>
          <t>2000-04-25</t>
        </is>
      </c>
      <c r="V80" t="inlineStr">
        <is>
          <t>2000-04-25</t>
        </is>
      </c>
      <c r="W80" t="inlineStr">
        <is>
          <t>1992-11-18</t>
        </is>
      </c>
      <c r="X80" t="inlineStr">
        <is>
          <t>1992-11-18</t>
        </is>
      </c>
      <c r="Y80" t="n">
        <v>270</v>
      </c>
      <c r="Z80" t="n">
        <v>266</v>
      </c>
      <c r="AA80" t="n">
        <v>721</v>
      </c>
      <c r="AB80" t="n">
        <v>1</v>
      </c>
      <c r="AC80" t="n">
        <v>7</v>
      </c>
      <c r="AD80" t="n">
        <v>10</v>
      </c>
      <c r="AE80" t="n">
        <v>36</v>
      </c>
      <c r="AF80" t="n">
        <v>4</v>
      </c>
      <c r="AG80" t="n">
        <v>16</v>
      </c>
      <c r="AH80" t="n">
        <v>3</v>
      </c>
      <c r="AI80" t="n">
        <v>7</v>
      </c>
      <c r="AJ80" t="n">
        <v>8</v>
      </c>
      <c r="AK80" t="n">
        <v>18</v>
      </c>
      <c r="AL80" t="n">
        <v>0</v>
      </c>
      <c r="AM80" t="n">
        <v>6</v>
      </c>
      <c r="AN80" t="n">
        <v>0</v>
      </c>
      <c r="AO80" t="n">
        <v>0</v>
      </c>
      <c r="AP80" t="inlineStr">
        <is>
          <t>No</t>
        </is>
      </c>
      <c r="AQ80" t="inlineStr">
        <is>
          <t>No</t>
        </is>
      </c>
      <c r="AS80">
        <f>HYPERLINK("https://creighton-primo.hosted.exlibrisgroup.com/primo-explore/search?tab=default_tab&amp;search_scope=EVERYTHING&amp;vid=01CRU&amp;lang=en_US&amp;offset=0&amp;query=any,contains,991002691299702656","Catalog Record")</f>
        <v/>
      </c>
      <c r="AT80">
        <f>HYPERLINK("http://www.worldcat.org/oclc/401668","WorldCat Record")</f>
        <v/>
      </c>
      <c r="AU80" t="inlineStr">
        <is>
          <t>1418056:eng</t>
        </is>
      </c>
      <c r="AV80" t="inlineStr">
        <is>
          <t>401668</t>
        </is>
      </c>
      <c r="AW80" t="inlineStr">
        <is>
          <t>991002691299702656</t>
        </is>
      </c>
      <c r="AX80" t="inlineStr">
        <is>
          <t>991002691299702656</t>
        </is>
      </c>
      <c r="AY80" t="inlineStr">
        <is>
          <t>2268240460002656</t>
        </is>
      </c>
      <c r="AZ80" t="inlineStr">
        <is>
          <t>BOOK</t>
        </is>
      </c>
      <c r="BC80" t="inlineStr">
        <is>
          <t>32285001405850</t>
        </is>
      </c>
      <c r="BD80" t="inlineStr">
        <is>
          <t>893899083</t>
        </is>
      </c>
    </row>
    <row r="81">
      <c r="A81" t="inlineStr">
        <is>
          <t>No</t>
        </is>
      </c>
      <c r="B81" t="inlineStr">
        <is>
          <t>DC121.3 .B49213 1990</t>
        </is>
      </c>
      <c r="C81" t="inlineStr">
        <is>
          <t>0                      DC 0121300B  49213       1990</t>
        </is>
      </c>
      <c r="D81" t="inlineStr">
        <is>
          <t>History of peasant revolts : the social origins of rebellion in early modern France / Yves-Marie Bercé ; translated by Amanda Whitmore.</t>
        </is>
      </c>
      <c r="F81" t="inlineStr">
        <is>
          <t>No</t>
        </is>
      </c>
      <c r="G81" t="inlineStr">
        <is>
          <t>1</t>
        </is>
      </c>
      <c r="H81" t="inlineStr">
        <is>
          <t>No</t>
        </is>
      </c>
      <c r="I81" t="inlineStr">
        <is>
          <t>No</t>
        </is>
      </c>
      <c r="J81" t="inlineStr">
        <is>
          <t>0</t>
        </is>
      </c>
      <c r="K81" t="inlineStr">
        <is>
          <t>Bercé, Yves Marie.</t>
        </is>
      </c>
      <c r="L81" t="inlineStr">
        <is>
          <t>Ithaca, N.Y. : Cornell University Press, 1990.</t>
        </is>
      </c>
      <c r="M81" t="inlineStr">
        <is>
          <t>1990</t>
        </is>
      </c>
      <c r="O81" t="inlineStr">
        <is>
          <t>eng</t>
        </is>
      </c>
      <c r="P81" t="inlineStr">
        <is>
          <t>nyu</t>
        </is>
      </c>
      <c r="R81" t="inlineStr">
        <is>
          <t xml:space="preserve">DC </t>
        </is>
      </c>
      <c r="S81" t="n">
        <v>5</v>
      </c>
      <c r="T81" t="n">
        <v>5</v>
      </c>
      <c r="U81" t="inlineStr">
        <is>
          <t>2001-11-11</t>
        </is>
      </c>
      <c r="V81" t="inlineStr">
        <is>
          <t>2001-11-11</t>
        </is>
      </c>
      <c r="W81" t="inlineStr">
        <is>
          <t>1991-03-21</t>
        </is>
      </c>
      <c r="X81" t="inlineStr">
        <is>
          <t>1991-03-21</t>
        </is>
      </c>
      <c r="Y81" t="n">
        <v>389</v>
      </c>
      <c r="Z81" t="n">
        <v>332</v>
      </c>
      <c r="AA81" t="n">
        <v>365</v>
      </c>
      <c r="AB81" t="n">
        <v>2</v>
      </c>
      <c r="AC81" t="n">
        <v>2</v>
      </c>
      <c r="AD81" t="n">
        <v>16</v>
      </c>
      <c r="AE81" t="n">
        <v>17</v>
      </c>
      <c r="AF81" t="n">
        <v>4</v>
      </c>
      <c r="AG81" t="n">
        <v>4</v>
      </c>
      <c r="AH81" t="n">
        <v>5</v>
      </c>
      <c r="AI81" t="n">
        <v>5</v>
      </c>
      <c r="AJ81" t="n">
        <v>12</v>
      </c>
      <c r="AK81" t="n">
        <v>13</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HYPERLINK("https://creighton-primo.hosted.exlibrisgroup.com/primo-explore/search?tab=default_tab&amp;search_scope=EVERYTHING&amp;vid=01CRU&amp;lang=en_US&amp;offset=0&amp;query=any,contains,991001771329702656","Catalog Record")</f>
        <v/>
      </c>
      <c r="AT81">
        <f>HYPERLINK("http://www.worldcat.org/oclc/22363296","WorldCat Record")</f>
        <v/>
      </c>
      <c r="AU81" t="inlineStr">
        <is>
          <t>3901277300:eng</t>
        </is>
      </c>
      <c r="AV81" t="inlineStr">
        <is>
          <t>22363296</t>
        </is>
      </c>
      <c r="AW81" t="inlineStr">
        <is>
          <t>991001771329702656</t>
        </is>
      </c>
      <c r="AX81" t="inlineStr">
        <is>
          <t>991001771329702656</t>
        </is>
      </c>
      <c r="AY81" t="inlineStr">
        <is>
          <t>2270393440002656</t>
        </is>
      </c>
      <c r="AZ81" t="inlineStr">
        <is>
          <t>BOOK</t>
        </is>
      </c>
      <c r="BB81" t="inlineStr">
        <is>
          <t>9780801497759</t>
        </is>
      </c>
      <c r="BC81" t="inlineStr">
        <is>
          <t>32285000512698</t>
        </is>
      </c>
      <c r="BD81" t="inlineStr">
        <is>
          <t>893803885</t>
        </is>
      </c>
    </row>
    <row r="82">
      <c r="A82" t="inlineStr">
        <is>
          <t>No</t>
        </is>
      </c>
      <c r="B82" t="inlineStr">
        <is>
          <t>DC122.3 .M613</t>
        </is>
      </c>
      <c r="C82" t="inlineStr">
        <is>
          <t>0                      DC 0122300M  613</t>
        </is>
      </c>
      <c r="D82" t="inlineStr">
        <is>
          <t>The assassination of Henry IV; the tyrannicide problem and the consolidation of the French absolute monarchy in the early seventeenth century. Translated by Joan Spencer.</t>
        </is>
      </c>
      <c r="F82" t="inlineStr">
        <is>
          <t>No</t>
        </is>
      </c>
      <c r="G82" t="inlineStr">
        <is>
          <t>1</t>
        </is>
      </c>
      <c r="H82" t="inlineStr">
        <is>
          <t>No</t>
        </is>
      </c>
      <c r="I82" t="inlineStr">
        <is>
          <t>No</t>
        </is>
      </c>
      <c r="J82" t="inlineStr">
        <is>
          <t>0</t>
        </is>
      </c>
      <c r="K82" t="inlineStr">
        <is>
          <t>Mousnier, Roland.</t>
        </is>
      </c>
      <c r="L82" t="inlineStr">
        <is>
          <t>New York, Scribner [1973]</t>
        </is>
      </c>
      <c r="M82" t="inlineStr">
        <is>
          <t>1973</t>
        </is>
      </c>
      <c r="O82" t="inlineStr">
        <is>
          <t>eng</t>
        </is>
      </c>
      <c r="P82" t="inlineStr">
        <is>
          <t>nyu</t>
        </is>
      </c>
      <c r="R82" t="inlineStr">
        <is>
          <t xml:space="preserve">DC </t>
        </is>
      </c>
      <c r="S82" t="n">
        <v>3</v>
      </c>
      <c r="T82" t="n">
        <v>3</v>
      </c>
      <c r="U82" t="inlineStr">
        <is>
          <t>2009-04-05</t>
        </is>
      </c>
      <c r="V82" t="inlineStr">
        <is>
          <t>2009-04-05</t>
        </is>
      </c>
      <c r="W82" t="inlineStr">
        <is>
          <t>1996-11-05</t>
        </is>
      </c>
      <c r="X82" t="inlineStr">
        <is>
          <t>1996-11-05</t>
        </is>
      </c>
      <c r="Y82" t="n">
        <v>501</v>
      </c>
      <c r="Z82" t="n">
        <v>478</v>
      </c>
      <c r="AA82" t="n">
        <v>610</v>
      </c>
      <c r="AB82" t="n">
        <v>4</v>
      </c>
      <c r="AC82" t="n">
        <v>5</v>
      </c>
      <c r="AD82" t="n">
        <v>24</v>
      </c>
      <c r="AE82" t="n">
        <v>28</v>
      </c>
      <c r="AF82" t="n">
        <v>11</v>
      </c>
      <c r="AG82" t="n">
        <v>12</v>
      </c>
      <c r="AH82" t="n">
        <v>6</v>
      </c>
      <c r="AI82" t="n">
        <v>6</v>
      </c>
      <c r="AJ82" t="n">
        <v>12</v>
      </c>
      <c r="AK82" t="n">
        <v>14</v>
      </c>
      <c r="AL82" t="n">
        <v>3</v>
      </c>
      <c r="AM82" t="n">
        <v>4</v>
      </c>
      <c r="AN82" t="n">
        <v>0</v>
      </c>
      <c r="AO82" t="n">
        <v>0</v>
      </c>
      <c r="AP82" t="inlineStr">
        <is>
          <t>No</t>
        </is>
      </c>
      <c r="AQ82" t="inlineStr">
        <is>
          <t>Yes</t>
        </is>
      </c>
      <c r="AR82">
        <f>HYPERLINK("http://catalog.hathitrust.org/Record/009907534","HathiTrust Record")</f>
        <v/>
      </c>
      <c r="AS82">
        <f>HYPERLINK("https://creighton-primo.hosted.exlibrisgroup.com/primo-explore/search?tab=default_tab&amp;search_scope=EVERYTHING&amp;vid=01CRU&amp;lang=en_US&amp;offset=0&amp;query=any,contains,991003170909702656","Catalog Record")</f>
        <v/>
      </c>
      <c r="AT82">
        <f>HYPERLINK("http://www.worldcat.org/oclc/707021","WorldCat Record")</f>
        <v/>
      </c>
      <c r="AU82" t="inlineStr">
        <is>
          <t>1635116:eng</t>
        </is>
      </c>
      <c r="AV82" t="inlineStr">
        <is>
          <t>707021</t>
        </is>
      </c>
      <c r="AW82" t="inlineStr">
        <is>
          <t>991003170909702656</t>
        </is>
      </c>
      <c r="AX82" t="inlineStr">
        <is>
          <t>991003170909702656</t>
        </is>
      </c>
      <c r="AY82" t="inlineStr">
        <is>
          <t>2268966130002656</t>
        </is>
      </c>
      <c r="AZ82" t="inlineStr">
        <is>
          <t>BOOK</t>
        </is>
      </c>
      <c r="BB82" t="inlineStr">
        <is>
          <t>9780684133577</t>
        </is>
      </c>
      <c r="BC82" t="inlineStr">
        <is>
          <t>32285002340940</t>
        </is>
      </c>
      <c r="BD82" t="inlineStr">
        <is>
          <t>893868160</t>
        </is>
      </c>
    </row>
    <row r="83">
      <c r="A83" t="inlineStr">
        <is>
          <t>No</t>
        </is>
      </c>
      <c r="B83" t="inlineStr">
        <is>
          <t>DC122.8 .E7</t>
        </is>
      </c>
      <c r="C83" t="inlineStr">
        <is>
          <t>0                      DC 0122800E  7</t>
        </is>
      </c>
      <c r="D83" t="inlineStr">
        <is>
          <t>La vie quotidienne sous Henri IV.</t>
        </is>
      </c>
      <c r="F83" t="inlineStr">
        <is>
          <t>No</t>
        </is>
      </c>
      <c r="G83" t="inlineStr">
        <is>
          <t>1</t>
        </is>
      </c>
      <c r="H83" t="inlineStr">
        <is>
          <t>No</t>
        </is>
      </c>
      <c r="I83" t="inlineStr">
        <is>
          <t>No</t>
        </is>
      </c>
      <c r="J83" t="inlineStr">
        <is>
          <t>0</t>
        </is>
      </c>
      <c r="K83" t="inlineStr">
        <is>
          <t>Erlanger, Philippe, 1903-1987.</t>
        </is>
      </c>
      <c r="L83" t="inlineStr">
        <is>
          <t>[Paris] Hachette [1958]</t>
        </is>
      </c>
      <c r="M83" t="inlineStr">
        <is>
          <t>1958</t>
        </is>
      </c>
      <c r="O83" t="inlineStr">
        <is>
          <t>fre</t>
        </is>
      </c>
      <c r="P83" t="inlineStr">
        <is>
          <t xml:space="preserve">fr </t>
        </is>
      </c>
      <c r="Q83" t="inlineStr">
        <is>
          <t>La Vie quotidienne</t>
        </is>
      </c>
      <c r="R83" t="inlineStr">
        <is>
          <t xml:space="preserve">DC </t>
        </is>
      </c>
      <c r="S83" t="n">
        <v>3</v>
      </c>
      <c r="T83" t="n">
        <v>3</v>
      </c>
      <c r="U83" t="inlineStr">
        <is>
          <t>1999-11-11</t>
        </is>
      </c>
      <c r="V83" t="inlineStr">
        <is>
          <t>1999-11-11</t>
        </is>
      </c>
      <c r="W83" t="inlineStr">
        <is>
          <t>1996-11-05</t>
        </is>
      </c>
      <c r="X83" t="inlineStr">
        <is>
          <t>1996-11-05</t>
        </is>
      </c>
      <c r="Y83" t="n">
        <v>281</v>
      </c>
      <c r="Z83" t="n">
        <v>209</v>
      </c>
      <c r="AA83" t="n">
        <v>230</v>
      </c>
      <c r="AB83" t="n">
        <v>3</v>
      </c>
      <c r="AC83" t="n">
        <v>3</v>
      </c>
      <c r="AD83" t="n">
        <v>18</v>
      </c>
      <c r="AE83" t="n">
        <v>18</v>
      </c>
      <c r="AF83" t="n">
        <v>4</v>
      </c>
      <c r="AG83" t="n">
        <v>4</v>
      </c>
      <c r="AH83" t="n">
        <v>4</v>
      </c>
      <c r="AI83" t="n">
        <v>4</v>
      </c>
      <c r="AJ83" t="n">
        <v>11</v>
      </c>
      <c r="AK83" t="n">
        <v>11</v>
      </c>
      <c r="AL83" t="n">
        <v>2</v>
      </c>
      <c r="AM83" t="n">
        <v>2</v>
      </c>
      <c r="AN83" t="n">
        <v>0</v>
      </c>
      <c r="AO83" t="n">
        <v>0</v>
      </c>
      <c r="AP83" t="inlineStr">
        <is>
          <t>No</t>
        </is>
      </c>
      <c r="AQ83" t="inlineStr">
        <is>
          <t>Yes</t>
        </is>
      </c>
      <c r="AR83">
        <f>HYPERLINK("http://catalog.hathitrust.org/Record/000451640","HathiTrust Record")</f>
        <v/>
      </c>
      <c r="AS83">
        <f>HYPERLINK("https://creighton-primo.hosted.exlibrisgroup.com/primo-explore/search?tab=default_tab&amp;search_scope=EVERYTHING&amp;vid=01CRU&amp;lang=en_US&amp;offset=0&amp;query=any,contains,991003144339702656","Catalog Record")</f>
        <v/>
      </c>
      <c r="AT83">
        <f>HYPERLINK("http://www.worldcat.org/oclc/685281","WorldCat Record")</f>
        <v/>
      </c>
      <c r="AU83" t="inlineStr">
        <is>
          <t>306773431:fre</t>
        </is>
      </c>
      <c r="AV83" t="inlineStr">
        <is>
          <t>685281</t>
        </is>
      </c>
      <c r="AW83" t="inlineStr">
        <is>
          <t>991003144339702656</t>
        </is>
      </c>
      <c r="AX83" t="inlineStr">
        <is>
          <t>991003144339702656</t>
        </is>
      </c>
      <c r="AY83" t="inlineStr">
        <is>
          <t>2264356450002656</t>
        </is>
      </c>
      <c r="AZ83" t="inlineStr">
        <is>
          <t>BOOK</t>
        </is>
      </c>
      <c r="BC83" t="inlineStr">
        <is>
          <t>32285002340957</t>
        </is>
      </c>
      <c r="BD83" t="inlineStr">
        <is>
          <t>893899667</t>
        </is>
      </c>
    </row>
    <row r="84">
      <c r="A84" t="inlineStr">
        <is>
          <t>No</t>
        </is>
      </c>
      <c r="B84" t="inlineStr">
        <is>
          <t>DC122.8 .S45 1971b</t>
        </is>
      </c>
      <c r="C84" t="inlineStr">
        <is>
          <t>0                      DC 0122800S  45          1971b</t>
        </is>
      </c>
      <c r="D84" t="inlineStr">
        <is>
          <t>The first Bourbon: Henri IV, King of France and Navarre.</t>
        </is>
      </c>
      <c r="F84" t="inlineStr">
        <is>
          <t>No</t>
        </is>
      </c>
      <c r="G84" t="inlineStr">
        <is>
          <t>1</t>
        </is>
      </c>
      <c r="H84" t="inlineStr">
        <is>
          <t>No</t>
        </is>
      </c>
      <c r="I84" t="inlineStr">
        <is>
          <t>No</t>
        </is>
      </c>
      <c r="J84" t="inlineStr">
        <is>
          <t>0</t>
        </is>
      </c>
      <c r="K84" t="inlineStr">
        <is>
          <t>Seward, Desmond, 1935-</t>
        </is>
      </c>
      <c r="L84" t="inlineStr">
        <is>
          <t>Boston, Gambit, 1971.</t>
        </is>
      </c>
      <c r="M84" t="inlineStr">
        <is>
          <t>1971</t>
        </is>
      </c>
      <c r="O84" t="inlineStr">
        <is>
          <t>eng</t>
        </is>
      </c>
      <c r="P84" t="inlineStr">
        <is>
          <t>mau</t>
        </is>
      </c>
      <c r="R84" t="inlineStr">
        <is>
          <t xml:space="preserve">DC </t>
        </is>
      </c>
      <c r="S84" t="n">
        <v>1</v>
      </c>
      <c r="T84" t="n">
        <v>1</v>
      </c>
      <c r="U84" t="inlineStr">
        <is>
          <t>2001-08-24</t>
        </is>
      </c>
      <c r="V84" t="inlineStr">
        <is>
          <t>2001-08-24</t>
        </is>
      </c>
      <c r="W84" t="inlineStr">
        <is>
          <t>1996-11-05</t>
        </is>
      </c>
      <c r="X84" t="inlineStr">
        <is>
          <t>1996-11-05</t>
        </is>
      </c>
      <c r="Y84" t="n">
        <v>448</v>
      </c>
      <c r="Z84" t="n">
        <v>429</v>
      </c>
      <c r="AA84" t="n">
        <v>556</v>
      </c>
      <c r="AB84" t="n">
        <v>3</v>
      </c>
      <c r="AC84" t="n">
        <v>4</v>
      </c>
      <c r="AD84" t="n">
        <v>14</v>
      </c>
      <c r="AE84" t="n">
        <v>20</v>
      </c>
      <c r="AF84" t="n">
        <v>4</v>
      </c>
      <c r="AG84" t="n">
        <v>4</v>
      </c>
      <c r="AH84" t="n">
        <v>6</v>
      </c>
      <c r="AI84" t="n">
        <v>7</v>
      </c>
      <c r="AJ84" t="n">
        <v>7</v>
      </c>
      <c r="AK84" t="n">
        <v>12</v>
      </c>
      <c r="AL84" t="n">
        <v>2</v>
      </c>
      <c r="AM84" t="n">
        <v>3</v>
      </c>
      <c r="AN84" t="n">
        <v>0</v>
      </c>
      <c r="AO84" t="n">
        <v>0</v>
      </c>
      <c r="AP84" t="inlineStr">
        <is>
          <t>No</t>
        </is>
      </c>
      <c r="AQ84" t="inlineStr">
        <is>
          <t>No</t>
        </is>
      </c>
      <c r="AS84">
        <f>HYPERLINK("https://creighton-primo.hosted.exlibrisgroup.com/primo-explore/search?tab=default_tab&amp;search_scope=EVERYTHING&amp;vid=01CRU&amp;lang=en_US&amp;offset=0&amp;query=any,contains,991001168359702656","Catalog Record")</f>
        <v/>
      </c>
      <c r="AT84">
        <f>HYPERLINK("http://www.worldcat.org/oclc/187558","WorldCat Record")</f>
        <v/>
      </c>
      <c r="AU84" t="inlineStr">
        <is>
          <t>1340044:eng</t>
        </is>
      </c>
      <c r="AV84" t="inlineStr">
        <is>
          <t>187558</t>
        </is>
      </c>
      <c r="AW84" t="inlineStr">
        <is>
          <t>991001168359702656</t>
        </is>
      </c>
      <c r="AX84" t="inlineStr">
        <is>
          <t>991001168359702656</t>
        </is>
      </c>
      <c r="AY84" t="inlineStr">
        <is>
          <t>2265361990002656</t>
        </is>
      </c>
      <c r="AZ84" t="inlineStr">
        <is>
          <t>BOOK</t>
        </is>
      </c>
      <c r="BB84" t="inlineStr">
        <is>
          <t>9780876450512</t>
        </is>
      </c>
      <c r="BC84" t="inlineStr">
        <is>
          <t>32285002340999</t>
        </is>
      </c>
      <c r="BD84" t="inlineStr">
        <is>
          <t>893602379</t>
        </is>
      </c>
    </row>
    <row r="85">
      <c r="A85" t="inlineStr">
        <is>
          <t>No</t>
        </is>
      </c>
      <c r="B85" t="inlineStr">
        <is>
          <t>DC122.9.M6 P3 1969</t>
        </is>
      </c>
      <c r="C85" t="inlineStr">
        <is>
          <t>0                      DC 0122900M  6                  P  3           1969</t>
        </is>
      </c>
      <c r="D85" t="inlineStr">
        <is>
          <t>Politics and religion in sixteenth-century France; a study of the career of Henry of Montmorency-Damville, uncrowned king of the South.</t>
        </is>
      </c>
      <c r="F85" t="inlineStr">
        <is>
          <t>No</t>
        </is>
      </c>
      <c r="G85" t="inlineStr">
        <is>
          <t>1</t>
        </is>
      </c>
      <c r="H85" t="inlineStr">
        <is>
          <t>No</t>
        </is>
      </c>
      <c r="I85" t="inlineStr">
        <is>
          <t>No</t>
        </is>
      </c>
      <c r="J85" t="inlineStr">
        <is>
          <t>0</t>
        </is>
      </c>
      <c r="K85" t="inlineStr">
        <is>
          <t>Palm, Franklin Charles, 1890-1973.</t>
        </is>
      </c>
      <c r="L85" t="inlineStr">
        <is>
          <t>Gloucester, Mass., P. Smith, 1969 [c1927]</t>
        </is>
      </c>
      <c r="M85" t="inlineStr">
        <is>
          <t>1969</t>
        </is>
      </c>
      <c r="O85" t="inlineStr">
        <is>
          <t>eng</t>
        </is>
      </c>
      <c r="P85" t="inlineStr">
        <is>
          <t>mau</t>
        </is>
      </c>
      <c r="R85" t="inlineStr">
        <is>
          <t xml:space="preserve">DC </t>
        </is>
      </c>
      <c r="S85" t="n">
        <v>8</v>
      </c>
      <c r="T85" t="n">
        <v>8</v>
      </c>
      <c r="U85" t="inlineStr">
        <is>
          <t>2000-04-25</t>
        </is>
      </c>
      <c r="V85" t="inlineStr">
        <is>
          <t>2000-04-25</t>
        </is>
      </c>
      <c r="W85" t="inlineStr">
        <is>
          <t>1996-11-05</t>
        </is>
      </c>
      <c r="X85" t="inlineStr">
        <is>
          <t>1996-11-05</t>
        </is>
      </c>
      <c r="Y85" t="n">
        <v>192</v>
      </c>
      <c r="Z85" t="n">
        <v>168</v>
      </c>
      <c r="AA85" t="n">
        <v>352</v>
      </c>
      <c r="AB85" t="n">
        <v>2</v>
      </c>
      <c r="AC85" t="n">
        <v>3</v>
      </c>
      <c r="AD85" t="n">
        <v>6</v>
      </c>
      <c r="AE85" t="n">
        <v>20</v>
      </c>
      <c r="AF85" t="n">
        <v>3</v>
      </c>
      <c r="AG85" t="n">
        <v>6</v>
      </c>
      <c r="AH85" t="n">
        <v>3</v>
      </c>
      <c r="AI85" t="n">
        <v>5</v>
      </c>
      <c r="AJ85" t="n">
        <v>1</v>
      </c>
      <c r="AK85" t="n">
        <v>11</v>
      </c>
      <c r="AL85" t="n">
        <v>1</v>
      </c>
      <c r="AM85" t="n">
        <v>2</v>
      </c>
      <c r="AN85" t="n">
        <v>0</v>
      </c>
      <c r="AO85" t="n">
        <v>0</v>
      </c>
      <c r="AP85" t="inlineStr">
        <is>
          <t>No</t>
        </is>
      </c>
      <c r="AQ85" t="inlineStr">
        <is>
          <t>No</t>
        </is>
      </c>
      <c r="AS85">
        <f>HYPERLINK("https://creighton-primo.hosted.exlibrisgroup.com/primo-explore/search?tab=default_tab&amp;search_scope=EVERYTHING&amp;vid=01CRU&amp;lang=en_US&amp;offset=0&amp;query=any,contains,991000205739702656","Catalog Record")</f>
        <v/>
      </c>
      <c r="AT85">
        <f>HYPERLINK("http://www.worldcat.org/oclc/64996","WorldCat Record")</f>
        <v/>
      </c>
      <c r="AU85" t="inlineStr">
        <is>
          <t>1229601:eng</t>
        </is>
      </c>
      <c r="AV85" t="inlineStr">
        <is>
          <t>64996</t>
        </is>
      </c>
      <c r="AW85" t="inlineStr">
        <is>
          <t>991000205739702656</t>
        </is>
      </c>
      <c r="AX85" t="inlineStr">
        <is>
          <t>991000205739702656</t>
        </is>
      </c>
      <c r="AY85" t="inlineStr">
        <is>
          <t>2255584350002656</t>
        </is>
      </c>
      <c r="AZ85" t="inlineStr">
        <is>
          <t>BOOK</t>
        </is>
      </c>
      <c r="BC85" t="inlineStr">
        <is>
          <t>32285002341013</t>
        </is>
      </c>
      <c r="BD85" t="inlineStr">
        <is>
          <t>893714406</t>
        </is>
      </c>
    </row>
    <row r="86">
      <c r="A86" t="inlineStr">
        <is>
          <t>No</t>
        </is>
      </c>
      <c r="B86" t="inlineStr">
        <is>
          <t>DC122.9.S9 B8</t>
        </is>
      </c>
      <c r="C86" t="inlineStr">
        <is>
          <t>0                      DC 0122900S  9                  B  8</t>
        </is>
      </c>
      <c r="D86" t="inlineStr">
        <is>
          <t>Sully and the growth of centralized government in France, 1598-1610.</t>
        </is>
      </c>
      <c r="F86" t="inlineStr">
        <is>
          <t>No</t>
        </is>
      </c>
      <c r="G86" t="inlineStr">
        <is>
          <t>1</t>
        </is>
      </c>
      <c r="H86" t="inlineStr">
        <is>
          <t>No</t>
        </is>
      </c>
      <c r="I86" t="inlineStr">
        <is>
          <t>No</t>
        </is>
      </c>
      <c r="J86" t="inlineStr">
        <is>
          <t>0</t>
        </is>
      </c>
      <c r="K86" t="inlineStr">
        <is>
          <t>Buisseret, David.</t>
        </is>
      </c>
      <c r="L86" t="inlineStr">
        <is>
          <t>London, Eyre &amp; Spottiswoode, 1968.</t>
        </is>
      </c>
      <c r="M86" t="inlineStr">
        <is>
          <t>1968</t>
        </is>
      </c>
      <c r="O86" t="inlineStr">
        <is>
          <t>eng</t>
        </is>
      </c>
      <c r="P86" t="inlineStr">
        <is>
          <t>enk</t>
        </is>
      </c>
      <c r="R86" t="inlineStr">
        <is>
          <t xml:space="preserve">DC </t>
        </is>
      </c>
      <c r="S86" t="n">
        <v>3</v>
      </c>
      <c r="T86" t="n">
        <v>3</v>
      </c>
      <c r="U86" t="inlineStr">
        <is>
          <t>1999-08-09</t>
        </is>
      </c>
      <c r="V86" t="inlineStr">
        <is>
          <t>1999-08-09</t>
        </is>
      </c>
      <c r="W86" t="inlineStr">
        <is>
          <t>1999-03-25</t>
        </is>
      </c>
      <c r="X86" t="inlineStr">
        <is>
          <t>1999-03-25</t>
        </is>
      </c>
      <c r="Y86" t="n">
        <v>553</v>
      </c>
      <c r="Z86" t="n">
        <v>421</v>
      </c>
      <c r="AA86" t="n">
        <v>427</v>
      </c>
      <c r="AB86" t="n">
        <v>3</v>
      </c>
      <c r="AC86" t="n">
        <v>3</v>
      </c>
      <c r="AD86" t="n">
        <v>19</v>
      </c>
      <c r="AE86" t="n">
        <v>19</v>
      </c>
      <c r="AF86" t="n">
        <v>7</v>
      </c>
      <c r="AG86" t="n">
        <v>7</v>
      </c>
      <c r="AH86" t="n">
        <v>7</v>
      </c>
      <c r="AI86" t="n">
        <v>7</v>
      </c>
      <c r="AJ86" t="n">
        <v>12</v>
      </c>
      <c r="AK86" t="n">
        <v>12</v>
      </c>
      <c r="AL86" t="n">
        <v>2</v>
      </c>
      <c r="AM86" t="n">
        <v>2</v>
      </c>
      <c r="AN86" t="n">
        <v>0</v>
      </c>
      <c r="AO86" t="n">
        <v>0</v>
      </c>
      <c r="AP86" t="inlineStr">
        <is>
          <t>No</t>
        </is>
      </c>
      <c r="AQ86" t="inlineStr">
        <is>
          <t>Yes</t>
        </is>
      </c>
      <c r="AR86">
        <f>HYPERLINK("http://catalog.hathitrust.org/Record/000456730","HathiTrust Record")</f>
        <v/>
      </c>
      <c r="AS86">
        <f>HYPERLINK("https://creighton-primo.hosted.exlibrisgroup.com/primo-explore/search?tab=default_tab&amp;search_scope=EVERYTHING&amp;vid=01CRU&amp;lang=en_US&amp;offset=0&amp;query=any,contains,991002815349702656","Catalog Record")</f>
        <v/>
      </c>
      <c r="AT86">
        <f>HYPERLINK("http://www.worldcat.org/oclc/458292","WorldCat Record")</f>
        <v/>
      </c>
      <c r="AU86" t="inlineStr">
        <is>
          <t>1478352:eng</t>
        </is>
      </c>
      <c r="AV86" t="inlineStr">
        <is>
          <t>458292</t>
        </is>
      </c>
      <c r="AW86" t="inlineStr">
        <is>
          <t>991002815349702656</t>
        </is>
      </c>
      <c r="AX86" t="inlineStr">
        <is>
          <t>991002815349702656</t>
        </is>
      </c>
      <c r="AY86" t="inlineStr">
        <is>
          <t>2265760770002656</t>
        </is>
      </c>
      <c r="AZ86" t="inlineStr">
        <is>
          <t>BOOK</t>
        </is>
      </c>
      <c r="BC86" t="inlineStr">
        <is>
          <t>32285002341021</t>
        </is>
      </c>
      <c r="BD86" t="inlineStr">
        <is>
          <t>893716952</t>
        </is>
      </c>
    </row>
    <row r="87">
      <c r="A87" t="inlineStr">
        <is>
          <t>No</t>
        </is>
      </c>
      <c r="B87" t="inlineStr">
        <is>
          <t>DC123 .L5813</t>
        </is>
      </c>
      <c r="C87" t="inlineStr">
        <is>
          <t>0                      DC 0123000L  5813</t>
        </is>
      </c>
      <c r="D87" t="inlineStr">
        <is>
          <t>French absolutism: the crucial phase 1620-1629 [by] A. D. Lublinskaya; translated [from the Russian] by Brian Pearce, with a foreword by J. H. Elliot.</t>
        </is>
      </c>
      <c r="F87" t="inlineStr">
        <is>
          <t>No</t>
        </is>
      </c>
      <c r="G87" t="inlineStr">
        <is>
          <t>1</t>
        </is>
      </c>
      <c r="H87" t="inlineStr">
        <is>
          <t>No</t>
        </is>
      </c>
      <c r="I87" t="inlineStr">
        <is>
          <t>No</t>
        </is>
      </c>
      <c r="J87" t="inlineStr">
        <is>
          <t>0</t>
        </is>
      </c>
      <c r="K87" t="inlineStr">
        <is>
          <t>Li͡ublinskai͡a, A. D. (Aleksandra Dmitrievna)</t>
        </is>
      </c>
      <c r="L87" t="inlineStr">
        <is>
          <t>London, Cambridge U.P., 1968.</t>
        </is>
      </c>
      <c r="M87" t="inlineStr">
        <is>
          <t>1968</t>
        </is>
      </c>
      <c r="O87" t="inlineStr">
        <is>
          <t>eng</t>
        </is>
      </c>
      <c r="P87" t="inlineStr">
        <is>
          <t>enk</t>
        </is>
      </c>
      <c r="R87" t="inlineStr">
        <is>
          <t xml:space="preserve">DC </t>
        </is>
      </c>
      <c r="S87" t="n">
        <v>27</v>
      </c>
      <c r="T87" t="n">
        <v>27</v>
      </c>
      <c r="U87" t="inlineStr">
        <is>
          <t>2002-08-03</t>
        </is>
      </c>
      <c r="V87" t="inlineStr">
        <is>
          <t>2002-08-03</t>
        </is>
      </c>
      <c r="W87" t="inlineStr">
        <is>
          <t>1996-11-05</t>
        </is>
      </c>
      <c r="X87" t="inlineStr">
        <is>
          <t>1996-11-05</t>
        </is>
      </c>
      <c r="Y87" t="n">
        <v>765</v>
      </c>
      <c r="Z87" t="n">
        <v>625</v>
      </c>
      <c r="AA87" t="n">
        <v>637</v>
      </c>
      <c r="AB87" t="n">
        <v>4</v>
      </c>
      <c r="AC87" t="n">
        <v>4</v>
      </c>
      <c r="AD87" t="n">
        <v>33</v>
      </c>
      <c r="AE87" t="n">
        <v>33</v>
      </c>
      <c r="AF87" t="n">
        <v>13</v>
      </c>
      <c r="AG87" t="n">
        <v>13</v>
      </c>
      <c r="AH87" t="n">
        <v>7</v>
      </c>
      <c r="AI87" t="n">
        <v>7</v>
      </c>
      <c r="AJ87" t="n">
        <v>18</v>
      </c>
      <c r="AK87" t="n">
        <v>18</v>
      </c>
      <c r="AL87" t="n">
        <v>3</v>
      </c>
      <c r="AM87" t="n">
        <v>3</v>
      </c>
      <c r="AN87" t="n">
        <v>0</v>
      </c>
      <c r="AO87" t="n">
        <v>0</v>
      </c>
      <c r="AP87" t="inlineStr">
        <is>
          <t>No</t>
        </is>
      </c>
      <c r="AQ87" t="inlineStr">
        <is>
          <t>No</t>
        </is>
      </c>
      <c r="AS87">
        <f>HYPERLINK("https://creighton-primo.hosted.exlibrisgroup.com/primo-explore/search?tab=default_tab&amp;search_scope=EVERYTHING&amp;vid=01CRU&amp;lang=en_US&amp;offset=0&amp;query=any,contains,991002691349702656","Catalog Record")</f>
        <v/>
      </c>
      <c r="AT87">
        <f>HYPERLINK("http://www.worldcat.org/oclc/401677","WorldCat Record")</f>
        <v/>
      </c>
      <c r="AU87" t="inlineStr">
        <is>
          <t>47995184:eng</t>
        </is>
      </c>
      <c r="AV87" t="inlineStr">
        <is>
          <t>401677</t>
        </is>
      </c>
      <c r="AW87" t="inlineStr">
        <is>
          <t>991002691349702656</t>
        </is>
      </c>
      <c r="AX87" t="inlineStr">
        <is>
          <t>991002691349702656</t>
        </is>
      </c>
      <c r="AY87" t="inlineStr">
        <is>
          <t>2268244550002656</t>
        </is>
      </c>
      <c r="AZ87" t="inlineStr">
        <is>
          <t>BOOK</t>
        </is>
      </c>
      <c r="BB87" t="inlineStr">
        <is>
          <t>9780521071178</t>
        </is>
      </c>
      <c r="BC87" t="inlineStr">
        <is>
          <t>32285002341039</t>
        </is>
      </c>
      <c r="BD87" t="inlineStr">
        <is>
          <t>893257589</t>
        </is>
      </c>
    </row>
    <row r="88">
      <c r="A88" t="inlineStr">
        <is>
          <t>No</t>
        </is>
      </c>
      <c r="B88" t="inlineStr">
        <is>
          <t>DC123 .T313 1975</t>
        </is>
      </c>
      <c r="C88" t="inlineStr">
        <is>
          <t>0                      DC 0123000T  313         1975</t>
        </is>
      </c>
      <c r="D88" t="inlineStr">
        <is>
          <t>France in the age of Louis XIII and Richelieu [by] Victor-L. Tapié. Translated and edited by D. McN. Lockie. With a foreword by A. G. Dickens.</t>
        </is>
      </c>
      <c r="F88" t="inlineStr">
        <is>
          <t>No</t>
        </is>
      </c>
      <c r="G88" t="inlineStr">
        <is>
          <t>1</t>
        </is>
      </c>
      <c r="H88" t="inlineStr">
        <is>
          <t>No</t>
        </is>
      </c>
      <c r="I88" t="inlineStr">
        <is>
          <t>No</t>
        </is>
      </c>
      <c r="J88" t="inlineStr">
        <is>
          <t>0</t>
        </is>
      </c>
      <c r="K88" t="inlineStr">
        <is>
          <t>Tapié, Victor Lucien, 1900-1974.</t>
        </is>
      </c>
      <c r="L88" t="inlineStr">
        <is>
          <t>New York, Praeger [1975]</t>
        </is>
      </c>
      <c r="M88" t="inlineStr">
        <is>
          <t>1975</t>
        </is>
      </c>
      <c r="O88" t="inlineStr">
        <is>
          <t>eng</t>
        </is>
      </c>
      <c r="P88" t="inlineStr">
        <is>
          <t>nyu</t>
        </is>
      </c>
      <c r="R88" t="inlineStr">
        <is>
          <t xml:space="preserve">DC </t>
        </is>
      </c>
      <c r="S88" t="n">
        <v>4</v>
      </c>
      <c r="T88" t="n">
        <v>4</v>
      </c>
      <c r="U88" t="inlineStr">
        <is>
          <t>2001-04-04</t>
        </is>
      </c>
      <c r="V88" t="inlineStr">
        <is>
          <t>2001-04-04</t>
        </is>
      </c>
      <c r="W88" t="inlineStr">
        <is>
          <t>1996-11-05</t>
        </is>
      </c>
      <c r="X88" t="inlineStr">
        <is>
          <t>1996-11-05</t>
        </is>
      </c>
      <c r="Y88" t="n">
        <v>866</v>
      </c>
      <c r="Z88" t="n">
        <v>825</v>
      </c>
      <c r="AA88" t="n">
        <v>1025</v>
      </c>
      <c r="AB88" t="n">
        <v>4</v>
      </c>
      <c r="AC88" t="n">
        <v>5</v>
      </c>
      <c r="AD88" t="n">
        <v>30</v>
      </c>
      <c r="AE88" t="n">
        <v>37</v>
      </c>
      <c r="AF88" t="n">
        <v>9</v>
      </c>
      <c r="AG88" t="n">
        <v>13</v>
      </c>
      <c r="AH88" t="n">
        <v>10</v>
      </c>
      <c r="AI88" t="n">
        <v>10</v>
      </c>
      <c r="AJ88" t="n">
        <v>16</v>
      </c>
      <c r="AK88" t="n">
        <v>21</v>
      </c>
      <c r="AL88" t="n">
        <v>3</v>
      </c>
      <c r="AM88" t="n">
        <v>4</v>
      </c>
      <c r="AN88" t="n">
        <v>1</v>
      </c>
      <c r="AO88" t="n">
        <v>1</v>
      </c>
      <c r="AP88" t="inlineStr">
        <is>
          <t>No</t>
        </is>
      </c>
      <c r="AQ88" t="inlineStr">
        <is>
          <t>Yes</t>
        </is>
      </c>
      <c r="AR88">
        <f>HYPERLINK("http://catalog.hathitrust.org/Record/000014566","HathiTrust Record")</f>
        <v/>
      </c>
      <c r="AS88">
        <f>HYPERLINK("https://creighton-primo.hosted.exlibrisgroup.com/primo-explore/search?tab=default_tab&amp;search_scope=EVERYTHING&amp;vid=01CRU&amp;lang=en_US&amp;offset=0&amp;query=any,contains,991003378699702656","Catalog Record")</f>
        <v/>
      </c>
      <c r="AT88">
        <f>HYPERLINK("http://www.worldcat.org/oclc/914891","WorldCat Record")</f>
        <v/>
      </c>
      <c r="AU88" t="inlineStr">
        <is>
          <t>1855496:eng</t>
        </is>
      </c>
      <c r="AV88" t="inlineStr">
        <is>
          <t>914891</t>
        </is>
      </c>
      <c r="AW88" t="inlineStr">
        <is>
          <t>991003378699702656</t>
        </is>
      </c>
      <c r="AX88" t="inlineStr">
        <is>
          <t>991003378699702656</t>
        </is>
      </c>
      <c r="AY88" t="inlineStr">
        <is>
          <t>2262706630002656</t>
        </is>
      </c>
      <c r="AZ88" t="inlineStr">
        <is>
          <t>BOOK</t>
        </is>
      </c>
      <c r="BB88" t="inlineStr">
        <is>
          <t>9780275525309</t>
        </is>
      </c>
      <c r="BC88" t="inlineStr">
        <is>
          <t>32285002341047</t>
        </is>
      </c>
      <c r="BD88" t="inlineStr">
        <is>
          <t>893518433</t>
        </is>
      </c>
    </row>
    <row r="89">
      <c r="A89" t="inlineStr">
        <is>
          <t>No</t>
        </is>
      </c>
      <c r="B89" t="inlineStr">
        <is>
          <t>DC123.3 .R3 1963</t>
        </is>
      </c>
      <c r="C89" t="inlineStr">
        <is>
          <t>0                      DC 0123300R  3           1963</t>
        </is>
      </c>
      <c r="D89" t="inlineStr">
        <is>
          <t>Richelieu and the councillors of Louis XIII; a study of the secretaries of state and superintendents of finance in the ministry of Richelieu, 1635-1642.</t>
        </is>
      </c>
      <c r="F89" t="inlineStr">
        <is>
          <t>No</t>
        </is>
      </c>
      <c r="G89" t="inlineStr">
        <is>
          <t>1</t>
        </is>
      </c>
      <c r="H89" t="inlineStr">
        <is>
          <t>No</t>
        </is>
      </c>
      <c r="I89" t="inlineStr">
        <is>
          <t>No</t>
        </is>
      </c>
      <c r="J89" t="inlineStr">
        <is>
          <t>0</t>
        </is>
      </c>
      <c r="K89" t="inlineStr">
        <is>
          <t>Ranum, Orest A.</t>
        </is>
      </c>
      <c r="L89" t="inlineStr">
        <is>
          <t>Oxford [Eng.] Clarendon Press, 1963.</t>
        </is>
      </c>
      <c r="M89" t="inlineStr">
        <is>
          <t>1963</t>
        </is>
      </c>
      <c r="O89" t="inlineStr">
        <is>
          <t>eng</t>
        </is>
      </c>
      <c r="P89" t="inlineStr">
        <is>
          <t>enk</t>
        </is>
      </c>
      <c r="R89" t="inlineStr">
        <is>
          <t xml:space="preserve">DC </t>
        </is>
      </c>
      <c r="S89" t="n">
        <v>1</v>
      </c>
      <c r="T89" t="n">
        <v>1</v>
      </c>
      <c r="U89" t="inlineStr">
        <is>
          <t>2000-11-21</t>
        </is>
      </c>
      <c r="V89" t="inlineStr">
        <is>
          <t>2000-11-21</t>
        </is>
      </c>
      <c r="W89" t="inlineStr">
        <is>
          <t>1996-11-05</t>
        </is>
      </c>
      <c r="X89" t="inlineStr">
        <is>
          <t>1996-11-05</t>
        </is>
      </c>
      <c r="Y89" t="n">
        <v>639</v>
      </c>
      <c r="Z89" t="n">
        <v>514</v>
      </c>
      <c r="AA89" t="n">
        <v>572</v>
      </c>
      <c r="AB89" t="n">
        <v>6</v>
      </c>
      <c r="AC89" t="n">
        <v>6</v>
      </c>
      <c r="AD89" t="n">
        <v>31</v>
      </c>
      <c r="AE89" t="n">
        <v>32</v>
      </c>
      <c r="AF89" t="n">
        <v>11</v>
      </c>
      <c r="AG89" t="n">
        <v>11</v>
      </c>
      <c r="AH89" t="n">
        <v>6</v>
      </c>
      <c r="AI89" t="n">
        <v>7</v>
      </c>
      <c r="AJ89" t="n">
        <v>19</v>
      </c>
      <c r="AK89" t="n">
        <v>19</v>
      </c>
      <c r="AL89" t="n">
        <v>5</v>
      </c>
      <c r="AM89" t="n">
        <v>5</v>
      </c>
      <c r="AN89" t="n">
        <v>0</v>
      </c>
      <c r="AO89" t="n">
        <v>0</v>
      </c>
      <c r="AP89" t="inlineStr">
        <is>
          <t>No</t>
        </is>
      </c>
      <c r="AQ89" t="inlineStr">
        <is>
          <t>Yes</t>
        </is>
      </c>
      <c r="AR89">
        <f>HYPERLINK("http://catalog.hathitrust.org/Record/000456873","HathiTrust Record")</f>
        <v/>
      </c>
      <c r="AS89">
        <f>HYPERLINK("https://creighton-primo.hosted.exlibrisgroup.com/primo-explore/search?tab=default_tab&amp;search_scope=EVERYTHING&amp;vid=01CRU&amp;lang=en_US&amp;offset=0&amp;query=any,contains,991003303489702656","Catalog Record")</f>
        <v/>
      </c>
      <c r="AT89">
        <f>HYPERLINK("http://www.worldcat.org/oclc/826617","WorldCat Record")</f>
        <v/>
      </c>
      <c r="AU89" t="inlineStr">
        <is>
          <t>836671338:eng</t>
        </is>
      </c>
      <c r="AV89" t="inlineStr">
        <is>
          <t>826617</t>
        </is>
      </c>
      <c r="AW89" t="inlineStr">
        <is>
          <t>991003303489702656</t>
        </is>
      </c>
      <c r="AX89" t="inlineStr">
        <is>
          <t>991003303489702656</t>
        </is>
      </c>
      <c r="AY89" t="inlineStr">
        <is>
          <t>2267649950002656</t>
        </is>
      </c>
      <c r="AZ89" t="inlineStr">
        <is>
          <t>BOOK</t>
        </is>
      </c>
      <c r="BC89" t="inlineStr">
        <is>
          <t>32285002341054</t>
        </is>
      </c>
      <c r="BD89" t="inlineStr">
        <is>
          <t>893893587</t>
        </is>
      </c>
    </row>
    <row r="90">
      <c r="A90" t="inlineStr">
        <is>
          <t>No</t>
        </is>
      </c>
      <c r="B90" t="inlineStr">
        <is>
          <t>DC123.9.L5 H8</t>
        </is>
      </c>
      <c r="C90" t="inlineStr">
        <is>
          <t>0                      DC 0123900L  5                  H  8</t>
        </is>
      </c>
      <c r="D90" t="inlineStr">
        <is>
          <t>Grey eminence; a study in religion and politics, by Aldous Huxley.</t>
        </is>
      </c>
      <c r="F90" t="inlineStr">
        <is>
          <t>No</t>
        </is>
      </c>
      <c r="G90" t="inlineStr">
        <is>
          <t>1</t>
        </is>
      </c>
      <c r="H90" t="inlineStr">
        <is>
          <t>No</t>
        </is>
      </c>
      <c r="I90" t="inlineStr">
        <is>
          <t>No</t>
        </is>
      </c>
      <c r="J90" t="inlineStr">
        <is>
          <t>0</t>
        </is>
      </c>
      <c r="K90" t="inlineStr">
        <is>
          <t>Huxley, Aldous, 1894-1963.</t>
        </is>
      </c>
      <c r="L90" t="inlineStr">
        <is>
          <t>London, Chatto &amp; Windus, 1941.</t>
        </is>
      </c>
      <c r="M90" t="inlineStr">
        <is>
          <t>1941</t>
        </is>
      </c>
      <c r="O90" t="inlineStr">
        <is>
          <t>eng</t>
        </is>
      </c>
      <c r="P90" t="inlineStr">
        <is>
          <t>enk</t>
        </is>
      </c>
      <c r="R90" t="inlineStr">
        <is>
          <t xml:space="preserve">DC </t>
        </is>
      </c>
      <c r="S90" t="n">
        <v>3</v>
      </c>
      <c r="T90" t="n">
        <v>3</v>
      </c>
      <c r="U90" t="inlineStr">
        <is>
          <t>2003-04-04</t>
        </is>
      </c>
      <c r="V90" t="inlineStr">
        <is>
          <t>2003-04-04</t>
        </is>
      </c>
      <c r="W90" t="inlineStr">
        <is>
          <t>1996-11-05</t>
        </is>
      </c>
      <c r="X90" t="inlineStr">
        <is>
          <t>1996-11-05</t>
        </is>
      </c>
      <c r="Y90" t="n">
        <v>204</v>
      </c>
      <c r="Z90" t="n">
        <v>121</v>
      </c>
      <c r="AA90" t="n">
        <v>674</v>
      </c>
      <c r="AB90" t="n">
        <v>1</v>
      </c>
      <c r="AC90" t="n">
        <v>4</v>
      </c>
      <c r="AD90" t="n">
        <v>3</v>
      </c>
      <c r="AE90" t="n">
        <v>32</v>
      </c>
      <c r="AF90" t="n">
        <v>2</v>
      </c>
      <c r="AG90" t="n">
        <v>14</v>
      </c>
      <c r="AH90" t="n">
        <v>0</v>
      </c>
      <c r="AI90" t="n">
        <v>6</v>
      </c>
      <c r="AJ90" t="n">
        <v>2</v>
      </c>
      <c r="AK90" t="n">
        <v>21</v>
      </c>
      <c r="AL90" t="n">
        <v>0</v>
      </c>
      <c r="AM90" t="n">
        <v>2</v>
      </c>
      <c r="AN90" t="n">
        <v>0</v>
      </c>
      <c r="AO90" t="n">
        <v>0</v>
      </c>
      <c r="AP90" t="inlineStr">
        <is>
          <t>No</t>
        </is>
      </c>
      <c r="AQ90" t="inlineStr">
        <is>
          <t>Yes</t>
        </is>
      </c>
      <c r="AR90">
        <f>HYPERLINK("http://catalog.hathitrust.org/Record/102178651","HathiTrust Record")</f>
        <v/>
      </c>
      <c r="AS90">
        <f>HYPERLINK("https://creighton-primo.hosted.exlibrisgroup.com/primo-explore/search?tab=default_tab&amp;search_scope=EVERYTHING&amp;vid=01CRU&amp;lang=en_US&amp;offset=0&amp;query=any,contains,991004073329702656","Catalog Record")</f>
        <v/>
      </c>
      <c r="AT90">
        <f>HYPERLINK("http://www.worldcat.org/oclc/2311289","WorldCat Record")</f>
        <v/>
      </c>
      <c r="AU90" t="inlineStr">
        <is>
          <t>4927327565:eng</t>
        </is>
      </c>
      <c r="AV90" t="inlineStr">
        <is>
          <t>2311289</t>
        </is>
      </c>
      <c r="AW90" t="inlineStr">
        <is>
          <t>991004073329702656</t>
        </is>
      </c>
      <c r="AX90" t="inlineStr">
        <is>
          <t>991004073329702656</t>
        </is>
      </c>
      <c r="AY90" t="inlineStr">
        <is>
          <t>2258223390002656</t>
        </is>
      </c>
      <c r="AZ90" t="inlineStr">
        <is>
          <t>BOOK</t>
        </is>
      </c>
      <c r="BC90" t="inlineStr">
        <is>
          <t>32285002341070</t>
        </is>
      </c>
      <c r="BD90" t="inlineStr">
        <is>
          <t>893900772</t>
        </is>
      </c>
    </row>
    <row r="91">
      <c r="A91" t="inlineStr">
        <is>
          <t>No</t>
        </is>
      </c>
      <c r="B91" t="inlineStr">
        <is>
          <t>DC123.9.R5 B43 1985</t>
        </is>
      </c>
      <c r="C91" t="inlineStr">
        <is>
          <t>0                      DC 0123900R  5                  B  43          1985</t>
        </is>
      </c>
      <c r="D91" t="inlineStr">
        <is>
          <t>Cardinal Richelieu : power and the pursuit of wealth / Joseph Bergin.</t>
        </is>
      </c>
      <c r="F91" t="inlineStr">
        <is>
          <t>No</t>
        </is>
      </c>
      <c r="G91" t="inlineStr">
        <is>
          <t>1</t>
        </is>
      </c>
      <c r="H91" t="inlineStr">
        <is>
          <t>No</t>
        </is>
      </c>
      <c r="I91" t="inlineStr">
        <is>
          <t>No</t>
        </is>
      </c>
      <c r="J91" t="inlineStr">
        <is>
          <t>0</t>
        </is>
      </c>
      <c r="K91" t="inlineStr">
        <is>
          <t>Bergin, Joseph, 1948-</t>
        </is>
      </c>
      <c r="L91" t="inlineStr">
        <is>
          <t>New Haven, Conn. : Yale University Press, 1985.</t>
        </is>
      </c>
      <c r="M91" t="inlineStr">
        <is>
          <t>1985</t>
        </is>
      </c>
      <c r="O91" t="inlineStr">
        <is>
          <t>eng</t>
        </is>
      </c>
      <c r="P91" t="inlineStr">
        <is>
          <t>ctu</t>
        </is>
      </c>
      <c r="R91" t="inlineStr">
        <is>
          <t xml:space="preserve">DC </t>
        </is>
      </c>
      <c r="S91" t="n">
        <v>4</v>
      </c>
      <c r="T91" t="n">
        <v>4</v>
      </c>
      <c r="U91" t="inlineStr">
        <is>
          <t>2001-10-30</t>
        </is>
      </c>
      <c r="V91" t="inlineStr">
        <is>
          <t>2001-10-30</t>
        </is>
      </c>
      <c r="W91" t="inlineStr">
        <is>
          <t>1990-11-30</t>
        </is>
      </c>
      <c r="X91" t="inlineStr">
        <is>
          <t>1990-11-30</t>
        </is>
      </c>
      <c r="Y91" t="n">
        <v>771</v>
      </c>
      <c r="Z91" t="n">
        <v>593</v>
      </c>
      <c r="AA91" t="n">
        <v>594</v>
      </c>
      <c r="AB91" t="n">
        <v>4</v>
      </c>
      <c r="AC91" t="n">
        <v>4</v>
      </c>
      <c r="AD91" t="n">
        <v>32</v>
      </c>
      <c r="AE91" t="n">
        <v>32</v>
      </c>
      <c r="AF91" t="n">
        <v>13</v>
      </c>
      <c r="AG91" t="n">
        <v>13</v>
      </c>
      <c r="AH91" t="n">
        <v>7</v>
      </c>
      <c r="AI91" t="n">
        <v>7</v>
      </c>
      <c r="AJ91" t="n">
        <v>18</v>
      </c>
      <c r="AK91" t="n">
        <v>18</v>
      </c>
      <c r="AL91" t="n">
        <v>3</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HYPERLINK("https://creighton-primo.hosted.exlibrisgroup.com/primo-explore/search?tab=default_tab&amp;search_scope=EVERYTHING&amp;vid=01CRU&amp;lang=en_US&amp;offset=0&amp;query=any,contains,991000670339702656","Catalog Record")</f>
        <v/>
      </c>
      <c r="AT91">
        <f>HYPERLINK("http://www.worldcat.org/oclc/12314255","WorldCat Record")</f>
        <v/>
      </c>
      <c r="AU91" t="inlineStr">
        <is>
          <t>17122924:eng</t>
        </is>
      </c>
      <c r="AV91" t="inlineStr">
        <is>
          <t>12314255</t>
        </is>
      </c>
      <c r="AW91" t="inlineStr">
        <is>
          <t>991000670339702656</t>
        </is>
      </c>
      <c r="AX91" t="inlineStr">
        <is>
          <t>991000670339702656</t>
        </is>
      </c>
      <c r="AY91" t="inlineStr">
        <is>
          <t>2271523860002656</t>
        </is>
      </c>
      <c r="AZ91" t="inlineStr">
        <is>
          <t>BOOK</t>
        </is>
      </c>
      <c r="BB91" t="inlineStr">
        <is>
          <t>9780300034950</t>
        </is>
      </c>
      <c r="BC91" t="inlineStr">
        <is>
          <t>32285000393966</t>
        </is>
      </c>
      <c r="BD91" t="inlineStr">
        <is>
          <t>893871883</t>
        </is>
      </c>
    </row>
    <row r="92">
      <c r="A92" t="inlineStr">
        <is>
          <t>No</t>
        </is>
      </c>
      <c r="B92" t="inlineStr">
        <is>
          <t>DC123.9.R5 B44 1991</t>
        </is>
      </c>
      <c r="C92" t="inlineStr">
        <is>
          <t>0                      DC 0123900R  5                  B  44          1991</t>
        </is>
      </c>
      <c r="D92" t="inlineStr">
        <is>
          <t>The rise of Richelieu / Joseph Bergin.</t>
        </is>
      </c>
      <c r="F92" t="inlineStr">
        <is>
          <t>No</t>
        </is>
      </c>
      <c r="G92" t="inlineStr">
        <is>
          <t>1</t>
        </is>
      </c>
      <c r="H92" t="inlineStr">
        <is>
          <t>No</t>
        </is>
      </c>
      <c r="I92" t="inlineStr">
        <is>
          <t>No</t>
        </is>
      </c>
      <c r="J92" t="inlineStr">
        <is>
          <t>0</t>
        </is>
      </c>
      <c r="K92" t="inlineStr">
        <is>
          <t>Bergin, Joseph, 1948-</t>
        </is>
      </c>
      <c r="L92" t="inlineStr">
        <is>
          <t>New Haven : Yale University Press, 1991.</t>
        </is>
      </c>
      <c r="M92" t="inlineStr">
        <is>
          <t>1991</t>
        </is>
      </c>
      <c r="O92" t="inlineStr">
        <is>
          <t>eng</t>
        </is>
      </c>
      <c r="P92" t="inlineStr">
        <is>
          <t>ctu</t>
        </is>
      </c>
      <c r="R92" t="inlineStr">
        <is>
          <t xml:space="preserve">DC </t>
        </is>
      </c>
      <c r="S92" t="n">
        <v>4</v>
      </c>
      <c r="T92" t="n">
        <v>4</v>
      </c>
      <c r="U92" t="inlineStr">
        <is>
          <t>2000-05-01</t>
        </is>
      </c>
      <c r="V92" t="inlineStr">
        <is>
          <t>2000-05-01</t>
        </is>
      </c>
      <c r="W92" t="inlineStr">
        <is>
          <t>1992-03-31</t>
        </is>
      </c>
      <c r="X92" t="inlineStr">
        <is>
          <t>1992-03-31</t>
        </is>
      </c>
      <c r="Y92" t="n">
        <v>581</v>
      </c>
      <c r="Z92" t="n">
        <v>461</v>
      </c>
      <c r="AA92" t="n">
        <v>506</v>
      </c>
      <c r="AB92" t="n">
        <v>4</v>
      </c>
      <c r="AC92" t="n">
        <v>4</v>
      </c>
      <c r="AD92" t="n">
        <v>27</v>
      </c>
      <c r="AE92" t="n">
        <v>28</v>
      </c>
      <c r="AF92" t="n">
        <v>10</v>
      </c>
      <c r="AG92" t="n">
        <v>10</v>
      </c>
      <c r="AH92" t="n">
        <v>8</v>
      </c>
      <c r="AI92" t="n">
        <v>8</v>
      </c>
      <c r="AJ92" t="n">
        <v>15</v>
      </c>
      <c r="AK92" t="n">
        <v>16</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HYPERLINK("https://creighton-primo.hosted.exlibrisgroup.com/primo-explore/search?tab=default_tab&amp;search_scope=EVERYTHING&amp;vid=01CRU&amp;lang=en_US&amp;offset=0&amp;query=any,contains,991001815479702656","Catalog Record")</f>
        <v/>
      </c>
      <c r="AT92">
        <f>HYPERLINK("http://www.worldcat.org/oclc/22810182","WorldCat Record")</f>
        <v/>
      </c>
      <c r="AU92" t="inlineStr">
        <is>
          <t>118152100:eng</t>
        </is>
      </c>
      <c r="AV92" t="inlineStr">
        <is>
          <t>22810182</t>
        </is>
      </c>
      <c r="AW92" t="inlineStr">
        <is>
          <t>991001815479702656</t>
        </is>
      </c>
      <c r="AX92" t="inlineStr">
        <is>
          <t>991001815479702656</t>
        </is>
      </c>
      <c r="AY92" t="inlineStr">
        <is>
          <t>2265668890002656</t>
        </is>
      </c>
      <c r="AZ92" t="inlineStr">
        <is>
          <t>BOOK</t>
        </is>
      </c>
      <c r="BB92" t="inlineStr">
        <is>
          <t>9780300049923</t>
        </is>
      </c>
      <c r="BC92" t="inlineStr">
        <is>
          <t>32285001006773</t>
        </is>
      </c>
      <c r="BD92" t="inlineStr">
        <is>
          <t>893328395</t>
        </is>
      </c>
    </row>
    <row r="93">
      <c r="A93" t="inlineStr">
        <is>
          <t>No</t>
        </is>
      </c>
      <c r="B93" t="inlineStr">
        <is>
          <t>DC123.9.R5 B825 1967</t>
        </is>
      </c>
      <c r="C93" t="inlineStr">
        <is>
          <t>0                      DC 0123900R  5                  B  825         1967</t>
        </is>
      </c>
      <c r="D93" t="inlineStr">
        <is>
          <t>Richelieu and his age / by Carl J. Burckhardt.</t>
        </is>
      </c>
      <c r="E93" t="inlineStr">
        <is>
          <t>V.3</t>
        </is>
      </c>
      <c r="F93" t="inlineStr">
        <is>
          <t>Yes</t>
        </is>
      </c>
      <c r="G93" t="inlineStr">
        <is>
          <t>1</t>
        </is>
      </c>
      <c r="H93" t="inlineStr">
        <is>
          <t>No</t>
        </is>
      </c>
      <c r="I93" t="inlineStr">
        <is>
          <t>No</t>
        </is>
      </c>
      <c r="J93" t="inlineStr">
        <is>
          <t>0</t>
        </is>
      </c>
      <c r="K93" t="inlineStr">
        <is>
          <t>Burckhardt, Carl Jacob, 1891-1974.</t>
        </is>
      </c>
      <c r="L93" t="inlineStr">
        <is>
          <t>New York, Harcourt, Brace &amp; World [1967-70]</t>
        </is>
      </c>
      <c r="M93" t="inlineStr">
        <is>
          <t>1967</t>
        </is>
      </c>
      <c r="O93" t="inlineStr">
        <is>
          <t>eng</t>
        </is>
      </c>
      <c r="P93" t="inlineStr">
        <is>
          <t>___</t>
        </is>
      </c>
      <c r="R93" t="inlineStr">
        <is>
          <t xml:space="preserve">DC </t>
        </is>
      </c>
      <c r="S93" t="n">
        <v>0</v>
      </c>
      <c r="T93" t="n">
        <v>1</v>
      </c>
      <c r="V93" t="inlineStr">
        <is>
          <t>2001-04-10</t>
        </is>
      </c>
      <c r="W93" t="inlineStr">
        <is>
          <t>1990-11-30</t>
        </is>
      </c>
      <c r="X93" t="inlineStr">
        <is>
          <t>1990-11-30</t>
        </is>
      </c>
      <c r="Y93" t="n">
        <v>274</v>
      </c>
      <c r="Z93" t="n">
        <v>265</v>
      </c>
      <c r="AA93" t="n">
        <v>457</v>
      </c>
      <c r="AB93" t="n">
        <v>1</v>
      </c>
      <c r="AC93" t="n">
        <v>3</v>
      </c>
      <c r="AD93" t="n">
        <v>12</v>
      </c>
      <c r="AE93" t="n">
        <v>21</v>
      </c>
      <c r="AF93" t="n">
        <v>7</v>
      </c>
      <c r="AG93" t="n">
        <v>9</v>
      </c>
      <c r="AH93" t="n">
        <v>3</v>
      </c>
      <c r="AI93" t="n">
        <v>4</v>
      </c>
      <c r="AJ93" t="n">
        <v>6</v>
      </c>
      <c r="AK93" t="n">
        <v>12</v>
      </c>
      <c r="AL93" t="n">
        <v>0</v>
      </c>
      <c r="AM93" t="n">
        <v>2</v>
      </c>
      <c r="AN93" t="n">
        <v>0</v>
      </c>
      <c r="AO93" t="n">
        <v>0</v>
      </c>
      <c r="AP93" t="inlineStr">
        <is>
          <t>No</t>
        </is>
      </c>
      <c r="AQ93" t="inlineStr">
        <is>
          <t>Yes</t>
        </is>
      </c>
      <c r="AR93">
        <f>HYPERLINK("http://catalog.hathitrust.org/Record/009915269","HathiTrust Record")</f>
        <v/>
      </c>
      <c r="AS93">
        <f>HYPERLINK("https://creighton-primo.hosted.exlibrisgroup.com/primo-explore/search?tab=default_tab&amp;search_scope=EVERYTHING&amp;vid=01CRU&amp;lang=en_US&amp;offset=0&amp;query=any,contains,991002307289702656","Catalog Record")</f>
        <v/>
      </c>
      <c r="AT93">
        <f>HYPERLINK("http://www.worldcat.org/oclc/318929","WorldCat Record")</f>
        <v/>
      </c>
      <c r="AU93" t="inlineStr">
        <is>
          <t>3373345775:eng</t>
        </is>
      </c>
      <c r="AV93" t="inlineStr">
        <is>
          <t>318929</t>
        </is>
      </c>
      <c r="AW93" t="inlineStr">
        <is>
          <t>991002307289702656</t>
        </is>
      </c>
      <c r="AX93" t="inlineStr">
        <is>
          <t>991002307289702656</t>
        </is>
      </c>
      <c r="AY93" t="inlineStr">
        <is>
          <t>2270389680002656</t>
        </is>
      </c>
      <c r="AZ93" t="inlineStr">
        <is>
          <t>BOOK</t>
        </is>
      </c>
      <c r="BC93" t="inlineStr">
        <is>
          <t>32285000393990</t>
        </is>
      </c>
      <c r="BD93" t="inlineStr">
        <is>
          <t>893440014</t>
        </is>
      </c>
    </row>
    <row r="94">
      <c r="A94" t="inlineStr">
        <is>
          <t>No</t>
        </is>
      </c>
      <c r="B94" t="inlineStr">
        <is>
          <t>DC123.9.R5 B825 1967</t>
        </is>
      </c>
      <c r="C94" t="inlineStr">
        <is>
          <t>0                      DC 0123900R  5                  B  825         1967</t>
        </is>
      </c>
      <c r="D94" t="inlineStr">
        <is>
          <t>Richelieu and his age / by Carl J. Burckhardt.</t>
        </is>
      </c>
      <c r="E94" t="inlineStr">
        <is>
          <t>V.2</t>
        </is>
      </c>
      <c r="F94" t="inlineStr">
        <is>
          <t>Yes</t>
        </is>
      </c>
      <c r="G94" t="inlineStr">
        <is>
          <t>1</t>
        </is>
      </c>
      <c r="H94" t="inlineStr">
        <is>
          <t>No</t>
        </is>
      </c>
      <c r="I94" t="inlineStr">
        <is>
          <t>No</t>
        </is>
      </c>
      <c r="J94" t="inlineStr">
        <is>
          <t>0</t>
        </is>
      </c>
      <c r="K94" t="inlineStr">
        <is>
          <t>Burckhardt, Carl Jacob, 1891-1974.</t>
        </is>
      </c>
      <c r="L94" t="inlineStr">
        <is>
          <t>New York, Harcourt, Brace &amp; World [1967-70]</t>
        </is>
      </c>
      <c r="M94" t="inlineStr">
        <is>
          <t>1967</t>
        </is>
      </c>
      <c r="O94" t="inlineStr">
        <is>
          <t>eng</t>
        </is>
      </c>
      <c r="P94" t="inlineStr">
        <is>
          <t>___</t>
        </is>
      </c>
      <c r="R94" t="inlineStr">
        <is>
          <t xml:space="preserve">DC </t>
        </is>
      </c>
      <c r="S94" t="n">
        <v>1</v>
      </c>
      <c r="T94" t="n">
        <v>1</v>
      </c>
      <c r="U94" t="inlineStr">
        <is>
          <t>2001-04-10</t>
        </is>
      </c>
      <c r="V94" t="inlineStr">
        <is>
          <t>2001-04-10</t>
        </is>
      </c>
      <c r="W94" t="inlineStr">
        <is>
          <t>1990-11-30</t>
        </is>
      </c>
      <c r="X94" t="inlineStr">
        <is>
          <t>1990-11-30</t>
        </is>
      </c>
      <c r="Y94" t="n">
        <v>274</v>
      </c>
      <c r="Z94" t="n">
        <v>265</v>
      </c>
      <c r="AA94" t="n">
        <v>457</v>
      </c>
      <c r="AB94" t="n">
        <v>1</v>
      </c>
      <c r="AC94" t="n">
        <v>3</v>
      </c>
      <c r="AD94" t="n">
        <v>12</v>
      </c>
      <c r="AE94" t="n">
        <v>21</v>
      </c>
      <c r="AF94" t="n">
        <v>7</v>
      </c>
      <c r="AG94" t="n">
        <v>9</v>
      </c>
      <c r="AH94" t="n">
        <v>3</v>
      </c>
      <c r="AI94" t="n">
        <v>4</v>
      </c>
      <c r="AJ94" t="n">
        <v>6</v>
      </c>
      <c r="AK94" t="n">
        <v>12</v>
      </c>
      <c r="AL94" t="n">
        <v>0</v>
      </c>
      <c r="AM94" t="n">
        <v>2</v>
      </c>
      <c r="AN94" t="n">
        <v>0</v>
      </c>
      <c r="AO94" t="n">
        <v>0</v>
      </c>
      <c r="AP94" t="inlineStr">
        <is>
          <t>No</t>
        </is>
      </c>
      <c r="AQ94" t="inlineStr">
        <is>
          <t>Yes</t>
        </is>
      </c>
      <c r="AR94">
        <f>HYPERLINK("http://catalog.hathitrust.org/Record/009915269","HathiTrust Record")</f>
        <v/>
      </c>
      <c r="AS94">
        <f>HYPERLINK("https://creighton-primo.hosted.exlibrisgroup.com/primo-explore/search?tab=default_tab&amp;search_scope=EVERYTHING&amp;vid=01CRU&amp;lang=en_US&amp;offset=0&amp;query=any,contains,991002307289702656","Catalog Record")</f>
        <v/>
      </c>
      <c r="AT94">
        <f>HYPERLINK("http://www.worldcat.org/oclc/318929","WorldCat Record")</f>
        <v/>
      </c>
      <c r="AU94" t="inlineStr">
        <is>
          <t>3373345775:eng</t>
        </is>
      </c>
      <c r="AV94" t="inlineStr">
        <is>
          <t>318929</t>
        </is>
      </c>
      <c r="AW94" t="inlineStr">
        <is>
          <t>991002307289702656</t>
        </is>
      </c>
      <c r="AX94" t="inlineStr">
        <is>
          <t>991002307289702656</t>
        </is>
      </c>
      <c r="AY94" t="inlineStr">
        <is>
          <t>2270389680002656</t>
        </is>
      </c>
      <c r="AZ94" t="inlineStr">
        <is>
          <t>BOOK</t>
        </is>
      </c>
      <c r="BC94" t="inlineStr">
        <is>
          <t>32285000393982</t>
        </is>
      </c>
      <c r="BD94" t="inlineStr">
        <is>
          <t>893415057</t>
        </is>
      </c>
    </row>
    <row r="95">
      <c r="A95" t="inlineStr">
        <is>
          <t>No</t>
        </is>
      </c>
      <c r="B95" t="inlineStr">
        <is>
          <t>DC123.9.R5 B825 1967</t>
        </is>
      </c>
      <c r="C95" t="inlineStr">
        <is>
          <t>0                      DC 0123900R  5                  B  825         1967</t>
        </is>
      </c>
      <c r="D95" t="inlineStr">
        <is>
          <t>Richelieu and his age / by Carl J. Burckhardt.</t>
        </is>
      </c>
      <c r="E95" t="inlineStr">
        <is>
          <t>V.1</t>
        </is>
      </c>
      <c r="F95" t="inlineStr">
        <is>
          <t>Yes</t>
        </is>
      </c>
      <c r="G95" t="inlineStr">
        <is>
          <t>1</t>
        </is>
      </c>
      <c r="H95" t="inlineStr">
        <is>
          <t>No</t>
        </is>
      </c>
      <c r="I95" t="inlineStr">
        <is>
          <t>No</t>
        </is>
      </c>
      <c r="J95" t="inlineStr">
        <is>
          <t>0</t>
        </is>
      </c>
      <c r="K95" t="inlineStr">
        <is>
          <t>Burckhardt, Carl Jacob, 1891-1974.</t>
        </is>
      </c>
      <c r="L95" t="inlineStr">
        <is>
          <t>New York, Harcourt, Brace &amp; World [1967-70]</t>
        </is>
      </c>
      <c r="M95" t="inlineStr">
        <is>
          <t>1967</t>
        </is>
      </c>
      <c r="O95" t="inlineStr">
        <is>
          <t>eng</t>
        </is>
      </c>
      <c r="P95" t="inlineStr">
        <is>
          <t>___</t>
        </is>
      </c>
      <c r="R95" t="inlineStr">
        <is>
          <t xml:space="preserve">DC </t>
        </is>
      </c>
      <c r="S95" t="n">
        <v>0</v>
      </c>
      <c r="T95" t="n">
        <v>1</v>
      </c>
      <c r="V95" t="inlineStr">
        <is>
          <t>2001-04-10</t>
        </is>
      </c>
      <c r="W95" t="inlineStr">
        <is>
          <t>1990-11-30</t>
        </is>
      </c>
      <c r="X95" t="inlineStr">
        <is>
          <t>1990-11-30</t>
        </is>
      </c>
      <c r="Y95" t="n">
        <v>274</v>
      </c>
      <c r="Z95" t="n">
        <v>265</v>
      </c>
      <c r="AA95" t="n">
        <v>457</v>
      </c>
      <c r="AB95" t="n">
        <v>1</v>
      </c>
      <c r="AC95" t="n">
        <v>3</v>
      </c>
      <c r="AD95" t="n">
        <v>12</v>
      </c>
      <c r="AE95" t="n">
        <v>21</v>
      </c>
      <c r="AF95" t="n">
        <v>7</v>
      </c>
      <c r="AG95" t="n">
        <v>9</v>
      </c>
      <c r="AH95" t="n">
        <v>3</v>
      </c>
      <c r="AI95" t="n">
        <v>4</v>
      </c>
      <c r="AJ95" t="n">
        <v>6</v>
      </c>
      <c r="AK95" t="n">
        <v>12</v>
      </c>
      <c r="AL95" t="n">
        <v>0</v>
      </c>
      <c r="AM95" t="n">
        <v>2</v>
      </c>
      <c r="AN95" t="n">
        <v>0</v>
      </c>
      <c r="AO95" t="n">
        <v>0</v>
      </c>
      <c r="AP95" t="inlineStr">
        <is>
          <t>No</t>
        </is>
      </c>
      <c r="AQ95" t="inlineStr">
        <is>
          <t>Yes</t>
        </is>
      </c>
      <c r="AR95">
        <f>HYPERLINK("http://catalog.hathitrust.org/Record/009915269","HathiTrust Record")</f>
        <v/>
      </c>
      <c r="AS95">
        <f>HYPERLINK("https://creighton-primo.hosted.exlibrisgroup.com/primo-explore/search?tab=default_tab&amp;search_scope=EVERYTHING&amp;vid=01CRU&amp;lang=en_US&amp;offset=0&amp;query=any,contains,991002307289702656","Catalog Record")</f>
        <v/>
      </c>
      <c r="AT95">
        <f>HYPERLINK("http://www.worldcat.org/oclc/318929","WorldCat Record")</f>
        <v/>
      </c>
      <c r="AU95" t="inlineStr">
        <is>
          <t>3373345775:eng</t>
        </is>
      </c>
      <c r="AV95" t="inlineStr">
        <is>
          <t>318929</t>
        </is>
      </c>
      <c r="AW95" t="inlineStr">
        <is>
          <t>991002307289702656</t>
        </is>
      </c>
      <c r="AX95" t="inlineStr">
        <is>
          <t>991002307289702656</t>
        </is>
      </c>
      <c r="AY95" t="inlineStr">
        <is>
          <t>2270389680002656</t>
        </is>
      </c>
      <c r="AZ95" t="inlineStr">
        <is>
          <t>BOOK</t>
        </is>
      </c>
      <c r="BC95" t="inlineStr">
        <is>
          <t>32285000393974</t>
        </is>
      </c>
      <c r="BD95" t="inlineStr">
        <is>
          <t>893427459</t>
        </is>
      </c>
    </row>
    <row r="96">
      <c r="A96" t="inlineStr">
        <is>
          <t>No</t>
        </is>
      </c>
      <c r="B96" t="inlineStr">
        <is>
          <t>DC123.9.R5 C5</t>
        </is>
      </c>
      <c r="C96" t="inlineStr">
        <is>
          <t>0                      DC 0123900R  5                  C  5</t>
        </is>
      </c>
      <c r="D96" t="inlineStr">
        <is>
          <t>Richelieu and reason of state, by William F. Church.</t>
        </is>
      </c>
      <c r="F96" t="inlineStr">
        <is>
          <t>No</t>
        </is>
      </c>
      <c r="G96" t="inlineStr">
        <is>
          <t>1</t>
        </is>
      </c>
      <c r="H96" t="inlineStr">
        <is>
          <t>No</t>
        </is>
      </c>
      <c r="I96" t="inlineStr">
        <is>
          <t>No</t>
        </is>
      </c>
      <c r="J96" t="inlineStr">
        <is>
          <t>0</t>
        </is>
      </c>
      <c r="K96" t="inlineStr">
        <is>
          <t>Church, William Farr, 1912-</t>
        </is>
      </c>
      <c r="L96" t="inlineStr">
        <is>
          <t>Princeton, N.J., Princeton University Press [1973, c1972]</t>
        </is>
      </c>
      <c r="M96" t="inlineStr">
        <is>
          <t>1973</t>
        </is>
      </c>
      <c r="O96" t="inlineStr">
        <is>
          <t>eng</t>
        </is>
      </c>
      <c r="P96" t="inlineStr">
        <is>
          <t>nju</t>
        </is>
      </c>
      <c r="R96" t="inlineStr">
        <is>
          <t xml:space="preserve">DC </t>
        </is>
      </c>
      <c r="S96" t="n">
        <v>2</v>
      </c>
      <c r="T96" t="n">
        <v>2</v>
      </c>
      <c r="U96" t="inlineStr">
        <is>
          <t>2008-10-09</t>
        </is>
      </c>
      <c r="V96" t="inlineStr">
        <is>
          <t>2008-10-09</t>
        </is>
      </c>
      <c r="W96" t="inlineStr">
        <is>
          <t>1996-11-05</t>
        </is>
      </c>
      <c r="X96" t="inlineStr">
        <is>
          <t>1996-11-05</t>
        </is>
      </c>
      <c r="Y96" t="n">
        <v>763</v>
      </c>
      <c r="Z96" t="n">
        <v>673</v>
      </c>
      <c r="AA96" t="n">
        <v>883</v>
      </c>
      <c r="AB96" t="n">
        <v>5</v>
      </c>
      <c r="AC96" t="n">
        <v>7</v>
      </c>
      <c r="AD96" t="n">
        <v>36</v>
      </c>
      <c r="AE96" t="n">
        <v>43</v>
      </c>
      <c r="AF96" t="n">
        <v>11</v>
      </c>
      <c r="AG96" t="n">
        <v>17</v>
      </c>
      <c r="AH96" t="n">
        <v>10</v>
      </c>
      <c r="AI96" t="n">
        <v>11</v>
      </c>
      <c r="AJ96" t="n">
        <v>22</v>
      </c>
      <c r="AK96" t="n">
        <v>23</v>
      </c>
      <c r="AL96" t="n">
        <v>4</v>
      </c>
      <c r="AM96" t="n">
        <v>5</v>
      </c>
      <c r="AN96" t="n">
        <v>0</v>
      </c>
      <c r="AO96" t="n">
        <v>0</v>
      </c>
      <c r="AP96" t="inlineStr">
        <is>
          <t>No</t>
        </is>
      </c>
      <c r="AQ96" t="inlineStr">
        <is>
          <t>No</t>
        </is>
      </c>
      <c r="AS96">
        <f>HYPERLINK("https://creighton-primo.hosted.exlibrisgroup.com/primo-explore/search?tab=default_tab&amp;search_scope=EVERYTHING&amp;vid=01CRU&amp;lang=en_US&amp;offset=0&amp;query=any,contains,991003012699702656","Catalog Record")</f>
        <v/>
      </c>
      <c r="AT96">
        <f>HYPERLINK("http://www.worldcat.org/oclc/579084","WorldCat Record")</f>
        <v/>
      </c>
      <c r="AU96" t="inlineStr">
        <is>
          <t>1720384:eng</t>
        </is>
      </c>
      <c r="AV96" t="inlineStr">
        <is>
          <t>579084</t>
        </is>
      </c>
      <c r="AW96" t="inlineStr">
        <is>
          <t>991003012699702656</t>
        </is>
      </c>
      <c r="AX96" t="inlineStr">
        <is>
          <t>991003012699702656</t>
        </is>
      </c>
      <c r="AY96" t="inlineStr">
        <is>
          <t>2255685990002656</t>
        </is>
      </c>
      <c r="AZ96" t="inlineStr">
        <is>
          <t>BOOK</t>
        </is>
      </c>
      <c r="BB96" t="inlineStr">
        <is>
          <t>9780691051994</t>
        </is>
      </c>
      <c r="BC96" t="inlineStr">
        <is>
          <t>32285002341104</t>
        </is>
      </c>
      <c r="BD96" t="inlineStr">
        <is>
          <t>893251910</t>
        </is>
      </c>
    </row>
    <row r="97">
      <c r="A97" t="inlineStr">
        <is>
          <t>No</t>
        </is>
      </c>
      <c r="B97" t="inlineStr">
        <is>
          <t>DC123.9.R5 K54 1991</t>
        </is>
      </c>
      <c r="C97" t="inlineStr">
        <is>
          <t>0                      DC 0123900R  5                  K  54          1991</t>
        </is>
      </c>
      <c r="D97" t="inlineStr">
        <is>
          <t>Richelieu / Robert Knecht.</t>
        </is>
      </c>
      <c r="F97" t="inlineStr">
        <is>
          <t>No</t>
        </is>
      </c>
      <c r="G97" t="inlineStr">
        <is>
          <t>1</t>
        </is>
      </c>
      <c r="H97" t="inlineStr">
        <is>
          <t>No</t>
        </is>
      </c>
      <c r="I97" t="inlineStr">
        <is>
          <t>No</t>
        </is>
      </c>
      <c r="J97" t="inlineStr">
        <is>
          <t>0</t>
        </is>
      </c>
      <c r="K97" t="inlineStr">
        <is>
          <t>Knecht, R. J. (Robert Jean)</t>
        </is>
      </c>
      <c r="L97" t="inlineStr">
        <is>
          <t>London [England] ; New York : Longman, 1991.</t>
        </is>
      </c>
      <c r="M97" t="inlineStr">
        <is>
          <t>1991</t>
        </is>
      </c>
      <c r="O97" t="inlineStr">
        <is>
          <t>eng</t>
        </is>
      </c>
      <c r="P97" t="inlineStr">
        <is>
          <t>enk</t>
        </is>
      </c>
      <c r="Q97" t="inlineStr">
        <is>
          <t>Profiles in power</t>
        </is>
      </c>
      <c r="R97" t="inlineStr">
        <is>
          <t xml:space="preserve">DC </t>
        </is>
      </c>
      <c r="S97" t="n">
        <v>19</v>
      </c>
      <c r="T97" t="n">
        <v>19</v>
      </c>
      <c r="U97" t="inlineStr">
        <is>
          <t>2008-11-21</t>
        </is>
      </c>
      <c r="V97" t="inlineStr">
        <is>
          <t>2008-11-21</t>
        </is>
      </c>
      <c r="W97" t="inlineStr">
        <is>
          <t>1993-04-27</t>
        </is>
      </c>
      <c r="X97" t="inlineStr">
        <is>
          <t>1993-04-27</t>
        </is>
      </c>
      <c r="Y97" t="n">
        <v>434</v>
      </c>
      <c r="Z97" t="n">
        <v>269</v>
      </c>
      <c r="AA97" t="n">
        <v>323</v>
      </c>
      <c r="AB97" t="n">
        <v>3</v>
      </c>
      <c r="AC97" t="n">
        <v>4</v>
      </c>
      <c r="AD97" t="n">
        <v>14</v>
      </c>
      <c r="AE97" t="n">
        <v>18</v>
      </c>
      <c r="AF97" t="n">
        <v>4</v>
      </c>
      <c r="AG97" t="n">
        <v>5</v>
      </c>
      <c r="AH97" t="n">
        <v>5</v>
      </c>
      <c r="AI97" t="n">
        <v>6</v>
      </c>
      <c r="AJ97" t="n">
        <v>11</v>
      </c>
      <c r="AK97" t="n">
        <v>12</v>
      </c>
      <c r="AL97" t="n">
        <v>1</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HYPERLINK("https://creighton-primo.hosted.exlibrisgroup.com/primo-explore/search?tab=default_tab&amp;search_scope=EVERYTHING&amp;vid=01CRU&amp;lang=en_US&amp;offset=0&amp;query=any,contains,991001744929702656","Catalog Record")</f>
        <v/>
      </c>
      <c r="AT97">
        <f>HYPERLINK("http://www.worldcat.org/oclc/22111349","WorldCat Record")</f>
        <v/>
      </c>
      <c r="AU97" t="inlineStr">
        <is>
          <t>23088223:eng</t>
        </is>
      </c>
      <c r="AV97" t="inlineStr">
        <is>
          <t>22111349</t>
        </is>
      </c>
      <c r="AW97" t="inlineStr">
        <is>
          <t>991001744929702656</t>
        </is>
      </c>
      <c r="AX97" t="inlineStr">
        <is>
          <t>991001744929702656</t>
        </is>
      </c>
      <c r="AY97" t="inlineStr">
        <is>
          <t>2266083520002656</t>
        </is>
      </c>
      <c r="AZ97" t="inlineStr">
        <is>
          <t>BOOK</t>
        </is>
      </c>
      <c r="BB97" t="inlineStr">
        <is>
          <t>9780582557109</t>
        </is>
      </c>
      <c r="BC97" t="inlineStr">
        <is>
          <t>32285001580587</t>
        </is>
      </c>
      <c r="BD97" t="inlineStr">
        <is>
          <t>893244363</t>
        </is>
      </c>
    </row>
    <row r="98">
      <c r="A98" t="inlineStr">
        <is>
          <t>No</t>
        </is>
      </c>
      <c r="B98" t="inlineStr">
        <is>
          <t>DC123.9.R5 L48 2000</t>
        </is>
      </c>
      <c r="C98" t="inlineStr">
        <is>
          <t>0                      DC 0123900R  5                  L  48          2000</t>
        </is>
      </c>
      <c r="D98" t="inlineStr">
        <is>
          <t>Cardinal Richelieu and the making of France / Anthony Levi.</t>
        </is>
      </c>
      <c r="F98" t="inlineStr">
        <is>
          <t>No</t>
        </is>
      </c>
      <c r="G98" t="inlineStr">
        <is>
          <t>1</t>
        </is>
      </c>
      <c r="H98" t="inlineStr">
        <is>
          <t>No</t>
        </is>
      </c>
      <c r="I98" t="inlineStr">
        <is>
          <t>No</t>
        </is>
      </c>
      <c r="J98" t="inlineStr">
        <is>
          <t>0</t>
        </is>
      </c>
      <c r="K98" t="inlineStr">
        <is>
          <t>Levi, Anthony.</t>
        </is>
      </c>
      <c r="L98" t="inlineStr">
        <is>
          <t>New York : Carroll &amp; Graf, 2000.</t>
        </is>
      </c>
      <c r="M98" t="inlineStr">
        <is>
          <t>2000</t>
        </is>
      </c>
      <c r="O98" t="inlineStr">
        <is>
          <t>eng</t>
        </is>
      </c>
      <c r="P98" t="inlineStr">
        <is>
          <t>nyu</t>
        </is>
      </c>
      <c r="R98" t="inlineStr">
        <is>
          <t xml:space="preserve">DC </t>
        </is>
      </c>
      <c r="S98" t="n">
        <v>4</v>
      </c>
      <c r="T98" t="n">
        <v>4</v>
      </c>
      <c r="U98" t="inlineStr">
        <is>
          <t>2001-10-30</t>
        </is>
      </c>
      <c r="V98" t="inlineStr">
        <is>
          <t>2001-10-30</t>
        </is>
      </c>
      <c r="W98" t="inlineStr">
        <is>
          <t>2001-01-24</t>
        </is>
      </c>
      <c r="X98" t="inlineStr">
        <is>
          <t>2001-01-24</t>
        </is>
      </c>
      <c r="Y98" t="n">
        <v>547</v>
      </c>
      <c r="Z98" t="n">
        <v>514</v>
      </c>
      <c r="AA98" t="n">
        <v>572</v>
      </c>
      <c r="AB98" t="n">
        <v>3</v>
      </c>
      <c r="AC98" t="n">
        <v>3</v>
      </c>
      <c r="AD98" t="n">
        <v>20</v>
      </c>
      <c r="AE98" t="n">
        <v>21</v>
      </c>
      <c r="AF98" t="n">
        <v>7</v>
      </c>
      <c r="AG98" t="n">
        <v>7</v>
      </c>
      <c r="AH98" t="n">
        <v>7</v>
      </c>
      <c r="AI98" t="n">
        <v>7</v>
      </c>
      <c r="AJ98" t="n">
        <v>11</v>
      </c>
      <c r="AK98" t="n">
        <v>12</v>
      </c>
      <c r="AL98" t="n">
        <v>2</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HYPERLINK("https://creighton-primo.hosted.exlibrisgroup.com/primo-explore/search?tab=default_tab&amp;search_scope=EVERYTHING&amp;vid=01CRU&amp;lang=en_US&amp;offset=0&amp;query=any,contains,991003461289702656","Catalog Record")</f>
        <v/>
      </c>
      <c r="AT98">
        <f>HYPERLINK("http://www.worldcat.org/oclc/45255834","WorldCat Record")</f>
        <v/>
      </c>
      <c r="AU98" t="inlineStr">
        <is>
          <t>1050916:eng</t>
        </is>
      </c>
      <c r="AV98" t="inlineStr">
        <is>
          <t>45255834</t>
        </is>
      </c>
      <c r="AW98" t="inlineStr">
        <is>
          <t>991003461289702656</t>
        </is>
      </c>
      <c r="AX98" t="inlineStr">
        <is>
          <t>991003461289702656</t>
        </is>
      </c>
      <c r="AY98" t="inlineStr">
        <is>
          <t>2266664350002656</t>
        </is>
      </c>
      <c r="AZ98" t="inlineStr">
        <is>
          <t>BOOK</t>
        </is>
      </c>
      <c r="BB98" t="inlineStr">
        <is>
          <t>9780786707782</t>
        </is>
      </c>
      <c r="BC98" t="inlineStr">
        <is>
          <t>32285004291257</t>
        </is>
      </c>
      <c r="BD98" t="inlineStr">
        <is>
          <t>893336506</t>
        </is>
      </c>
    </row>
    <row r="99">
      <c r="A99" t="inlineStr">
        <is>
          <t>No</t>
        </is>
      </c>
      <c r="B99" t="inlineStr">
        <is>
          <t>DC123.9.R5 T7</t>
        </is>
      </c>
      <c r="C99" t="inlineStr">
        <is>
          <t>0                      DC 0123900R  5                  T  7</t>
        </is>
      </c>
      <c r="D99" t="inlineStr">
        <is>
          <t>Cardinal Richelieu and the development of absolutism [by] G.R.R. Treasure.</t>
        </is>
      </c>
      <c r="F99" t="inlineStr">
        <is>
          <t>No</t>
        </is>
      </c>
      <c r="G99" t="inlineStr">
        <is>
          <t>1</t>
        </is>
      </c>
      <c r="H99" t="inlineStr">
        <is>
          <t>No</t>
        </is>
      </c>
      <c r="I99" t="inlineStr">
        <is>
          <t>No</t>
        </is>
      </c>
      <c r="J99" t="inlineStr">
        <is>
          <t>0</t>
        </is>
      </c>
      <c r="K99" t="inlineStr">
        <is>
          <t>Treasure, G. R. R. (Geoffrey Russell Richards)</t>
        </is>
      </c>
      <c r="L99" t="inlineStr">
        <is>
          <t>New York, St. Martin's Press [1972]</t>
        </is>
      </c>
      <c r="M99" t="inlineStr">
        <is>
          <t>1972</t>
        </is>
      </c>
      <c r="O99" t="inlineStr">
        <is>
          <t>eng</t>
        </is>
      </c>
      <c r="P99" t="inlineStr">
        <is>
          <t>nyu</t>
        </is>
      </c>
      <c r="R99" t="inlineStr">
        <is>
          <t xml:space="preserve">DC </t>
        </is>
      </c>
      <c r="S99" t="n">
        <v>15</v>
      </c>
      <c r="T99" t="n">
        <v>15</v>
      </c>
      <c r="U99" t="inlineStr">
        <is>
          <t>2001-07-25</t>
        </is>
      </c>
      <c r="V99" t="inlineStr">
        <is>
          <t>2001-07-25</t>
        </is>
      </c>
      <c r="W99" t="inlineStr">
        <is>
          <t>1996-11-05</t>
        </is>
      </c>
      <c r="X99" t="inlineStr">
        <is>
          <t>1996-11-05</t>
        </is>
      </c>
      <c r="Y99" t="n">
        <v>417</v>
      </c>
      <c r="Z99" t="n">
        <v>388</v>
      </c>
      <c r="AA99" t="n">
        <v>505</v>
      </c>
      <c r="AB99" t="n">
        <v>4</v>
      </c>
      <c r="AC99" t="n">
        <v>6</v>
      </c>
      <c r="AD99" t="n">
        <v>19</v>
      </c>
      <c r="AE99" t="n">
        <v>22</v>
      </c>
      <c r="AF99" t="n">
        <v>4</v>
      </c>
      <c r="AG99" t="n">
        <v>4</v>
      </c>
      <c r="AH99" t="n">
        <v>6</v>
      </c>
      <c r="AI99" t="n">
        <v>7</v>
      </c>
      <c r="AJ99" t="n">
        <v>12</v>
      </c>
      <c r="AK99" t="n">
        <v>13</v>
      </c>
      <c r="AL99" t="n">
        <v>3</v>
      </c>
      <c r="AM99" t="n">
        <v>5</v>
      </c>
      <c r="AN99" t="n">
        <v>0</v>
      </c>
      <c r="AO99" t="n">
        <v>0</v>
      </c>
      <c r="AP99" t="inlineStr">
        <is>
          <t>No</t>
        </is>
      </c>
      <c r="AQ99" t="inlineStr">
        <is>
          <t>No</t>
        </is>
      </c>
      <c r="AS99">
        <f>HYPERLINK("https://creighton-primo.hosted.exlibrisgroup.com/primo-explore/search?tab=default_tab&amp;search_scope=EVERYTHING&amp;vid=01CRU&amp;lang=en_US&amp;offset=0&amp;query=any,contains,991002730739702656","Catalog Record")</f>
        <v/>
      </c>
      <c r="AT99">
        <f>HYPERLINK("http://www.worldcat.org/oclc/416431","WorldCat Record")</f>
        <v/>
      </c>
      <c r="AU99" t="inlineStr">
        <is>
          <t>1481379:eng</t>
        </is>
      </c>
      <c r="AV99" t="inlineStr">
        <is>
          <t>416431</t>
        </is>
      </c>
      <c r="AW99" t="inlineStr">
        <is>
          <t>991002730739702656</t>
        </is>
      </c>
      <c r="AX99" t="inlineStr">
        <is>
          <t>991002730739702656</t>
        </is>
      </c>
      <c r="AY99" t="inlineStr">
        <is>
          <t>2266459670002656</t>
        </is>
      </c>
      <c r="AZ99" t="inlineStr">
        <is>
          <t>BOOK</t>
        </is>
      </c>
      <c r="BC99" t="inlineStr">
        <is>
          <t>32285002341120</t>
        </is>
      </c>
      <c r="BD99" t="inlineStr">
        <is>
          <t>893716846</t>
        </is>
      </c>
    </row>
    <row r="100">
      <c r="A100" t="inlineStr">
        <is>
          <t>No</t>
        </is>
      </c>
      <c r="B100" t="inlineStr">
        <is>
          <t>DC123.9.R5 W4 1962</t>
        </is>
      </c>
      <c r="C100" t="inlineStr">
        <is>
          <t>0                      DC 0123900R  5                  W  4           1962</t>
        </is>
      </c>
      <c r="D100" t="inlineStr">
        <is>
          <t>Richelieu and the French monarchy / C.V. Wedgwood.</t>
        </is>
      </c>
      <c r="F100" t="inlineStr">
        <is>
          <t>No</t>
        </is>
      </c>
      <c r="G100" t="inlineStr">
        <is>
          <t>1</t>
        </is>
      </c>
      <c r="H100" t="inlineStr">
        <is>
          <t>No</t>
        </is>
      </c>
      <c r="I100" t="inlineStr">
        <is>
          <t>No</t>
        </is>
      </c>
      <c r="J100" t="inlineStr">
        <is>
          <t>0</t>
        </is>
      </c>
      <c r="K100" t="inlineStr">
        <is>
          <t>Wedgwood, C. V. (Cicely Veronica), 1910-1997.</t>
        </is>
      </c>
      <c r="L100" t="inlineStr">
        <is>
          <t>New York : Collier Books, c1962.</t>
        </is>
      </c>
      <c r="M100" t="inlineStr">
        <is>
          <t>1962</t>
        </is>
      </c>
      <c r="N100" t="inlineStr">
        <is>
          <t>New, rev. ed.</t>
        </is>
      </c>
      <c r="O100" t="inlineStr">
        <is>
          <t>eng</t>
        </is>
      </c>
      <c r="P100" t="inlineStr">
        <is>
          <t>nyu</t>
        </is>
      </c>
      <c r="Q100" t="inlineStr">
        <is>
          <t>Men and history ; BS130V</t>
        </is>
      </c>
      <c r="R100" t="inlineStr">
        <is>
          <t xml:space="preserve">DC </t>
        </is>
      </c>
      <c r="S100" t="n">
        <v>12</v>
      </c>
      <c r="T100" t="n">
        <v>12</v>
      </c>
      <c r="U100" t="inlineStr">
        <is>
          <t>2001-11-05</t>
        </is>
      </c>
      <c r="V100" t="inlineStr">
        <is>
          <t>2001-11-05</t>
        </is>
      </c>
      <c r="W100" t="inlineStr">
        <is>
          <t>1990-11-30</t>
        </is>
      </c>
      <c r="X100" t="inlineStr">
        <is>
          <t>1990-11-30</t>
        </is>
      </c>
      <c r="Y100" t="n">
        <v>430</v>
      </c>
      <c r="Z100" t="n">
        <v>401</v>
      </c>
      <c r="AA100" t="n">
        <v>1145</v>
      </c>
      <c r="AB100" t="n">
        <v>3</v>
      </c>
      <c r="AC100" t="n">
        <v>8</v>
      </c>
      <c r="AD100" t="n">
        <v>13</v>
      </c>
      <c r="AE100" t="n">
        <v>42</v>
      </c>
      <c r="AF100" t="n">
        <v>6</v>
      </c>
      <c r="AG100" t="n">
        <v>19</v>
      </c>
      <c r="AH100" t="n">
        <v>3</v>
      </c>
      <c r="AI100" t="n">
        <v>8</v>
      </c>
      <c r="AJ100" t="n">
        <v>8</v>
      </c>
      <c r="AK100" t="n">
        <v>19</v>
      </c>
      <c r="AL100" t="n">
        <v>1</v>
      </c>
      <c r="AM100" t="n">
        <v>6</v>
      </c>
      <c r="AN100" t="n">
        <v>0</v>
      </c>
      <c r="AO100" t="n">
        <v>0</v>
      </c>
      <c r="AP100" t="inlineStr">
        <is>
          <t>No</t>
        </is>
      </c>
      <c r="AQ100" t="inlineStr">
        <is>
          <t>No</t>
        </is>
      </c>
      <c r="AR100">
        <f>HYPERLINK("http://catalog.hathitrust.org/Record/000562999","HathiTrust Record")</f>
        <v/>
      </c>
      <c r="AS100">
        <f>HYPERLINK("https://creighton-primo.hosted.exlibrisgroup.com/primo-explore/search?tab=default_tab&amp;search_scope=EVERYTHING&amp;vid=01CRU&amp;lang=en_US&amp;offset=0&amp;query=any,contains,991002401829702656","Catalog Record")</f>
        <v/>
      </c>
      <c r="AT100">
        <f>HYPERLINK("http://www.worldcat.org/oclc/337129","WorldCat Record")</f>
        <v/>
      </c>
      <c r="AU100" t="inlineStr">
        <is>
          <t>50460772:eng</t>
        </is>
      </c>
      <c r="AV100" t="inlineStr">
        <is>
          <t>337129</t>
        </is>
      </c>
      <c r="AW100" t="inlineStr">
        <is>
          <t>991002401829702656</t>
        </is>
      </c>
      <c r="AX100" t="inlineStr">
        <is>
          <t>991002401829702656</t>
        </is>
      </c>
      <c r="AY100" t="inlineStr">
        <is>
          <t>2255877470002656</t>
        </is>
      </c>
      <c r="AZ100" t="inlineStr">
        <is>
          <t>BOOK</t>
        </is>
      </c>
      <c r="BC100" t="inlineStr">
        <is>
          <t>32285000394014</t>
        </is>
      </c>
      <c r="BD100" t="inlineStr">
        <is>
          <t>893779766</t>
        </is>
      </c>
    </row>
    <row r="101">
      <c r="A101" t="inlineStr">
        <is>
          <t>No</t>
        </is>
      </c>
      <c r="B101" t="inlineStr">
        <is>
          <t>DC125 .M5</t>
        </is>
      </c>
      <c r="C101" t="inlineStr">
        <is>
          <t>0                      DC 0125000M  5</t>
        </is>
      </c>
      <c r="D101" t="inlineStr">
        <is>
          <t>The Sun King.</t>
        </is>
      </c>
      <c r="F101" t="inlineStr">
        <is>
          <t>No</t>
        </is>
      </c>
      <c r="G101" t="inlineStr">
        <is>
          <t>1</t>
        </is>
      </c>
      <c r="H101" t="inlineStr">
        <is>
          <t>No</t>
        </is>
      </c>
      <c r="I101" t="inlineStr">
        <is>
          <t>No</t>
        </is>
      </c>
      <c r="J101" t="inlineStr">
        <is>
          <t>0</t>
        </is>
      </c>
      <c r="K101" t="inlineStr">
        <is>
          <t>Mitford, Nancy, 1904-1973.</t>
        </is>
      </c>
      <c r="L101" t="inlineStr">
        <is>
          <t>London : H. Hamilton, 1966.</t>
        </is>
      </c>
      <c r="M101" t="inlineStr">
        <is>
          <t>1966</t>
        </is>
      </c>
      <c r="O101" t="inlineStr">
        <is>
          <t>eng</t>
        </is>
      </c>
      <c r="P101" t="inlineStr">
        <is>
          <t>enk</t>
        </is>
      </c>
      <c r="R101" t="inlineStr">
        <is>
          <t xml:space="preserve">DC </t>
        </is>
      </c>
      <c r="S101" t="n">
        <v>8</v>
      </c>
      <c r="T101" t="n">
        <v>8</v>
      </c>
      <c r="U101" t="inlineStr">
        <is>
          <t>2008-04-14</t>
        </is>
      </c>
      <c r="V101" t="inlineStr">
        <is>
          <t>2008-04-14</t>
        </is>
      </c>
      <c r="W101" t="inlineStr">
        <is>
          <t>1992-12-02</t>
        </is>
      </c>
      <c r="X101" t="inlineStr">
        <is>
          <t>1992-12-02</t>
        </is>
      </c>
      <c r="Y101" t="n">
        <v>236</v>
      </c>
      <c r="Z101" t="n">
        <v>119</v>
      </c>
      <c r="AA101" t="n">
        <v>2120</v>
      </c>
      <c r="AB101" t="n">
        <v>1</v>
      </c>
      <c r="AC101" t="n">
        <v>14</v>
      </c>
      <c r="AD101" t="n">
        <v>4</v>
      </c>
      <c r="AE101" t="n">
        <v>50</v>
      </c>
      <c r="AF101" t="n">
        <v>2</v>
      </c>
      <c r="AG101" t="n">
        <v>20</v>
      </c>
      <c r="AH101" t="n">
        <v>0</v>
      </c>
      <c r="AI101" t="n">
        <v>10</v>
      </c>
      <c r="AJ101" t="n">
        <v>3</v>
      </c>
      <c r="AK101" t="n">
        <v>23</v>
      </c>
      <c r="AL101" t="n">
        <v>0</v>
      </c>
      <c r="AM101" t="n">
        <v>8</v>
      </c>
      <c r="AN101" t="n">
        <v>0</v>
      </c>
      <c r="AO101" t="n">
        <v>0</v>
      </c>
      <c r="AP101" t="inlineStr">
        <is>
          <t>No</t>
        </is>
      </c>
      <c r="AQ101" t="inlineStr">
        <is>
          <t>Yes</t>
        </is>
      </c>
      <c r="AR101">
        <f>HYPERLINK("http://catalog.hathitrust.org/Record/008370339","HathiTrust Record")</f>
        <v/>
      </c>
      <c r="AS101">
        <f>HYPERLINK("https://creighton-primo.hosted.exlibrisgroup.com/primo-explore/search?tab=default_tab&amp;search_scope=EVERYTHING&amp;vid=01CRU&amp;lang=en_US&amp;offset=0&amp;query=any,contains,991003902239702656","Catalog Record")</f>
        <v/>
      </c>
      <c r="AT101">
        <f>HYPERLINK("http://www.worldcat.org/oclc/1828268","WorldCat Record")</f>
        <v/>
      </c>
      <c r="AU101" t="inlineStr">
        <is>
          <t>402431:eng</t>
        </is>
      </c>
      <c r="AV101" t="inlineStr">
        <is>
          <t>1828268</t>
        </is>
      </c>
      <c r="AW101" t="inlineStr">
        <is>
          <t>991003902239702656</t>
        </is>
      </c>
      <c r="AX101" t="inlineStr">
        <is>
          <t>991003902239702656</t>
        </is>
      </c>
      <c r="AY101" t="inlineStr">
        <is>
          <t>2272304020002656</t>
        </is>
      </c>
      <c r="AZ101" t="inlineStr">
        <is>
          <t>BOOK</t>
        </is>
      </c>
      <c r="BC101" t="inlineStr">
        <is>
          <t>32285001411551</t>
        </is>
      </c>
      <c r="BD101" t="inlineStr">
        <is>
          <t>893410879</t>
        </is>
      </c>
    </row>
    <row r="102">
      <c r="A102" t="inlineStr">
        <is>
          <t>No</t>
        </is>
      </c>
      <c r="B102" t="inlineStr">
        <is>
          <t>DC125 .P3</t>
        </is>
      </c>
      <c r="C102" t="inlineStr">
        <is>
          <t>0                      DC 0125000P  3</t>
        </is>
      </c>
      <c r="D102" t="inlineStr">
        <is>
          <t>The age of Louis XIV / by Laurence Bradford Packard.</t>
        </is>
      </c>
      <c r="F102" t="inlineStr">
        <is>
          <t>No</t>
        </is>
      </c>
      <c r="G102" t="inlineStr">
        <is>
          <t>1</t>
        </is>
      </c>
      <c r="H102" t="inlineStr">
        <is>
          <t>No</t>
        </is>
      </c>
      <c r="I102" t="inlineStr">
        <is>
          <t>No</t>
        </is>
      </c>
      <c r="J102" t="inlineStr">
        <is>
          <t>0</t>
        </is>
      </c>
      <c r="K102" t="inlineStr">
        <is>
          <t>Packard, Laurence Bradford, 1887-1955.</t>
        </is>
      </c>
      <c r="L102" t="inlineStr">
        <is>
          <t>New York : H. Holt and company, [c1929]</t>
        </is>
      </c>
      <c r="M102" t="inlineStr">
        <is>
          <t>1929</t>
        </is>
      </c>
      <c r="O102" t="inlineStr">
        <is>
          <t>eng</t>
        </is>
      </c>
      <c r="P102" t="inlineStr">
        <is>
          <t>nyu</t>
        </is>
      </c>
      <c r="Q102" t="inlineStr">
        <is>
          <t>The Berkshire studies in European history</t>
        </is>
      </c>
      <c r="R102" t="inlineStr">
        <is>
          <t xml:space="preserve">DC </t>
        </is>
      </c>
      <c r="S102" t="n">
        <v>18</v>
      </c>
      <c r="T102" t="n">
        <v>18</v>
      </c>
      <c r="U102" t="inlineStr">
        <is>
          <t>2001-09-06</t>
        </is>
      </c>
      <c r="V102" t="inlineStr">
        <is>
          <t>2001-09-06</t>
        </is>
      </c>
      <c r="W102" t="inlineStr">
        <is>
          <t>1995-05-02</t>
        </is>
      </c>
      <c r="X102" t="inlineStr">
        <is>
          <t>1995-05-02</t>
        </is>
      </c>
      <c r="Y102" t="n">
        <v>728</v>
      </c>
      <c r="Z102" t="n">
        <v>696</v>
      </c>
      <c r="AA102" t="n">
        <v>959</v>
      </c>
      <c r="AB102" t="n">
        <v>8</v>
      </c>
      <c r="AC102" t="n">
        <v>10</v>
      </c>
      <c r="AD102" t="n">
        <v>34</v>
      </c>
      <c r="AE102" t="n">
        <v>43</v>
      </c>
      <c r="AF102" t="n">
        <v>11</v>
      </c>
      <c r="AG102" t="n">
        <v>15</v>
      </c>
      <c r="AH102" t="n">
        <v>7</v>
      </c>
      <c r="AI102" t="n">
        <v>10</v>
      </c>
      <c r="AJ102" t="n">
        <v>17</v>
      </c>
      <c r="AK102" t="n">
        <v>19</v>
      </c>
      <c r="AL102" t="n">
        <v>7</v>
      </c>
      <c r="AM102" t="n">
        <v>9</v>
      </c>
      <c r="AN102" t="n">
        <v>0</v>
      </c>
      <c r="AO102" t="n">
        <v>0</v>
      </c>
      <c r="AP102" t="inlineStr">
        <is>
          <t>No</t>
        </is>
      </c>
      <c r="AQ102" t="inlineStr">
        <is>
          <t>Yes</t>
        </is>
      </c>
      <c r="AR102">
        <f>HYPERLINK("http://catalog.hathitrust.org/Record/000562271","HathiTrust Record")</f>
        <v/>
      </c>
      <c r="AS102">
        <f>HYPERLINK("https://creighton-primo.hosted.exlibrisgroup.com/primo-explore/search?tab=default_tab&amp;search_scope=EVERYTHING&amp;vid=01CRU&amp;lang=en_US&amp;offset=0&amp;query=any,contains,991003021269702656","Catalog Record")</f>
        <v/>
      </c>
      <c r="AT102">
        <f>HYPERLINK("http://www.worldcat.org/oclc/585901","WorldCat Record")</f>
        <v/>
      </c>
      <c r="AU102" t="inlineStr">
        <is>
          <t>1566397:eng</t>
        </is>
      </c>
      <c r="AV102" t="inlineStr">
        <is>
          <t>585901</t>
        </is>
      </c>
      <c r="AW102" t="inlineStr">
        <is>
          <t>991003021269702656</t>
        </is>
      </c>
      <c r="AX102" t="inlineStr">
        <is>
          <t>991003021269702656</t>
        </is>
      </c>
      <c r="AY102" t="inlineStr">
        <is>
          <t>2269517300002656</t>
        </is>
      </c>
      <c r="AZ102" t="inlineStr">
        <is>
          <t>BOOK</t>
        </is>
      </c>
      <c r="BC102" t="inlineStr">
        <is>
          <t>32285002031473</t>
        </is>
      </c>
      <c r="BD102" t="inlineStr">
        <is>
          <t>893342158</t>
        </is>
      </c>
    </row>
    <row r="103">
      <c r="A103" t="inlineStr">
        <is>
          <t>No</t>
        </is>
      </c>
      <c r="B103" t="inlineStr">
        <is>
          <t>DC126 .C44 1976</t>
        </is>
      </c>
      <c r="C103" t="inlineStr">
        <is>
          <t>0                      DC 0126000C  44          1976</t>
        </is>
      </c>
      <c r="D103" t="inlineStr">
        <is>
          <t>Louis XIV in historical thought : from Voltaire to the Annales school / by William F. Church.</t>
        </is>
      </c>
      <c r="F103" t="inlineStr">
        <is>
          <t>No</t>
        </is>
      </c>
      <c r="G103" t="inlineStr">
        <is>
          <t>1</t>
        </is>
      </c>
      <c r="H103" t="inlineStr">
        <is>
          <t>No</t>
        </is>
      </c>
      <c r="I103" t="inlineStr">
        <is>
          <t>No</t>
        </is>
      </c>
      <c r="J103" t="inlineStr">
        <is>
          <t>0</t>
        </is>
      </c>
      <c r="K103" t="inlineStr">
        <is>
          <t>Church, William Farr, 1912-</t>
        </is>
      </c>
      <c r="L103" t="inlineStr">
        <is>
          <t>New York : Norton, c1976.</t>
        </is>
      </c>
      <c r="M103" t="inlineStr">
        <is>
          <t>1976</t>
        </is>
      </c>
      <c r="N103" t="inlineStr">
        <is>
          <t>1st ed.</t>
        </is>
      </c>
      <c r="O103" t="inlineStr">
        <is>
          <t>eng</t>
        </is>
      </c>
      <c r="P103" t="inlineStr">
        <is>
          <t>nyu</t>
        </is>
      </c>
      <c r="Q103" t="inlineStr">
        <is>
          <t>Historical controversies</t>
        </is>
      </c>
      <c r="R103" t="inlineStr">
        <is>
          <t xml:space="preserve">DC </t>
        </is>
      </c>
      <c r="S103" t="n">
        <v>1</v>
      </c>
      <c r="T103" t="n">
        <v>1</v>
      </c>
      <c r="U103" t="inlineStr">
        <is>
          <t>2002-11-21</t>
        </is>
      </c>
      <c r="V103" t="inlineStr">
        <is>
          <t>2002-11-21</t>
        </is>
      </c>
      <c r="W103" t="inlineStr">
        <is>
          <t>2002-11-21</t>
        </is>
      </c>
      <c r="X103" t="inlineStr">
        <is>
          <t>2002-11-21</t>
        </is>
      </c>
      <c r="Y103" t="n">
        <v>593</v>
      </c>
      <c r="Z103" t="n">
        <v>500</v>
      </c>
      <c r="AA103" t="n">
        <v>500</v>
      </c>
      <c r="AB103" t="n">
        <v>4</v>
      </c>
      <c r="AC103" t="n">
        <v>4</v>
      </c>
      <c r="AD103" t="n">
        <v>27</v>
      </c>
      <c r="AE103" t="n">
        <v>27</v>
      </c>
      <c r="AF103" t="n">
        <v>10</v>
      </c>
      <c r="AG103" t="n">
        <v>10</v>
      </c>
      <c r="AH103" t="n">
        <v>9</v>
      </c>
      <c r="AI103" t="n">
        <v>9</v>
      </c>
      <c r="AJ103" t="n">
        <v>14</v>
      </c>
      <c r="AK103" t="n">
        <v>14</v>
      </c>
      <c r="AL103" t="n">
        <v>3</v>
      </c>
      <c r="AM103" t="n">
        <v>3</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HYPERLINK("https://creighton-primo.hosted.exlibrisgroup.com/primo-explore/search?tab=default_tab&amp;search_scope=EVERYTHING&amp;vid=01CRU&amp;lang=en_US&amp;offset=0&amp;query=any,contains,991003949149702656","Catalog Record")</f>
        <v/>
      </c>
      <c r="AT103">
        <f>HYPERLINK("http://www.worldcat.org/oclc/1676344","WorldCat Record")</f>
        <v/>
      </c>
      <c r="AU103" t="inlineStr">
        <is>
          <t>309271898:eng</t>
        </is>
      </c>
      <c r="AV103" t="inlineStr">
        <is>
          <t>1676344</t>
        </is>
      </c>
      <c r="AW103" t="inlineStr">
        <is>
          <t>991003949149702656</t>
        </is>
      </c>
      <c r="AX103" t="inlineStr">
        <is>
          <t>991003949149702656</t>
        </is>
      </c>
      <c r="AY103" t="inlineStr">
        <is>
          <t>2265518540002656</t>
        </is>
      </c>
      <c r="AZ103" t="inlineStr">
        <is>
          <t>BOOK</t>
        </is>
      </c>
      <c r="BB103" t="inlineStr">
        <is>
          <t>9780393055634</t>
        </is>
      </c>
      <c r="BC103" t="inlineStr">
        <is>
          <t>32285004665609</t>
        </is>
      </c>
      <c r="BD103" t="inlineStr">
        <is>
          <t>893705819</t>
        </is>
      </c>
    </row>
    <row r="104">
      <c r="A104" t="inlineStr">
        <is>
          <t>No</t>
        </is>
      </c>
      <c r="B104" t="inlineStr">
        <is>
          <t>DC126 .L4613  2001</t>
        </is>
      </c>
      <c r="C104" t="inlineStr">
        <is>
          <t>0                      DC 0126000L  4613        2001</t>
        </is>
      </c>
      <c r="D104" t="inlineStr">
        <is>
          <t>Saint-Simon and the court of Louis XIV / Emmanuel Le Roy Ladurie, with the collaboration of Jean-François Fitou ; translated by Arthur Goldhammer.</t>
        </is>
      </c>
      <c r="F104" t="inlineStr">
        <is>
          <t>No</t>
        </is>
      </c>
      <c r="G104" t="inlineStr">
        <is>
          <t>1</t>
        </is>
      </c>
      <c r="H104" t="inlineStr">
        <is>
          <t>No</t>
        </is>
      </c>
      <c r="I104" t="inlineStr">
        <is>
          <t>No</t>
        </is>
      </c>
      <c r="J104" t="inlineStr">
        <is>
          <t>0</t>
        </is>
      </c>
      <c r="K104" t="inlineStr">
        <is>
          <t>Le Roy Ladurie, Emmanuel.</t>
        </is>
      </c>
      <c r="L104" t="inlineStr">
        <is>
          <t>Chicago : University of Chicago Press, 2001.</t>
        </is>
      </c>
      <c r="M104" t="inlineStr">
        <is>
          <t>2001</t>
        </is>
      </c>
      <c r="O104" t="inlineStr">
        <is>
          <t>eng</t>
        </is>
      </c>
      <c r="P104" t="inlineStr">
        <is>
          <t>ilu</t>
        </is>
      </c>
      <c r="R104" t="inlineStr">
        <is>
          <t xml:space="preserve">DC </t>
        </is>
      </c>
      <c r="S104" t="n">
        <v>3</v>
      </c>
      <c r="T104" t="n">
        <v>3</v>
      </c>
      <c r="U104" t="inlineStr">
        <is>
          <t>2003-10-30</t>
        </is>
      </c>
      <c r="V104" t="inlineStr">
        <is>
          <t>2003-10-30</t>
        </is>
      </c>
      <c r="W104" t="inlineStr">
        <is>
          <t>2001-08-02</t>
        </is>
      </c>
      <c r="X104" t="inlineStr">
        <is>
          <t>2001-08-02</t>
        </is>
      </c>
      <c r="Y104" t="n">
        <v>651</v>
      </c>
      <c r="Z104" t="n">
        <v>573</v>
      </c>
      <c r="AA104" t="n">
        <v>585</v>
      </c>
      <c r="AB104" t="n">
        <v>3</v>
      </c>
      <c r="AC104" t="n">
        <v>3</v>
      </c>
      <c r="AD104" t="n">
        <v>29</v>
      </c>
      <c r="AE104" t="n">
        <v>30</v>
      </c>
      <c r="AF104" t="n">
        <v>15</v>
      </c>
      <c r="AG104" t="n">
        <v>15</v>
      </c>
      <c r="AH104" t="n">
        <v>8</v>
      </c>
      <c r="AI104" t="n">
        <v>9</v>
      </c>
      <c r="AJ104" t="n">
        <v>14</v>
      </c>
      <c r="AK104" t="n">
        <v>15</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HYPERLINK("https://creighton-primo.hosted.exlibrisgroup.com/primo-explore/search?tab=default_tab&amp;search_scope=EVERYTHING&amp;vid=01CRU&amp;lang=en_US&amp;offset=0&amp;query=any,contains,991003557169702656","Catalog Record")</f>
        <v/>
      </c>
      <c r="AT104">
        <f>HYPERLINK("http://www.worldcat.org/oclc/45655247","WorldCat Record")</f>
        <v/>
      </c>
      <c r="AU104" t="inlineStr">
        <is>
          <t>5091088807:eng</t>
        </is>
      </c>
      <c r="AV104" t="inlineStr">
        <is>
          <t>45655247</t>
        </is>
      </c>
      <c r="AW104" t="inlineStr">
        <is>
          <t>991003557169702656</t>
        </is>
      </c>
      <c r="AX104" t="inlineStr">
        <is>
          <t>991003557169702656</t>
        </is>
      </c>
      <c r="AY104" t="inlineStr">
        <is>
          <t>2265579990002656</t>
        </is>
      </c>
      <c r="AZ104" t="inlineStr">
        <is>
          <t>BOOK</t>
        </is>
      </c>
      <c r="BB104" t="inlineStr">
        <is>
          <t>9780226473208</t>
        </is>
      </c>
      <c r="BC104" t="inlineStr">
        <is>
          <t>32285004375795</t>
        </is>
      </c>
      <c r="BD104" t="inlineStr">
        <is>
          <t>893604905</t>
        </is>
      </c>
    </row>
    <row r="105">
      <c r="A105" t="inlineStr">
        <is>
          <t>No</t>
        </is>
      </c>
      <c r="B105" t="inlineStr">
        <is>
          <t>DC126 .M85 1997</t>
        </is>
      </c>
      <c r="C105" t="inlineStr">
        <is>
          <t>0                      DC 0126000M  85          1997</t>
        </is>
      </c>
      <c r="D105" t="inlineStr">
        <is>
          <t>Territorial ambitions and the gardens of Versailles / Chandra Mukerji.</t>
        </is>
      </c>
      <c r="F105" t="inlineStr">
        <is>
          <t>No</t>
        </is>
      </c>
      <c r="G105" t="inlineStr">
        <is>
          <t>1</t>
        </is>
      </c>
      <c r="H105" t="inlineStr">
        <is>
          <t>No</t>
        </is>
      </c>
      <c r="I105" t="inlineStr">
        <is>
          <t>No</t>
        </is>
      </c>
      <c r="J105" t="inlineStr">
        <is>
          <t>0</t>
        </is>
      </c>
      <c r="K105" t="inlineStr">
        <is>
          <t>Mukerji, Chandra.</t>
        </is>
      </c>
      <c r="L105" t="inlineStr">
        <is>
          <t>Cambridge ; New York : Cambridge University Press, 1997.</t>
        </is>
      </c>
      <c r="M105" t="inlineStr">
        <is>
          <t>1997</t>
        </is>
      </c>
      <c r="O105" t="inlineStr">
        <is>
          <t>eng</t>
        </is>
      </c>
      <c r="P105" t="inlineStr">
        <is>
          <t>enk</t>
        </is>
      </c>
      <c r="Q105" t="inlineStr">
        <is>
          <t>Cambridge cultural social studies</t>
        </is>
      </c>
      <c r="R105" t="inlineStr">
        <is>
          <t xml:space="preserve">DC </t>
        </is>
      </c>
      <c r="S105" t="n">
        <v>1</v>
      </c>
      <c r="T105" t="n">
        <v>1</v>
      </c>
      <c r="U105" t="inlineStr">
        <is>
          <t>2010-10-05</t>
        </is>
      </c>
      <c r="V105" t="inlineStr">
        <is>
          <t>2010-10-05</t>
        </is>
      </c>
      <c r="W105" t="inlineStr">
        <is>
          <t>1998-06-16</t>
        </is>
      </c>
      <c r="X105" t="inlineStr">
        <is>
          <t>1998-06-16</t>
        </is>
      </c>
      <c r="Y105" t="n">
        <v>407</v>
      </c>
      <c r="Z105" t="n">
        <v>289</v>
      </c>
      <c r="AA105" t="n">
        <v>289</v>
      </c>
      <c r="AB105" t="n">
        <v>2</v>
      </c>
      <c r="AC105" t="n">
        <v>2</v>
      </c>
      <c r="AD105" t="n">
        <v>15</v>
      </c>
      <c r="AE105" t="n">
        <v>15</v>
      </c>
      <c r="AF105" t="n">
        <v>4</v>
      </c>
      <c r="AG105" t="n">
        <v>4</v>
      </c>
      <c r="AH105" t="n">
        <v>6</v>
      </c>
      <c r="AI105" t="n">
        <v>6</v>
      </c>
      <c r="AJ105" t="n">
        <v>9</v>
      </c>
      <c r="AK105" t="n">
        <v>9</v>
      </c>
      <c r="AL105" t="n">
        <v>1</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HYPERLINK("https://creighton-primo.hosted.exlibrisgroup.com/primo-explore/search?tab=default_tab&amp;search_scope=EVERYTHING&amp;vid=01CRU&amp;lang=en_US&amp;offset=0&amp;query=any,contains,991002729819702656","Catalog Record")</f>
        <v/>
      </c>
      <c r="AT105">
        <f>HYPERLINK("http://www.worldcat.org/oclc/35808291","WorldCat Record")</f>
        <v/>
      </c>
      <c r="AU105" t="inlineStr">
        <is>
          <t>558325:eng</t>
        </is>
      </c>
      <c r="AV105" t="inlineStr">
        <is>
          <t>35808291</t>
        </is>
      </c>
      <c r="AW105" t="inlineStr">
        <is>
          <t>991002729819702656</t>
        </is>
      </c>
      <c r="AX105" t="inlineStr">
        <is>
          <t>991002729819702656</t>
        </is>
      </c>
      <c r="AY105" t="inlineStr">
        <is>
          <t>2269720510002656</t>
        </is>
      </c>
      <c r="AZ105" t="inlineStr">
        <is>
          <t>BOOK</t>
        </is>
      </c>
      <c r="BB105" t="inlineStr">
        <is>
          <t>9780521496759</t>
        </is>
      </c>
      <c r="BC105" t="inlineStr">
        <is>
          <t>32285003421053</t>
        </is>
      </c>
      <c r="BD105" t="inlineStr">
        <is>
          <t>893523976</t>
        </is>
      </c>
    </row>
    <row r="106">
      <c r="A106" t="inlineStr">
        <is>
          <t>No</t>
        </is>
      </c>
      <c r="B106" t="inlineStr">
        <is>
          <t>DC126 .S66 2004</t>
        </is>
      </c>
      <c r="C106" t="inlineStr">
        <is>
          <t>0                      DC 0126000S  66          2004</t>
        </is>
      </c>
      <c r="D106" t="inlineStr">
        <is>
          <t>The affair of the poisons : murder, infanticide and Satanism at the court of Louis XIV / Anne Somerset.</t>
        </is>
      </c>
      <c r="F106" t="inlineStr">
        <is>
          <t>No</t>
        </is>
      </c>
      <c r="G106" t="inlineStr">
        <is>
          <t>1</t>
        </is>
      </c>
      <c r="H106" t="inlineStr">
        <is>
          <t>No</t>
        </is>
      </c>
      <c r="I106" t="inlineStr">
        <is>
          <t>No</t>
        </is>
      </c>
      <c r="J106" t="inlineStr">
        <is>
          <t>0</t>
        </is>
      </c>
      <c r="K106" t="inlineStr">
        <is>
          <t>Somerset, Anne, 1955-</t>
        </is>
      </c>
      <c r="L106" t="inlineStr">
        <is>
          <t>New York : St. Martin's Press, 2004.</t>
        </is>
      </c>
      <c r="M106" t="inlineStr">
        <is>
          <t>2004</t>
        </is>
      </c>
      <c r="N106" t="inlineStr">
        <is>
          <t>1st U.S. ed.</t>
        </is>
      </c>
      <c r="O106" t="inlineStr">
        <is>
          <t>eng</t>
        </is>
      </c>
      <c r="P106" t="inlineStr">
        <is>
          <t>nyu</t>
        </is>
      </c>
      <c r="R106" t="inlineStr">
        <is>
          <t xml:space="preserve">DC </t>
        </is>
      </c>
      <c r="S106" t="n">
        <v>5</v>
      </c>
      <c r="T106" t="n">
        <v>5</v>
      </c>
      <c r="U106" t="inlineStr">
        <is>
          <t>2009-10-16</t>
        </is>
      </c>
      <c r="V106" t="inlineStr">
        <is>
          <t>2009-10-16</t>
        </is>
      </c>
      <c r="W106" t="inlineStr">
        <is>
          <t>2004-11-30</t>
        </is>
      </c>
      <c r="X106" t="inlineStr">
        <is>
          <t>2004-11-30</t>
        </is>
      </c>
      <c r="Y106" t="n">
        <v>421</v>
      </c>
      <c r="Z106" t="n">
        <v>401</v>
      </c>
      <c r="AA106" t="n">
        <v>476</v>
      </c>
      <c r="AB106" t="n">
        <v>5</v>
      </c>
      <c r="AC106" t="n">
        <v>5</v>
      </c>
      <c r="AD106" t="n">
        <v>10</v>
      </c>
      <c r="AE106" t="n">
        <v>13</v>
      </c>
      <c r="AF106" t="n">
        <v>2</v>
      </c>
      <c r="AG106" t="n">
        <v>2</v>
      </c>
      <c r="AH106" t="n">
        <v>4</v>
      </c>
      <c r="AI106" t="n">
        <v>5</v>
      </c>
      <c r="AJ106" t="n">
        <v>2</v>
      </c>
      <c r="AK106" t="n">
        <v>5</v>
      </c>
      <c r="AL106" t="n">
        <v>4</v>
      </c>
      <c r="AM106" t="n">
        <v>4</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HYPERLINK("https://creighton-primo.hosted.exlibrisgroup.com/primo-explore/search?tab=default_tab&amp;search_scope=EVERYTHING&amp;vid=01CRU&amp;lang=en_US&amp;offset=0&amp;query=any,contains,991004403239702656","Catalog Record")</f>
        <v/>
      </c>
      <c r="AT106">
        <f>HYPERLINK("http://www.worldcat.org/oclc/55511430","WorldCat Record")</f>
        <v/>
      </c>
      <c r="AU106" t="inlineStr">
        <is>
          <t>1002892:eng</t>
        </is>
      </c>
      <c r="AV106" t="inlineStr">
        <is>
          <t>55511430</t>
        </is>
      </c>
      <c r="AW106" t="inlineStr">
        <is>
          <t>991004403239702656</t>
        </is>
      </c>
      <c r="AX106" t="inlineStr">
        <is>
          <t>991004403239702656</t>
        </is>
      </c>
      <c r="AY106" t="inlineStr">
        <is>
          <t>2261112210002656</t>
        </is>
      </c>
      <c r="AZ106" t="inlineStr">
        <is>
          <t>BOOK</t>
        </is>
      </c>
      <c r="BB106" t="inlineStr">
        <is>
          <t>9780312330170</t>
        </is>
      </c>
      <c r="BC106" t="inlineStr">
        <is>
          <t>32285005013643</t>
        </is>
      </c>
      <c r="BD106" t="inlineStr">
        <is>
          <t>893712540</t>
        </is>
      </c>
    </row>
    <row r="107">
      <c r="A107" t="inlineStr">
        <is>
          <t>No</t>
        </is>
      </c>
      <c r="B107" t="inlineStr">
        <is>
          <t>DC127.3 .L68 1976</t>
        </is>
      </c>
      <c r="C107" t="inlineStr">
        <is>
          <t>0                      DC 0127300L  68          1976</t>
        </is>
      </c>
      <c r="D107" t="inlineStr">
        <is>
          <t>Louis XIV and Europe / edited by Ragnhild Hatton.</t>
        </is>
      </c>
      <c r="F107" t="inlineStr">
        <is>
          <t>No</t>
        </is>
      </c>
      <c r="G107" t="inlineStr">
        <is>
          <t>1</t>
        </is>
      </c>
      <c r="H107" t="inlineStr">
        <is>
          <t>No</t>
        </is>
      </c>
      <c r="I107" t="inlineStr">
        <is>
          <t>No</t>
        </is>
      </c>
      <c r="J107" t="inlineStr">
        <is>
          <t>0</t>
        </is>
      </c>
      <c r="L107" t="inlineStr">
        <is>
          <t>Columbus : Ohio State University Press, 1976.</t>
        </is>
      </c>
      <c r="M107" t="inlineStr">
        <is>
          <t>1976</t>
        </is>
      </c>
      <c r="O107" t="inlineStr">
        <is>
          <t>eng</t>
        </is>
      </c>
      <c r="P107" t="inlineStr">
        <is>
          <t>ohu</t>
        </is>
      </c>
      <c r="R107" t="inlineStr">
        <is>
          <t xml:space="preserve">DC </t>
        </is>
      </c>
      <c r="S107" t="n">
        <v>8</v>
      </c>
      <c r="T107" t="n">
        <v>8</v>
      </c>
      <c r="U107" t="inlineStr">
        <is>
          <t>2001-11-19</t>
        </is>
      </c>
      <c r="V107" t="inlineStr">
        <is>
          <t>2001-11-19</t>
        </is>
      </c>
      <c r="W107" t="inlineStr">
        <is>
          <t>1990-10-23</t>
        </is>
      </c>
      <c r="X107" t="inlineStr">
        <is>
          <t>1990-10-23</t>
        </is>
      </c>
      <c r="Y107" t="n">
        <v>496</v>
      </c>
      <c r="Z107" t="n">
        <v>439</v>
      </c>
      <c r="AA107" t="n">
        <v>503</v>
      </c>
      <c r="AB107" t="n">
        <v>3</v>
      </c>
      <c r="AC107" t="n">
        <v>4</v>
      </c>
      <c r="AD107" t="n">
        <v>19</v>
      </c>
      <c r="AE107" t="n">
        <v>22</v>
      </c>
      <c r="AF107" t="n">
        <v>7</v>
      </c>
      <c r="AG107" t="n">
        <v>8</v>
      </c>
      <c r="AH107" t="n">
        <v>6</v>
      </c>
      <c r="AI107" t="n">
        <v>6</v>
      </c>
      <c r="AJ107" t="n">
        <v>10</v>
      </c>
      <c r="AK107" t="n">
        <v>12</v>
      </c>
      <c r="AL107" t="n">
        <v>2</v>
      </c>
      <c r="AM107" t="n">
        <v>3</v>
      </c>
      <c r="AN107" t="n">
        <v>0</v>
      </c>
      <c r="AO107" t="n">
        <v>0</v>
      </c>
      <c r="AP107" t="inlineStr">
        <is>
          <t>No</t>
        </is>
      </c>
      <c r="AQ107" t="inlineStr">
        <is>
          <t>Yes</t>
        </is>
      </c>
      <c r="AR107">
        <f>HYPERLINK("http://catalog.hathitrust.org/Record/000693340","HathiTrust Record")</f>
        <v/>
      </c>
      <c r="AS107">
        <f>HYPERLINK("https://creighton-primo.hosted.exlibrisgroup.com/primo-explore/search?tab=default_tab&amp;search_scope=EVERYTHING&amp;vid=01CRU&amp;lang=en_US&amp;offset=0&amp;query=any,contains,991003969469702656","Catalog Record")</f>
        <v/>
      </c>
      <c r="AT107">
        <f>HYPERLINK("http://www.worldcat.org/oclc/1991290","WorldCat Record")</f>
        <v/>
      </c>
      <c r="AU107" t="inlineStr">
        <is>
          <t>54096042:eng</t>
        </is>
      </c>
      <c r="AV107" t="inlineStr">
        <is>
          <t>1991290</t>
        </is>
      </c>
      <c r="AW107" t="inlineStr">
        <is>
          <t>991003969469702656</t>
        </is>
      </c>
      <c r="AX107" t="inlineStr">
        <is>
          <t>991003969469702656</t>
        </is>
      </c>
      <c r="AY107" t="inlineStr">
        <is>
          <t>2263978260002656</t>
        </is>
      </c>
      <c r="AZ107" t="inlineStr">
        <is>
          <t>BOOK</t>
        </is>
      </c>
      <c r="BB107" t="inlineStr">
        <is>
          <t>9780814202548</t>
        </is>
      </c>
      <c r="BC107" t="inlineStr">
        <is>
          <t>32285000352566</t>
        </is>
      </c>
      <c r="BD107" t="inlineStr">
        <is>
          <t>893705848</t>
        </is>
      </c>
    </row>
    <row r="108">
      <c r="A108" t="inlineStr">
        <is>
          <t>No</t>
        </is>
      </c>
      <c r="B108" t="inlineStr">
        <is>
          <t>DC128 .C3 1970</t>
        </is>
      </c>
      <c r="C108" t="inlineStr">
        <is>
          <t>0                      DC 0128000C  3           1970</t>
        </is>
      </c>
      <c r="D108" t="inlineStr">
        <is>
          <t>Life in France under Louis XIV / John Laurence Carr.</t>
        </is>
      </c>
      <c r="F108" t="inlineStr">
        <is>
          <t>No</t>
        </is>
      </c>
      <c r="G108" t="inlineStr">
        <is>
          <t>1</t>
        </is>
      </c>
      <c r="H108" t="inlineStr">
        <is>
          <t>No</t>
        </is>
      </c>
      <c r="I108" t="inlineStr">
        <is>
          <t>No</t>
        </is>
      </c>
      <c r="J108" t="inlineStr">
        <is>
          <t>0</t>
        </is>
      </c>
      <c r="K108" t="inlineStr">
        <is>
          <t>Carr, John Laurence.</t>
        </is>
      </c>
      <c r="L108" t="inlineStr">
        <is>
          <t>New York : Capricorn Books, [1970, c1966]</t>
        </is>
      </c>
      <c r="M108" t="inlineStr">
        <is>
          <t>1970</t>
        </is>
      </c>
      <c r="O108" t="inlineStr">
        <is>
          <t>eng</t>
        </is>
      </c>
      <c r="P108" t="inlineStr">
        <is>
          <t>nyu</t>
        </is>
      </c>
      <c r="Q108" t="inlineStr">
        <is>
          <t>Capricorn giant ; 321</t>
        </is>
      </c>
      <c r="R108" t="inlineStr">
        <is>
          <t xml:space="preserve">DC </t>
        </is>
      </c>
      <c r="S108" t="n">
        <v>5</v>
      </c>
      <c r="T108" t="n">
        <v>5</v>
      </c>
      <c r="U108" t="inlineStr">
        <is>
          <t>2010-10-10</t>
        </is>
      </c>
      <c r="V108" t="inlineStr">
        <is>
          <t>2010-10-10</t>
        </is>
      </c>
      <c r="W108" t="inlineStr">
        <is>
          <t>2002-12-11</t>
        </is>
      </c>
      <c r="X108" t="inlineStr">
        <is>
          <t>2002-12-11</t>
        </is>
      </c>
      <c r="Y108" t="n">
        <v>211</v>
      </c>
      <c r="Z108" t="n">
        <v>202</v>
      </c>
      <c r="AA108" t="n">
        <v>615</v>
      </c>
      <c r="AB108" t="n">
        <v>1</v>
      </c>
      <c r="AC108" t="n">
        <v>4</v>
      </c>
      <c r="AD108" t="n">
        <v>11</v>
      </c>
      <c r="AE108" t="n">
        <v>26</v>
      </c>
      <c r="AF108" t="n">
        <v>7</v>
      </c>
      <c r="AG108" t="n">
        <v>11</v>
      </c>
      <c r="AH108" t="n">
        <v>1</v>
      </c>
      <c r="AI108" t="n">
        <v>6</v>
      </c>
      <c r="AJ108" t="n">
        <v>7</v>
      </c>
      <c r="AK108" t="n">
        <v>15</v>
      </c>
      <c r="AL108" t="n">
        <v>0</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HYPERLINK("https://creighton-primo.hosted.exlibrisgroup.com/primo-explore/search?tab=default_tab&amp;search_scope=EVERYTHING&amp;vid=01CRU&amp;lang=en_US&amp;offset=0&amp;query=any,contains,991003960549702656","Catalog Record")</f>
        <v/>
      </c>
      <c r="AT108">
        <f>HYPERLINK("http://www.worldcat.org/oclc/477805","WorldCat Record")</f>
        <v/>
      </c>
      <c r="AU108" t="inlineStr">
        <is>
          <t>1346674:eng</t>
        </is>
      </c>
      <c r="AV108" t="inlineStr">
        <is>
          <t>477805</t>
        </is>
      </c>
      <c r="AW108" t="inlineStr">
        <is>
          <t>991003960549702656</t>
        </is>
      </c>
      <c r="AX108" t="inlineStr">
        <is>
          <t>991003960549702656</t>
        </is>
      </c>
      <c r="AY108" t="inlineStr">
        <is>
          <t>2264146310002656</t>
        </is>
      </c>
      <c r="AZ108" t="inlineStr">
        <is>
          <t>BOOK</t>
        </is>
      </c>
      <c r="BC108" t="inlineStr">
        <is>
          <t>32285004690714</t>
        </is>
      </c>
      <c r="BD108" t="inlineStr">
        <is>
          <t>893722191</t>
        </is>
      </c>
    </row>
    <row r="109">
      <c r="A109" t="inlineStr">
        <is>
          <t>No</t>
        </is>
      </c>
      <c r="B109" t="inlineStr">
        <is>
          <t>DC129 .B36 1938a</t>
        </is>
      </c>
      <c r="C109" t="inlineStr">
        <is>
          <t>0                      DC 0129000B  36          1938a</t>
        </is>
      </c>
      <c r="D109" t="inlineStr">
        <is>
          <t>Louis XIV / by Hilaire Belloc.</t>
        </is>
      </c>
      <c r="F109" t="inlineStr">
        <is>
          <t>No</t>
        </is>
      </c>
      <c r="G109" t="inlineStr">
        <is>
          <t>1</t>
        </is>
      </c>
      <c r="H109" t="inlineStr">
        <is>
          <t>No</t>
        </is>
      </c>
      <c r="I109" t="inlineStr">
        <is>
          <t>No</t>
        </is>
      </c>
      <c r="J109" t="inlineStr">
        <is>
          <t>0</t>
        </is>
      </c>
      <c r="K109" t="inlineStr">
        <is>
          <t>Belloc, Hilaire, 1870-1953.</t>
        </is>
      </c>
      <c r="L109" t="inlineStr">
        <is>
          <t>New York ; London : Harper &amp; Brothers, 1938.</t>
        </is>
      </c>
      <c r="M109" t="inlineStr">
        <is>
          <t>1938</t>
        </is>
      </c>
      <c r="O109" t="inlineStr">
        <is>
          <t>eng</t>
        </is>
      </c>
      <c r="P109" t="inlineStr">
        <is>
          <t>nyu</t>
        </is>
      </c>
      <c r="R109" t="inlineStr">
        <is>
          <t xml:space="preserve">DC </t>
        </is>
      </c>
      <c r="S109" t="n">
        <v>3</v>
      </c>
      <c r="T109" t="n">
        <v>3</v>
      </c>
      <c r="U109" t="inlineStr">
        <is>
          <t>2003-05-28</t>
        </is>
      </c>
      <c r="V109" t="inlineStr">
        <is>
          <t>2003-05-28</t>
        </is>
      </c>
      <c r="W109" t="inlineStr">
        <is>
          <t>1992-11-05</t>
        </is>
      </c>
      <c r="X109" t="inlineStr">
        <is>
          <t>1992-11-05</t>
        </is>
      </c>
      <c r="Y109" t="n">
        <v>425</v>
      </c>
      <c r="Z109" t="n">
        <v>409</v>
      </c>
      <c r="AA109" t="n">
        <v>419</v>
      </c>
      <c r="AB109" t="n">
        <v>3</v>
      </c>
      <c r="AC109" t="n">
        <v>3</v>
      </c>
      <c r="AD109" t="n">
        <v>35</v>
      </c>
      <c r="AE109" t="n">
        <v>35</v>
      </c>
      <c r="AF109" t="n">
        <v>12</v>
      </c>
      <c r="AG109" t="n">
        <v>12</v>
      </c>
      <c r="AH109" t="n">
        <v>8</v>
      </c>
      <c r="AI109" t="n">
        <v>8</v>
      </c>
      <c r="AJ109" t="n">
        <v>26</v>
      </c>
      <c r="AK109" t="n">
        <v>26</v>
      </c>
      <c r="AL109" t="n">
        <v>1</v>
      </c>
      <c r="AM109" t="n">
        <v>1</v>
      </c>
      <c r="AN109" t="n">
        <v>0</v>
      </c>
      <c r="AO109" t="n">
        <v>0</v>
      </c>
      <c r="AP109" t="inlineStr">
        <is>
          <t>No</t>
        </is>
      </c>
      <c r="AQ109" t="inlineStr">
        <is>
          <t>Yes</t>
        </is>
      </c>
      <c r="AR109">
        <f>HYPERLINK("http://catalog.hathitrust.org/Record/000563028","HathiTrust Record")</f>
        <v/>
      </c>
      <c r="AS109">
        <f>HYPERLINK("https://creighton-primo.hosted.exlibrisgroup.com/primo-explore/search?tab=default_tab&amp;search_scope=EVERYTHING&amp;vid=01CRU&amp;lang=en_US&amp;offset=0&amp;query=any,contains,991002644899702656","Catalog Record")</f>
        <v/>
      </c>
      <c r="AT109">
        <f>HYPERLINK("http://www.worldcat.org/oclc/385560","WorldCat Record")</f>
        <v/>
      </c>
      <c r="AU109" t="inlineStr">
        <is>
          <t>2475583:eng</t>
        </is>
      </c>
      <c r="AV109" t="inlineStr">
        <is>
          <t>385560</t>
        </is>
      </c>
      <c r="AW109" t="inlineStr">
        <is>
          <t>991002644899702656</t>
        </is>
      </c>
      <c r="AX109" t="inlineStr">
        <is>
          <t>991002644899702656</t>
        </is>
      </c>
      <c r="AY109" t="inlineStr">
        <is>
          <t>2258906750002656</t>
        </is>
      </c>
      <c r="AZ109" t="inlineStr">
        <is>
          <t>BOOK</t>
        </is>
      </c>
      <c r="BC109" t="inlineStr">
        <is>
          <t>32285001382422</t>
        </is>
      </c>
      <c r="BD109" t="inlineStr">
        <is>
          <t>893773853</t>
        </is>
      </c>
    </row>
    <row r="110">
      <c r="A110" t="inlineStr">
        <is>
          <t>No</t>
        </is>
      </c>
      <c r="B110" t="inlineStr">
        <is>
          <t>DC129 .B375 1987</t>
        </is>
      </c>
      <c r="C110" t="inlineStr">
        <is>
          <t>0                      DC 0129000B  375         1987</t>
        </is>
      </c>
      <c r="D110" t="inlineStr">
        <is>
          <t>Louis XIV : a royal life / Olivier Bernier.</t>
        </is>
      </c>
      <c r="F110" t="inlineStr">
        <is>
          <t>No</t>
        </is>
      </c>
      <c r="G110" t="inlineStr">
        <is>
          <t>1</t>
        </is>
      </c>
      <c r="H110" t="inlineStr">
        <is>
          <t>No</t>
        </is>
      </c>
      <c r="I110" t="inlineStr">
        <is>
          <t>No</t>
        </is>
      </c>
      <c r="J110" t="inlineStr">
        <is>
          <t>0</t>
        </is>
      </c>
      <c r="K110" t="inlineStr">
        <is>
          <t>Bernier, Olivier.</t>
        </is>
      </c>
      <c r="L110" t="inlineStr">
        <is>
          <t>Garden City, N.Y. : Doubleday, 1987.</t>
        </is>
      </c>
      <c r="M110" t="inlineStr">
        <is>
          <t>1987</t>
        </is>
      </c>
      <c r="N110" t="inlineStr">
        <is>
          <t>1st ed.</t>
        </is>
      </c>
      <c r="O110" t="inlineStr">
        <is>
          <t>eng</t>
        </is>
      </c>
      <c r="P110" t="inlineStr">
        <is>
          <t>nyu</t>
        </is>
      </c>
      <c r="R110" t="inlineStr">
        <is>
          <t xml:space="preserve">DC </t>
        </is>
      </c>
      <c r="S110" t="n">
        <v>5</v>
      </c>
      <c r="T110" t="n">
        <v>5</v>
      </c>
      <c r="U110" t="inlineStr">
        <is>
          <t>2007-04-02</t>
        </is>
      </c>
      <c r="V110" t="inlineStr">
        <is>
          <t>2007-04-02</t>
        </is>
      </c>
      <c r="W110" t="inlineStr">
        <is>
          <t>1990-07-19</t>
        </is>
      </c>
      <c r="X110" t="inlineStr">
        <is>
          <t>1990-07-19</t>
        </is>
      </c>
      <c r="Y110" t="n">
        <v>1289</v>
      </c>
      <c r="Z110" t="n">
        <v>1202</v>
      </c>
      <c r="AA110" t="n">
        <v>1221</v>
      </c>
      <c r="AB110" t="n">
        <v>10</v>
      </c>
      <c r="AC110" t="n">
        <v>10</v>
      </c>
      <c r="AD110" t="n">
        <v>31</v>
      </c>
      <c r="AE110" t="n">
        <v>31</v>
      </c>
      <c r="AF110" t="n">
        <v>12</v>
      </c>
      <c r="AG110" t="n">
        <v>12</v>
      </c>
      <c r="AH110" t="n">
        <v>6</v>
      </c>
      <c r="AI110" t="n">
        <v>6</v>
      </c>
      <c r="AJ110" t="n">
        <v>17</v>
      </c>
      <c r="AK110" t="n">
        <v>17</v>
      </c>
      <c r="AL110" t="n">
        <v>5</v>
      </c>
      <c r="AM110" t="n">
        <v>5</v>
      </c>
      <c r="AN110" t="n">
        <v>0</v>
      </c>
      <c r="AO110" t="n">
        <v>0</v>
      </c>
      <c r="AP110" t="inlineStr">
        <is>
          <t>No</t>
        </is>
      </c>
      <c r="AQ110" t="inlineStr">
        <is>
          <t>Yes</t>
        </is>
      </c>
      <c r="AR110">
        <f>HYPERLINK("http://catalog.hathitrust.org/Record/000858928","HathiTrust Record")</f>
        <v/>
      </c>
      <c r="AS110">
        <f>HYPERLINK("https://creighton-primo.hosted.exlibrisgroup.com/primo-explore/search?tab=default_tab&amp;search_scope=EVERYTHING&amp;vid=01CRU&amp;lang=en_US&amp;offset=0&amp;query=any,contains,991001016229702656","Catalog Record")</f>
        <v/>
      </c>
      <c r="AT110">
        <f>HYPERLINK("http://www.worldcat.org/oclc/15317800","WorldCat Record")</f>
        <v/>
      </c>
      <c r="AU110" t="inlineStr">
        <is>
          <t>196640912:eng</t>
        </is>
      </c>
      <c r="AV110" t="inlineStr">
        <is>
          <t>15317800</t>
        </is>
      </c>
      <c r="AW110" t="inlineStr">
        <is>
          <t>991001016229702656</t>
        </is>
      </c>
      <c r="AX110" t="inlineStr">
        <is>
          <t>991001016229702656</t>
        </is>
      </c>
      <c r="AY110" t="inlineStr">
        <is>
          <t>2258491010002656</t>
        </is>
      </c>
      <c r="AZ110" t="inlineStr">
        <is>
          <t>BOOK</t>
        </is>
      </c>
      <c r="BB110" t="inlineStr">
        <is>
          <t>9780385197854</t>
        </is>
      </c>
      <c r="BC110" t="inlineStr">
        <is>
          <t>32285000245703</t>
        </is>
      </c>
      <c r="BD110" t="inlineStr">
        <is>
          <t>893608469</t>
        </is>
      </c>
    </row>
    <row r="111">
      <c r="A111" t="inlineStr">
        <is>
          <t>No</t>
        </is>
      </c>
      <c r="B111" t="inlineStr">
        <is>
          <t>DC129 .B42 1928</t>
        </is>
      </c>
      <c r="C111" t="inlineStr">
        <is>
          <t>0                      DC 0129000B  42          1928</t>
        </is>
      </c>
      <c r="D111" t="inlineStr">
        <is>
          <t>Louis XIV / by Louis Bertrand; translated by Cleveland B. Chase.</t>
        </is>
      </c>
      <c r="F111" t="inlineStr">
        <is>
          <t>No</t>
        </is>
      </c>
      <c r="G111" t="inlineStr">
        <is>
          <t>1</t>
        </is>
      </c>
      <c r="H111" t="inlineStr">
        <is>
          <t>No</t>
        </is>
      </c>
      <c r="I111" t="inlineStr">
        <is>
          <t>No</t>
        </is>
      </c>
      <c r="J111" t="inlineStr">
        <is>
          <t>0</t>
        </is>
      </c>
      <c r="K111" t="inlineStr">
        <is>
          <t>Bertrand, Louis, 1866-1941.</t>
        </is>
      </c>
      <c r="L111" t="inlineStr">
        <is>
          <t>New York ; London : Longmans, Green and Co., 1928.</t>
        </is>
      </c>
      <c r="M111" t="inlineStr">
        <is>
          <t>1928</t>
        </is>
      </c>
      <c r="O111" t="inlineStr">
        <is>
          <t>eng</t>
        </is>
      </c>
      <c r="P111" t="inlineStr">
        <is>
          <t>nyu</t>
        </is>
      </c>
      <c r="R111" t="inlineStr">
        <is>
          <t xml:space="preserve">DC </t>
        </is>
      </c>
      <c r="S111" t="n">
        <v>1</v>
      </c>
      <c r="T111" t="n">
        <v>1</v>
      </c>
      <c r="U111" t="inlineStr">
        <is>
          <t>2010-12-01</t>
        </is>
      </c>
      <c r="V111" t="inlineStr">
        <is>
          <t>2010-12-01</t>
        </is>
      </c>
      <c r="W111" t="inlineStr">
        <is>
          <t>1992-11-05</t>
        </is>
      </c>
      <c r="X111" t="inlineStr">
        <is>
          <t>1992-11-05</t>
        </is>
      </c>
      <c r="Y111" t="n">
        <v>440</v>
      </c>
      <c r="Z111" t="n">
        <v>400</v>
      </c>
      <c r="AA111" t="n">
        <v>409</v>
      </c>
      <c r="AB111" t="n">
        <v>4</v>
      </c>
      <c r="AC111" t="n">
        <v>4</v>
      </c>
      <c r="AD111" t="n">
        <v>22</v>
      </c>
      <c r="AE111" t="n">
        <v>23</v>
      </c>
      <c r="AF111" t="n">
        <v>8</v>
      </c>
      <c r="AG111" t="n">
        <v>8</v>
      </c>
      <c r="AH111" t="n">
        <v>5</v>
      </c>
      <c r="AI111" t="n">
        <v>6</v>
      </c>
      <c r="AJ111" t="n">
        <v>15</v>
      </c>
      <c r="AK111" t="n">
        <v>16</v>
      </c>
      <c r="AL111" t="n">
        <v>2</v>
      </c>
      <c r="AM111" t="n">
        <v>2</v>
      </c>
      <c r="AN111" t="n">
        <v>0</v>
      </c>
      <c r="AO111" t="n">
        <v>0</v>
      </c>
      <c r="AP111" t="inlineStr">
        <is>
          <t>No</t>
        </is>
      </c>
      <c r="AQ111" t="inlineStr">
        <is>
          <t>Yes</t>
        </is>
      </c>
      <c r="AR111">
        <f>HYPERLINK("http://catalog.hathitrust.org/Record/000563038","HathiTrust Record")</f>
        <v/>
      </c>
      <c r="AS111">
        <f>HYPERLINK("https://creighton-primo.hosted.exlibrisgroup.com/primo-explore/search?tab=default_tab&amp;search_scope=EVERYTHING&amp;vid=01CRU&amp;lang=en_US&amp;offset=0&amp;query=any,contains,991002797639702656","Catalog Record")</f>
        <v/>
      </c>
      <c r="AT111">
        <f>HYPERLINK("http://www.worldcat.org/oclc/445774","WorldCat Record")</f>
        <v/>
      </c>
      <c r="AU111" t="inlineStr">
        <is>
          <t>1472525:eng</t>
        </is>
      </c>
      <c r="AV111" t="inlineStr">
        <is>
          <t>445774</t>
        </is>
      </c>
      <c r="AW111" t="inlineStr">
        <is>
          <t>991002797639702656</t>
        </is>
      </c>
      <c r="AX111" t="inlineStr">
        <is>
          <t>991002797639702656</t>
        </is>
      </c>
      <c r="AY111" t="inlineStr">
        <is>
          <t>2263043710002656</t>
        </is>
      </c>
      <c r="AZ111" t="inlineStr">
        <is>
          <t>BOOK</t>
        </is>
      </c>
      <c r="BC111" t="inlineStr">
        <is>
          <t>32285001382414</t>
        </is>
      </c>
      <c r="BD111" t="inlineStr">
        <is>
          <t>893511205</t>
        </is>
      </c>
    </row>
    <row r="112">
      <c r="A112" t="inlineStr">
        <is>
          <t>No</t>
        </is>
      </c>
      <c r="B112" t="inlineStr">
        <is>
          <t>DC129 .B5513 1990b</t>
        </is>
      </c>
      <c r="C112" t="inlineStr">
        <is>
          <t>0                      DC 0129000B  5513        1990b</t>
        </is>
      </c>
      <c r="D112" t="inlineStr">
        <is>
          <t>Louis XIV / François Bluche ; translated by Mark Greengrass.</t>
        </is>
      </c>
      <c r="F112" t="inlineStr">
        <is>
          <t>No</t>
        </is>
      </c>
      <c r="G112" t="inlineStr">
        <is>
          <t>1</t>
        </is>
      </c>
      <c r="H112" t="inlineStr">
        <is>
          <t>No</t>
        </is>
      </c>
      <c r="I112" t="inlineStr">
        <is>
          <t>No</t>
        </is>
      </c>
      <c r="J112" t="inlineStr">
        <is>
          <t>0</t>
        </is>
      </c>
      <c r="K112" t="inlineStr">
        <is>
          <t>Bluche, François.</t>
        </is>
      </c>
      <c r="L112" t="inlineStr">
        <is>
          <t>Oxford : Basil Blackwell, 1990.</t>
        </is>
      </c>
      <c r="M112" t="inlineStr">
        <is>
          <t>1990</t>
        </is>
      </c>
      <c r="O112" t="inlineStr">
        <is>
          <t>eng</t>
        </is>
      </c>
      <c r="P112" t="inlineStr">
        <is>
          <t>enk</t>
        </is>
      </c>
      <c r="R112" t="inlineStr">
        <is>
          <t xml:space="preserve">DC </t>
        </is>
      </c>
      <c r="S112" t="n">
        <v>9</v>
      </c>
      <c r="T112" t="n">
        <v>9</v>
      </c>
      <c r="U112" t="inlineStr">
        <is>
          <t>2002-12-02</t>
        </is>
      </c>
      <c r="V112" t="inlineStr">
        <is>
          <t>2002-12-02</t>
        </is>
      </c>
      <c r="W112" t="inlineStr">
        <is>
          <t>1991-04-24</t>
        </is>
      </c>
      <c r="X112" t="inlineStr">
        <is>
          <t>1991-04-24</t>
        </is>
      </c>
      <c r="Y112" t="n">
        <v>171</v>
      </c>
      <c r="Z112" t="n">
        <v>56</v>
      </c>
      <c r="AA112" t="n">
        <v>327</v>
      </c>
      <c r="AB112" t="n">
        <v>1</v>
      </c>
      <c r="AC112" t="n">
        <v>1</v>
      </c>
      <c r="AD112" t="n">
        <v>2</v>
      </c>
      <c r="AE112" t="n">
        <v>11</v>
      </c>
      <c r="AF112" t="n">
        <v>0</v>
      </c>
      <c r="AG112" t="n">
        <v>3</v>
      </c>
      <c r="AH112" t="n">
        <v>2</v>
      </c>
      <c r="AI112" t="n">
        <v>4</v>
      </c>
      <c r="AJ112" t="n">
        <v>1</v>
      </c>
      <c r="AK112" t="n">
        <v>8</v>
      </c>
      <c r="AL112" t="n">
        <v>0</v>
      </c>
      <c r="AM112" t="n">
        <v>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HYPERLINK("https://creighton-primo.hosted.exlibrisgroup.com/primo-explore/search?tab=default_tab&amp;search_scope=EVERYTHING&amp;vid=01CRU&amp;lang=en_US&amp;offset=0&amp;query=any,contains,991001668609702656","Catalog Record")</f>
        <v/>
      </c>
      <c r="AT112">
        <f>HYPERLINK("http://www.worldcat.org/oclc/21231750","WorldCat Record")</f>
        <v/>
      </c>
      <c r="AU112" t="inlineStr">
        <is>
          <t>8237187:eng</t>
        </is>
      </c>
      <c r="AV112" t="inlineStr">
        <is>
          <t>21231750</t>
        </is>
      </c>
      <c r="AW112" t="inlineStr">
        <is>
          <t>991001668609702656</t>
        </is>
      </c>
      <c r="AX112" t="inlineStr">
        <is>
          <t>991001668609702656</t>
        </is>
      </c>
      <c r="AY112" t="inlineStr">
        <is>
          <t>2262521670002656</t>
        </is>
      </c>
      <c r="AZ112" t="inlineStr">
        <is>
          <t>BOOK</t>
        </is>
      </c>
      <c r="BB112" t="inlineStr">
        <is>
          <t>9780631160038</t>
        </is>
      </c>
      <c r="BC112" t="inlineStr">
        <is>
          <t>32285000568708</t>
        </is>
      </c>
      <c r="BD112" t="inlineStr">
        <is>
          <t>893791612</t>
        </is>
      </c>
    </row>
    <row r="113">
      <c r="A113" t="inlineStr">
        <is>
          <t>No</t>
        </is>
      </c>
      <c r="B113" t="inlineStr">
        <is>
          <t>DC129 .B8</t>
        </is>
      </c>
      <c r="C113" t="inlineStr">
        <is>
          <t>0                      DC 0129000B  8</t>
        </is>
      </c>
      <c r="D113" t="inlineStr">
        <is>
          <t>Louis XIV.</t>
        </is>
      </c>
      <c r="F113" t="inlineStr">
        <is>
          <t>No</t>
        </is>
      </c>
      <c r="G113" t="inlineStr">
        <is>
          <t>1</t>
        </is>
      </c>
      <c r="H113" t="inlineStr">
        <is>
          <t>No</t>
        </is>
      </c>
      <c r="I113" t="inlineStr">
        <is>
          <t>No</t>
        </is>
      </c>
      <c r="J113" t="inlineStr">
        <is>
          <t>0</t>
        </is>
      </c>
      <c r="K113" t="inlineStr">
        <is>
          <t>Buranelli, Vincent.</t>
        </is>
      </c>
      <c r="L113" t="inlineStr">
        <is>
          <t>New York : Twayne Publishers, [1966]</t>
        </is>
      </c>
      <c r="M113" t="inlineStr">
        <is>
          <t>1966</t>
        </is>
      </c>
      <c r="O113" t="inlineStr">
        <is>
          <t>eng</t>
        </is>
      </c>
      <c r="P113" t="inlineStr">
        <is>
          <t>nyu</t>
        </is>
      </c>
      <c r="Q113" t="inlineStr">
        <is>
          <t>Twayne's rulers and statesmen of the world series ; 1</t>
        </is>
      </c>
      <c r="R113" t="inlineStr">
        <is>
          <t xml:space="preserve">DC </t>
        </is>
      </c>
      <c r="S113" t="n">
        <v>3</v>
      </c>
      <c r="T113" t="n">
        <v>3</v>
      </c>
      <c r="U113" t="inlineStr">
        <is>
          <t>2003-11-06</t>
        </is>
      </c>
      <c r="V113" t="inlineStr">
        <is>
          <t>2003-11-06</t>
        </is>
      </c>
      <c r="W113" t="inlineStr">
        <is>
          <t>1992-10-16</t>
        </is>
      </c>
      <c r="X113" t="inlineStr">
        <is>
          <t>1992-10-16</t>
        </is>
      </c>
      <c r="Y113" t="n">
        <v>715</v>
      </c>
      <c r="Z113" t="n">
        <v>665</v>
      </c>
      <c r="AA113" t="n">
        <v>672</v>
      </c>
      <c r="AB113" t="n">
        <v>5</v>
      </c>
      <c r="AC113" t="n">
        <v>5</v>
      </c>
      <c r="AD113" t="n">
        <v>21</v>
      </c>
      <c r="AE113" t="n">
        <v>21</v>
      </c>
      <c r="AF113" t="n">
        <v>6</v>
      </c>
      <c r="AG113" t="n">
        <v>6</v>
      </c>
      <c r="AH113" t="n">
        <v>3</v>
      </c>
      <c r="AI113" t="n">
        <v>3</v>
      </c>
      <c r="AJ113" t="n">
        <v>13</v>
      </c>
      <c r="AK113" t="n">
        <v>13</v>
      </c>
      <c r="AL113" t="n">
        <v>3</v>
      </c>
      <c r="AM113" t="n">
        <v>3</v>
      </c>
      <c r="AN113" t="n">
        <v>0</v>
      </c>
      <c r="AO113" t="n">
        <v>0</v>
      </c>
      <c r="AP113" t="inlineStr">
        <is>
          <t>No</t>
        </is>
      </c>
      <c r="AQ113" t="inlineStr">
        <is>
          <t>Yes</t>
        </is>
      </c>
      <c r="AR113">
        <f>HYPERLINK("http://catalog.hathitrust.org/Record/000563043","HathiTrust Record")</f>
        <v/>
      </c>
      <c r="AS113">
        <f>HYPERLINK("https://creighton-primo.hosted.exlibrisgroup.com/primo-explore/search?tab=default_tab&amp;search_scope=EVERYTHING&amp;vid=01CRU&amp;lang=en_US&amp;offset=0&amp;query=any,contains,991002701509702656","Catalog Record")</f>
        <v/>
      </c>
      <c r="AT113">
        <f>HYPERLINK("http://www.worldcat.org/oclc/405694","WorldCat Record")</f>
        <v/>
      </c>
      <c r="AU113" t="inlineStr">
        <is>
          <t>4820878181:eng</t>
        </is>
      </c>
      <c r="AV113" t="inlineStr">
        <is>
          <t>405694</t>
        </is>
      </c>
      <c r="AW113" t="inlineStr">
        <is>
          <t>991002701509702656</t>
        </is>
      </c>
      <c r="AX113" t="inlineStr">
        <is>
          <t>991002701509702656</t>
        </is>
      </c>
      <c r="AY113" t="inlineStr">
        <is>
          <t>2260418830002656</t>
        </is>
      </c>
      <c r="AZ113" t="inlineStr">
        <is>
          <t>BOOK</t>
        </is>
      </c>
      <c r="BC113" t="inlineStr">
        <is>
          <t>32285001350882</t>
        </is>
      </c>
      <c r="BD113" t="inlineStr">
        <is>
          <t>893616448</t>
        </is>
      </c>
    </row>
    <row r="114">
      <c r="A114" t="inlineStr">
        <is>
          <t>No</t>
        </is>
      </c>
      <c r="B114" t="inlineStr">
        <is>
          <t>DC129 .J26</t>
        </is>
      </c>
      <c r="C114" t="inlineStr">
        <is>
          <t>0                      DC 0129000J  26</t>
        </is>
      </c>
      <c r="D114" t="inlineStr">
        <is>
          <t>The life and times of Louis the Fourteenth / by G. P. R. James.</t>
        </is>
      </c>
      <c r="E114" t="inlineStr">
        <is>
          <t>V.1</t>
        </is>
      </c>
      <c r="F114" t="inlineStr">
        <is>
          <t>Yes</t>
        </is>
      </c>
      <c r="G114" t="inlineStr">
        <is>
          <t>1</t>
        </is>
      </c>
      <c r="H114" t="inlineStr">
        <is>
          <t>No</t>
        </is>
      </c>
      <c r="I114" t="inlineStr">
        <is>
          <t>No</t>
        </is>
      </c>
      <c r="J114" t="inlineStr">
        <is>
          <t>0</t>
        </is>
      </c>
      <c r="K114" t="inlineStr">
        <is>
          <t>James, G. P. R. (George Payne Rainsford), 1801?-1860.</t>
        </is>
      </c>
      <c r="L114" t="inlineStr">
        <is>
          <t>London : H. G. Bohn, 1851.</t>
        </is>
      </c>
      <c r="M114" t="inlineStr">
        <is>
          <t>1851</t>
        </is>
      </c>
      <c r="N114" t="inlineStr">
        <is>
          <t>A new ed.</t>
        </is>
      </c>
      <c r="O114" t="inlineStr">
        <is>
          <t>eng</t>
        </is>
      </c>
      <c r="P114" t="inlineStr">
        <is>
          <t>enk</t>
        </is>
      </c>
      <c r="R114" t="inlineStr">
        <is>
          <t xml:space="preserve">DC </t>
        </is>
      </c>
      <c r="S114" t="n">
        <v>3</v>
      </c>
      <c r="T114" t="n">
        <v>4</v>
      </c>
      <c r="U114" t="inlineStr">
        <is>
          <t>1996-02-05</t>
        </is>
      </c>
      <c r="V114" t="inlineStr">
        <is>
          <t>1996-02-05</t>
        </is>
      </c>
      <c r="W114" t="inlineStr">
        <is>
          <t>1992-10-16</t>
        </is>
      </c>
      <c r="X114" t="inlineStr">
        <is>
          <t>1995-09-18</t>
        </is>
      </c>
      <c r="Y114" t="n">
        <v>69</v>
      </c>
      <c r="Z114" t="n">
        <v>56</v>
      </c>
      <c r="AA114" t="n">
        <v>63</v>
      </c>
      <c r="AB114" t="n">
        <v>1</v>
      </c>
      <c r="AC114" t="n">
        <v>1</v>
      </c>
      <c r="AD114" t="n">
        <v>2</v>
      </c>
      <c r="AE114" t="n">
        <v>2</v>
      </c>
      <c r="AF114" t="n">
        <v>1</v>
      </c>
      <c r="AG114" t="n">
        <v>1</v>
      </c>
      <c r="AH114" t="n">
        <v>0</v>
      </c>
      <c r="AI114" t="n">
        <v>0</v>
      </c>
      <c r="AJ114" t="n">
        <v>1</v>
      </c>
      <c r="AK114" t="n">
        <v>1</v>
      </c>
      <c r="AL114" t="n">
        <v>0</v>
      </c>
      <c r="AM114" t="n">
        <v>0</v>
      </c>
      <c r="AN114" t="n">
        <v>0</v>
      </c>
      <c r="AO114" t="n">
        <v>0</v>
      </c>
      <c r="AP114" t="inlineStr">
        <is>
          <t>Yes</t>
        </is>
      </c>
      <c r="AQ114" t="inlineStr">
        <is>
          <t>No</t>
        </is>
      </c>
      <c r="AR114">
        <f>HYPERLINK("http://catalog.hathitrust.org/Record/008981349","HathiTrust Record")</f>
        <v/>
      </c>
      <c r="AS114">
        <f>HYPERLINK("https://creighton-primo.hosted.exlibrisgroup.com/primo-explore/search?tab=default_tab&amp;search_scope=EVERYTHING&amp;vid=01CRU&amp;lang=en_US&amp;offset=0&amp;query=any,contains,991004332359702656","Catalog Record")</f>
        <v/>
      </c>
      <c r="AT114">
        <f>HYPERLINK("http://www.worldcat.org/oclc/3065028","WorldCat Record")</f>
        <v/>
      </c>
      <c r="AU114" t="inlineStr">
        <is>
          <t>3133017239:eng</t>
        </is>
      </c>
      <c r="AV114" t="inlineStr">
        <is>
          <t>3065028</t>
        </is>
      </c>
      <c r="AW114" t="inlineStr">
        <is>
          <t>991004332359702656</t>
        </is>
      </c>
      <c r="AX114" t="inlineStr">
        <is>
          <t>991004332359702656</t>
        </is>
      </c>
      <c r="AY114" t="inlineStr">
        <is>
          <t>2265729860002656</t>
        </is>
      </c>
      <c r="AZ114" t="inlineStr">
        <is>
          <t>BOOK</t>
        </is>
      </c>
      <c r="BC114" t="inlineStr">
        <is>
          <t>32285001350874</t>
        </is>
      </c>
      <c r="BD114" t="inlineStr">
        <is>
          <t>893436158</t>
        </is>
      </c>
    </row>
    <row r="115">
      <c r="A115" t="inlineStr">
        <is>
          <t>No</t>
        </is>
      </c>
      <c r="B115" t="inlineStr">
        <is>
          <t>DC129 .J26</t>
        </is>
      </c>
      <c r="C115" t="inlineStr">
        <is>
          <t>0                      DC 0129000J  26</t>
        </is>
      </c>
      <c r="D115" t="inlineStr">
        <is>
          <t>The life and times of Louis the Fourteenth / by G. P. R. James.</t>
        </is>
      </c>
      <c r="E115" t="inlineStr">
        <is>
          <t>V.2</t>
        </is>
      </c>
      <c r="F115" t="inlineStr">
        <is>
          <t>Yes</t>
        </is>
      </c>
      <c r="G115" t="inlineStr">
        <is>
          <t>1</t>
        </is>
      </c>
      <c r="H115" t="inlineStr">
        <is>
          <t>No</t>
        </is>
      </c>
      <c r="I115" t="inlineStr">
        <is>
          <t>No</t>
        </is>
      </c>
      <c r="J115" t="inlineStr">
        <is>
          <t>0</t>
        </is>
      </c>
      <c r="K115" t="inlineStr">
        <is>
          <t>James, G. P. R. (George Payne Rainsford), 1801?-1860.</t>
        </is>
      </c>
      <c r="L115" t="inlineStr">
        <is>
          <t>London : H. G. Bohn, 1851.</t>
        </is>
      </c>
      <c r="M115" t="inlineStr">
        <is>
          <t>1851</t>
        </is>
      </c>
      <c r="N115" t="inlineStr">
        <is>
          <t>A new ed.</t>
        </is>
      </c>
      <c r="O115" t="inlineStr">
        <is>
          <t>eng</t>
        </is>
      </c>
      <c r="P115" t="inlineStr">
        <is>
          <t>enk</t>
        </is>
      </c>
      <c r="R115" t="inlineStr">
        <is>
          <t xml:space="preserve">DC </t>
        </is>
      </c>
      <c r="S115" t="n">
        <v>1</v>
      </c>
      <c r="T115" t="n">
        <v>4</v>
      </c>
      <c r="V115" t="inlineStr">
        <is>
          <t>1996-02-05</t>
        </is>
      </c>
      <c r="W115" t="inlineStr">
        <is>
          <t>1995-09-18</t>
        </is>
      </c>
      <c r="X115" t="inlineStr">
        <is>
          <t>1995-09-18</t>
        </is>
      </c>
      <c r="Y115" t="n">
        <v>69</v>
      </c>
      <c r="Z115" t="n">
        <v>56</v>
      </c>
      <c r="AA115" t="n">
        <v>63</v>
      </c>
      <c r="AB115" t="n">
        <v>1</v>
      </c>
      <c r="AC115" t="n">
        <v>1</v>
      </c>
      <c r="AD115" t="n">
        <v>2</v>
      </c>
      <c r="AE115" t="n">
        <v>2</v>
      </c>
      <c r="AF115" t="n">
        <v>1</v>
      </c>
      <c r="AG115" t="n">
        <v>1</v>
      </c>
      <c r="AH115" t="n">
        <v>0</v>
      </c>
      <c r="AI115" t="n">
        <v>0</v>
      </c>
      <c r="AJ115" t="n">
        <v>1</v>
      </c>
      <c r="AK115" t="n">
        <v>1</v>
      </c>
      <c r="AL115" t="n">
        <v>0</v>
      </c>
      <c r="AM115" t="n">
        <v>0</v>
      </c>
      <c r="AN115" t="n">
        <v>0</v>
      </c>
      <c r="AO115" t="n">
        <v>0</v>
      </c>
      <c r="AP115" t="inlineStr">
        <is>
          <t>Yes</t>
        </is>
      </c>
      <c r="AQ115" t="inlineStr">
        <is>
          <t>No</t>
        </is>
      </c>
      <c r="AR115">
        <f>HYPERLINK("http://catalog.hathitrust.org/Record/008981349","HathiTrust Record")</f>
        <v/>
      </c>
      <c r="AS115">
        <f>HYPERLINK("https://creighton-primo.hosted.exlibrisgroup.com/primo-explore/search?tab=default_tab&amp;search_scope=EVERYTHING&amp;vid=01CRU&amp;lang=en_US&amp;offset=0&amp;query=any,contains,991004332359702656","Catalog Record")</f>
        <v/>
      </c>
      <c r="AT115">
        <f>HYPERLINK("http://www.worldcat.org/oclc/3065028","WorldCat Record")</f>
        <v/>
      </c>
      <c r="AU115" t="inlineStr">
        <is>
          <t>3133017239:eng</t>
        </is>
      </c>
      <c r="AV115" t="inlineStr">
        <is>
          <t>3065028</t>
        </is>
      </c>
      <c r="AW115" t="inlineStr">
        <is>
          <t>991004332359702656</t>
        </is>
      </c>
      <c r="AX115" t="inlineStr">
        <is>
          <t>991004332359702656</t>
        </is>
      </c>
      <c r="AY115" t="inlineStr">
        <is>
          <t>2265729860002656</t>
        </is>
      </c>
      <c r="AZ115" t="inlineStr">
        <is>
          <t>BOOK</t>
        </is>
      </c>
      <c r="BC115" t="inlineStr">
        <is>
          <t>32285002024098</t>
        </is>
      </c>
      <c r="BD115" t="inlineStr">
        <is>
          <t>893417498</t>
        </is>
      </c>
    </row>
    <row r="116">
      <c r="A116" t="inlineStr">
        <is>
          <t>No</t>
        </is>
      </c>
      <c r="B116" t="inlineStr">
        <is>
          <t>DC129 .M5513 1983</t>
        </is>
      </c>
      <c r="C116" t="inlineStr">
        <is>
          <t>0                      DC 0129000M  5513        1983</t>
        </is>
      </c>
      <c r="D116" t="inlineStr">
        <is>
          <t>Louis XIV, the other side of the sun / Prince Michael of Greece ; translated by Alan Sheridan.</t>
        </is>
      </c>
      <c r="F116" t="inlineStr">
        <is>
          <t>No</t>
        </is>
      </c>
      <c r="G116" t="inlineStr">
        <is>
          <t>1</t>
        </is>
      </c>
      <c r="H116" t="inlineStr">
        <is>
          <t>No</t>
        </is>
      </c>
      <c r="I116" t="inlineStr">
        <is>
          <t>No</t>
        </is>
      </c>
      <c r="J116" t="inlineStr">
        <is>
          <t>0</t>
        </is>
      </c>
      <c r="K116" t="inlineStr">
        <is>
          <t>Michel, Prince of Greece, 1939-</t>
        </is>
      </c>
      <c r="L116" t="inlineStr">
        <is>
          <t>New York : Harper &amp; Row, c1983.</t>
        </is>
      </c>
      <c r="M116" t="inlineStr">
        <is>
          <t>1983</t>
        </is>
      </c>
      <c r="N116" t="inlineStr">
        <is>
          <t>1st U.S. ed.</t>
        </is>
      </c>
      <c r="O116" t="inlineStr">
        <is>
          <t>eng</t>
        </is>
      </c>
      <c r="P116" t="inlineStr">
        <is>
          <t>nyu</t>
        </is>
      </c>
      <c r="R116" t="inlineStr">
        <is>
          <t xml:space="preserve">DC </t>
        </is>
      </c>
      <c r="S116" t="n">
        <v>6</v>
      </c>
      <c r="T116" t="n">
        <v>6</v>
      </c>
      <c r="U116" t="inlineStr">
        <is>
          <t>1996-02-14</t>
        </is>
      </c>
      <c r="V116" t="inlineStr">
        <is>
          <t>1996-02-14</t>
        </is>
      </c>
      <c r="W116" t="inlineStr">
        <is>
          <t>1990-02-20</t>
        </is>
      </c>
      <c r="X116" t="inlineStr">
        <is>
          <t>1990-02-20</t>
        </is>
      </c>
      <c r="Y116" t="n">
        <v>517</v>
      </c>
      <c r="Z116" t="n">
        <v>500</v>
      </c>
      <c r="AA116" t="n">
        <v>546</v>
      </c>
      <c r="AB116" t="n">
        <v>3</v>
      </c>
      <c r="AC116" t="n">
        <v>4</v>
      </c>
      <c r="AD116" t="n">
        <v>11</v>
      </c>
      <c r="AE116" t="n">
        <v>13</v>
      </c>
      <c r="AF116" t="n">
        <v>1</v>
      </c>
      <c r="AG116" t="n">
        <v>2</v>
      </c>
      <c r="AH116" t="n">
        <v>6</v>
      </c>
      <c r="AI116" t="n">
        <v>6</v>
      </c>
      <c r="AJ116" t="n">
        <v>7</v>
      </c>
      <c r="AK116" t="n">
        <v>8</v>
      </c>
      <c r="AL116" t="n">
        <v>1</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HYPERLINK("https://creighton-primo.hosted.exlibrisgroup.com/primo-explore/search?tab=default_tab&amp;search_scope=EVERYTHING&amp;vid=01CRU&amp;lang=en_US&amp;offset=0&amp;query=any,contains,991000342459702656","Catalog Record")</f>
        <v/>
      </c>
      <c r="AT116">
        <f>HYPERLINK("http://www.worldcat.org/oclc/10274858","WorldCat Record")</f>
        <v/>
      </c>
      <c r="AU116" t="inlineStr">
        <is>
          <t>3301011:eng</t>
        </is>
      </c>
      <c r="AV116" t="inlineStr">
        <is>
          <t>10274858</t>
        </is>
      </c>
      <c r="AW116" t="inlineStr">
        <is>
          <t>991000342459702656</t>
        </is>
      </c>
      <c r="AX116" t="inlineStr">
        <is>
          <t>991000342459702656</t>
        </is>
      </c>
      <c r="AY116" t="inlineStr">
        <is>
          <t>2270270260002656</t>
        </is>
      </c>
      <c r="AZ116" t="inlineStr">
        <is>
          <t>BOOK</t>
        </is>
      </c>
      <c r="BB116" t="inlineStr">
        <is>
          <t>9780060152178</t>
        </is>
      </c>
      <c r="BC116" t="inlineStr">
        <is>
          <t>32285000056993</t>
        </is>
      </c>
      <c r="BD116" t="inlineStr">
        <is>
          <t>893589364</t>
        </is>
      </c>
    </row>
    <row r="117">
      <c r="A117" t="inlineStr">
        <is>
          <t>No</t>
        </is>
      </c>
      <c r="B117" t="inlineStr">
        <is>
          <t>DC129 .O4 1969</t>
        </is>
      </c>
      <c r="C117" t="inlineStr">
        <is>
          <t>0                      DC 0129000O  4           1969</t>
        </is>
      </c>
      <c r="D117" t="inlineStr">
        <is>
          <t>Louis XIV / David Ogg.</t>
        </is>
      </c>
      <c r="F117" t="inlineStr">
        <is>
          <t>No</t>
        </is>
      </c>
      <c r="G117" t="inlineStr">
        <is>
          <t>1</t>
        </is>
      </c>
      <c r="H117" t="inlineStr">
        <is>
          <t>No</t>
        </is>
      </c>
      <c r="I117" t="inlineStr">
        <is>
          <t>No</t>
        </is>
      </c>
      <c r="J117" t="inlineStr">
        <is>
          <t>0</t>
        </is>
      </c>
      <c r="K117" t="inlineStr">
        <is>
          <t>Ogg, David, 1887-1965.</t>
        </is>
      </c>
      <c r="L117" t="inlineStr">
        <is>
          <t>London ; New York : Oxford University Press, [1969, c1967]</t>
        </is>
      </c>
      <c r="M117" t="inlineStr">
        <is>
          <t>1969</t>
        </is>
      </c>
      <c r="O117" t="inlineStr">
        <is>
          <t>eng</t>
        </is>
      </c>
      <c r="P117" t="inlineStr">
        <is>
          <t>enk</t>
        </is>
      </c>
      <c r="Q117" t="inlineStr">
        <is>
          <t>Oxford paperbacks university series ; Opus 21</t>
        </is>
      </c>
      <c r="R117" t="inlineStr">
        <is>
          <t xml:space="preserve">DC </t>
        </is>
      </c>
      <c r="S117" t="n">
        <v>1</v>
      </c>
      <c r="T117" t="n">
        <v>1</v>
      </c>
      <c r="U117" t="inlineStr">
        <is>
          <t>2002-11-21</t>
        </is>
      </c>
      <c r="V117" t="inlineStr">
        <is>
          <t>2002-11-21</t>
        </is>
      </c>
      <c r="W117" t="inlineStr">
        <is>
          <t>2002-11-21</t>
        </is>
      </c>
      <c r="X117" t="inlineStr">
        <is>
          <t>2002-11-21</t>
        </is>
      </c>
      <c r="Y117" t="n">
        <v>15</v>
      </c>
      <c r="Z117" t="n">
        <v>7</v>
      </c>
      <c r="AA117" t="n">
        <v>492</v>
      </c>
      <c r="AB117" t="n">
        <v>1</v>
      </c>
      <c r="AC117" t="n">
        <v>4</v>
      </c>
      <c r="AD117" t="n">
        <v>0</v>
      </c>
      <c r="AE117" t="n">
        <v>27</v>
      </c>
      <c r="AF117" t="n">
        <v>0</v>
      </c>
      <c r="AG117" t="n">
        <v>9</v>
      </c>
      <c r="AH117" t="n">
        <v>0</v>
      </c>
      <c r="AI117" t="n">
        <v>6</v>
      </c>
      <c r="AJ117" t="n">
        <v>0</v>
      </c>
      <c r="AK117" t="n">
        <v>15</v>
      </c>
      <c r="AL117" t="n">
        <v>0</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HYPERLINK("https://creighton-primo.hosted.exlibrisgroup.com/primo-explore/search?tab=default_tab&amp;search_scope=EVERYTHING&amp;vid=01CRU&amp;lang=en_US&amp;offset=0&amp;query=any,contains,991003949369702656","Catalog Record")</f>
        <v/>
      </c>
      <c r="AT117">
        <f>HYPERLINK("http://www.worldcat.org/oclc/15158479","WorldCat Record")</f>
        <v/>
      </c>
      <c r="AU117" t="inlineStr">
        <is>
          <t>1367256:eng</t>
        </is>
      </c>
      <c r="AV117" t="inlineStr">
        <is>
          <t>15158479</t>
        </is>
      </c>
      <c r="AW117" t="inlineStr">
        <is>
          <t>991003949369702656</t>
        </is>
      </c>
      <c r="AX117" t="inlineStr">
        <is>
          <t>991003949369702656</t>
        </is>
      </c>
      <c r="AY117" t="inlineStr">
        <is>
          <t>2265739900002656</t>
        </is>
      </c>
      <c r="AZ117" t="inlineStr">
        <is>
          <t>BOOK</t>
        </is>
      </c>
      <c r="BC117" t="inlineStr">
        <is>
          <t>32285004665641</t>
        </is>
      </c>
      <c r="BD117" t="inlineStr">
        <is>
          <t>893894396</t>
        </is>
      </c>
    </row>
    <row r="118">
      <c r="A118" t="inlineStr">
        <is>
          <t>No</t>
        </is>
      </c>
      <c r="B118" t="inlineStr">
        <is>
          <t>DC129 .W6 1968</t>
        </is>
      </c>
      <c r="C118" t="inlineStr">
        <is>
          <t>0                      DC 0129000W  6           1968</t>
        </is>
      </c>
      <c r="D118" t="inlineStr">
        <is>
          <t>Louis XIV / by John B. Wolf.</t>
        </is>
      </c>
      <c r="F118" t="inlineStr">
        <is>
          <t>No</t>
        </is>
      </c>
      <c r="G118" t="inlineStr">
        <is>
          <t>1</t>
        </is>
      </c>
      <c r="H118" t="inlineStr">
        <is>
          <t>No</t>
        </is>
      </c>
      <c r="I118" t="inlineStr">
        <is>
          <t>No</t>
        </is>
      </c>
      <c r="J118" t="inlineStr">
        <is>
          <t>0</t>
        </is>
      </c>
      <c r="K118" t="inlineStr">
        <is>
          <t>Wolf, John B. (John Baptiste), 1907-1996.</t>
        </is>
      </c>
      <c r="L118" t="inlineStr">
        <is>
          <t>New York : Norton, [1968]</t>
        </is>
      </c>
      <c r="M118" t="inlineStr">
        <is>
          <t>1968</t>
        </is>
      </c>
      <c r="N118" t="inlineStr">
        <is>
          <t>[1st ed.]</t>
        </is>
      </c>
      <c r="O118" t="inlineStr">
        <is>
          <t>eng</t>
        </is>
      </c>
      <c r="P118" t="inlineStr">
        <is>
          <t>nyu</t>
        </is>
      </c>
      <c r="R118" t="inlineStr">
        <is>
          <t xml:space="preserve">DC </t>
        </is>
      </c>
      <c r="S118" t="n">
        <v>8</v>
      </c>
      <c r="T118" t="n">
        <v>8</v>
      </c>
      <c r="U118" t="inlineStr">
        <is>
          <t>2007-03-29</t>
        </is>
      </c>
      <c r="V118" t="inlineStr">
        <is>
          <t>2007-03-29</t>
        </is>
      </c>
      <c r="W118" t="inlineStr">
        <is>
          <t>1990-02-22</t>
        </is>
      </c>
      <c r="X118" t="inlineStr">
        <is>
          <t>1990-02-22</t>
        </is>
      </c>
      <c r="Y118" t="n">
        <v>1401</v>
      </c>
      <c r="Z118" t="n">
        <v>1296</v>
      </c>
      <c r="AA118" t="n">
        <v>1342</v>
      </c>
      <c r="AB118" t="n">
        <v>9</v>
      </c>
      <c r="AC118" t="n">
        <v>9</v>
      </c>
      <c r="AD118" t="n">
        <v>50</v>
      </c>
      <c r="AE118" t="n">
        <v>52</v>
      </c>
      <c r="AF118" t="n">
        <v>23</v>
      </c>
      <c r="AG118" t="n">
        <v>24</v>
      </c>
      <c r="AH118" t="n">
        <v>10</v>
      </c>
      <c r="AI118" t="n">
        <v>11</v>
      </c>
      <c r="AJ118" t="n">
        <v>22</v>
      </c>
      <c r="AK118" t="n">
        <v>23</v>
      </c>
      <c r="AL118" t="n">
        <v>7</v>
      </c>
      <c r="AM118" t="n">
        <v>7</v>
      </c>
      <c r="AN118" t="n">
        <v>0</v>
      </c>
      <c r="AO118" t="n">
        <v>0</v>
      </c>
      <c r="AP118" t="inlineStr">
        <is>
          <t>No</t>
        </is>
      </c>
      <c r="AQ118" t="inlineStr">
        <is>
          <t>Yes</t>
        </is>
      </c>
      <c r="AR118">
        <f>HYPERLINK("http://catalog.hathitrust.org/Record/004406040","HathiTrust Record")</f>
        <v/>
      </c>
      <c r="AS118">
        <f>HYPERLINK("https://creighton-primo.hosted.exlibrisgroup.com/primo-explore/search?tab=default_tab&amp;search_scope=EVERYTHING&amp;vid=01CRU&amp;lang=en_US&amp;offset=0&amp;query=any,contains,991003184169702656","Catalog Record")</f>
        <v/>
      </c>
      <c r="AT118">
        <f>HYPERLINK("http://www.worldcat.org/oclc/712450","WorldCat Record")</f>
        <v/>
      </c>
      <c r="AU118" t="inlineStr">
        <is>
          <t>3943361120:eng</t>
        </is>
      </c>
      <c r="AV118" t="inlineStr">
        <is>
          <t>712450</t>
        </is>
      </c>
      <c r="AW118" t="inlineStr">
        <is>
          <t>991003184169702656</t>
        </is>
      </c>
      <c r="AX118" t="inlineStr">
        <is>
          <t>991003184169702656</t>
        </is>
      </c>
      <c r="AY118" t="inlineStr">
        <is>
          <t>2256757230002656</t>
        </is>
      </c>
      <c r="AZ118" t="inlineStr">
        <is>
          <t>BOOK</t>
        </is>
      </c>
      <c r="BC118" t="inlineStr">
        <is>
          <t>32285000060086</t>
        </is>
      </c>
      <c r="BD118" t="inlineStr">
        <is>
          <t>893711120</t>
        </is>
      </c>
    </row>
    <row r="119">
      <c r="A119" t="inlineStr">
        <is>
          <t>No</t>
        </is>
      </c>
      <c r="B119" t="inlineStr">
        <is>
          <t>DC130.M4 D413</t>
        </is>
      </c>
      <c r="C119" t="inlineStr">
        <is>
          <t>0                      DC 0130000M  4                  D  413</t>
        </is>
      </c>
      <c r="D119" t="inlineStr">
        <is>
          <t>The young Mazarin / Georges Dethan.</t>
        </is>
      </c>
      <c r="F119" t="inlineStr">
        <is>
          <t>No</t>
        </is>
      </c>
      <c r="G119" t="inlineStr">
        <is>
          <t>1</t>
        </is>
      </c>
      <c r="H119" t="inlineStr">
        <is>
          <t>No</t>
        </is>
      </c>
      <c r="I119" t="inlineStr">
        <is>
          <t>No</t>
        </is>
      </c>
      <c r="J119" t="inlineStr">
        <is>
          <t>0</t>
        </is>
      </c>
      <c r="K119" t="inlineStr">
        <is>
          <t>Dethan, Georges, 1923-</t>
        </is>
      </c>
      <c r="L119" t="inlineStr">
        <is>
          <t>London : Thames &amp; Hudson, c1977.</t>
        </is>
      </c>
      <c r="M119" t="inlineStr">
        <is>
          <t>1977</t>
        </is>
      </c>
      <c r="O119" t="inlineStr">
        <is>
          <t>eng</t>
        </is>
      </c>
      <c r="P119" t="inlineStr">
        <is>
          <t>enk</t>
        </is>
      </c>
      <c r="Q119" t="inlineStr">
        <is>
          <t>Men in office</t>
        </is>
      </c>
      <c r="R119" t="inlineStr">
        <is>
          <t xml:space="preserve">DC </t>
        </is>
      </c>
      <c r="S119" t="n">
        <v>1</v>
      </c>
      <c r="T119" t="n">
        <v>1</v>
      </c>
      <c r="U119" t="inlineStr">
        <is>
          <t>1992-10-11</t>
        </is>
      </c>
      <c r="V119" t="inlineStr">
        <is>
          <t>1992-10-11</t>
        </is>
      </c>
      <c r="W119" t="inlineStr">
        <is>
          <t>1990-12-07</t>
        </is>
      </c>
      <c r="X119" t="inlineStr">
        <is>
          <t>1990-12-07</t>
        </is>
      </c>
      <c r="Y119" t="n">
        <v>462</v>
      </c>
      <c r="Z119" t="n">
        <v>336</v>
      </c>
      <c r="AA119" t="n">
        <v>341</v>
      </c>
      <c r="AB119" t="n">
        <v>3</v>
      </c>
      <c r="AC119" t="n">
        <v>3</v>
      </c>
      <c r="AD119" t="n">
        <v>15</v>
      </c>
      <c r="AE119" t="n">
        <v>15</v>
      </c>
      <c r="AF119" t="n">
        <v>4</v>
      </c>
      <c r="AG119" t="n">
        <v>4</v>
      </c>
      <c r="AH119" t="n">
        <v>5</v>
      </c>
      <c r="AI119" t="n">
        <v>5</v>
      </c>
      <c r="AJ119" t="n">
        <v>9</v>
      </c>
      <c r="AK119" t="n">
        <v>9</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HYPERLINK("https://creighton-primo.hosted.exlibrisgroup.com/primo-explore/search?tab=default_tab&amp;search_scope=EVERYTHING&amp;vid=01CRU&amp;lang=en_US&amp;offset=0&amp;query=any,contains,991004357389702656","Catalog Record")</f>
        <v/>
      </c>
      <c r="AT119">
        <f>HYPERLINK("http://www.worldcat.org/oclc/3148259","WorldCat Record")</f>
        <v/>
      </c>
      <c r="AU119" t="inlineStr">
        <is>
          <t>3901529653:eng</t>
        </is>
      </c>
      <c r="AV119" t="inlineStr">
        <is>
          <t>3148259</t>
        </is>
      </c>
      <c r="AW119" t="inlineStr">
        <is>
          <t>991004357389702656</t>
        </is>
      </c>
      <c r="AX119" t="inlineStr">
        <is>
          <t>991004357389702656</t>
        </is>
      </c>
      <c r="AY119" t="inlineStr">
        <is>
          <t>2256062070002656</t>
        </is>
      </c>
      <c r="AZ119" t="inlineStr">
        <is>
          <t>BOOK</t>
        </is>
      </c>
      <c r="BB119" t="inlineStr">
        <is>
          <t>9780500870044</t>
        </is>
      </c>
      <c r="BC119" t="inlineStr">
        <is>
          <t>32285000394055</t>
        </is>
      </c>
      <c r="BD119" t="inlineStr">
        <is>
          <t>893904824</t>
        </is>
      </c>
    </row>
    <row r="120">
      <c r="A120" t="inlineStr">
        <is>
          <t>No</t>
        </is>
      </c>
      <c r="B120" t="inlineStr">
        <is>
          <t>DC130.M4 H3 1970</t>
        </is>
      </c>
      <c r="C120" t="inlineStr">
        <is>
          <t>0                      DC 0130000M  4                  H  3           1970</t>
        </is>
      </c>
      <c r="D120" t="inlineStr">
        <is>
          <t>Mazarin.</t>
        </is>
      </c>
      <c r="F120" t="inlineStr">
        <is>
          <t>No</t>
        </is>
      </c>
      <c r="G120" t="inlineStr">
        <is>
          <t>1</t>
        </is>
      </c>
      <c r="H120" t="inlineStr">
        <is>
          <t>No</t>
        </is>
      </c>
      <c r="I120" t="inlineStr">
        <is>
          <t>No</t>
        </is>
      </c>
      <c r="J120" t="inlineStr">
        <is>
          <t>0</t>
        </is>
      </c>
      <c r="K120" t="inlineStr">
        <is>
          <t>Hassall, Arthur, 1853-1930.</t>
        </is>
      </c>
      <c r="L120" t="inlineStr">
        <is>
          <t>Port Washington, N.Y., Kennikat Press [1970]</t>
        </is>
      </c>
      <c r="M120" t="inlineStr">
        <is>
          <t>1970</t>
        </is>
      </c>
      <c r="O120" t="inlineStr">
        <is>
          <t>eng</t>
        </is>
      </c>
      <c r="P120" t="inlineStr">
        <is>
          <t>nyu</t>
        </is>
      </c>
      <c r="R120" t="inlineStr">
        <is>
          <t xml:space="preserve">DC </t>
        </is>
      </c>
      <c r="S120" t="n">
        <v>2</v>
      </c>
      <c r="T120" t="n">
        <v>2</v>
      </c>
      <c r="U120" t="inlineStr">
        <is>
          <t>1999-04-20</t>
        </is>
      </c>
      <c r="V120" t="inlineStr">
        <is>
          <t>1999-04-20</t>
        </is>
      </c>
      <c r="W120" t="inlineStr">
        <is>
          <t>1996-11-05</t>
        </is>
      </c>
      <c r="X120" t="inlineStr">
        <is>
          <t>1996-11-05</t>
        </is>
      </c>
      <c r="Y120" t="n">
        <v>166</v>
      </c>
      <c r="Z120" t="n">
        <v>143</v>
      </c>
      <c r="AA120" t="n">
        <v>471</v>
      </c>
      <c r="AB120" t="n">
        <v>1</v>
      </c>
      <c r="AC120" t="n">
        <v>5</v>
      </c>
      <c r="AD120" t="n">
        <v>8</v>
      </c>
      <c r="AE120" t="n">
        <v>25</v>
      </c>
      <c r="AF120" t="n">
        <v>2</v>
      </c>
      <c r="AG120" t="n">
        <v>9</v>
      </c>
      <c r="AH120" t="n">
        <v>5</v>
      </c>
      <c r="AI120" t="n">
        <v>7</v>
      </c>
      <c r="AJ120" t="n">
        <v>5</v>
      </c>
      <c r="AK120" t="n">
        <v>13</v>
      </c>
      <c r="AL120" t="n">
        <v>0</v>
      </c>
      <c r="AM120" t="n">
        <v>4</v>
      </c>
      <c r="AN120" t="n">
        <v>0</v>
      </c>
      <c r="AO120" t="n">
        <v>0</v>
      </c>
      <c r="AP120" t="inlineStr">
        <is>
          <t>No</t>
        </is>
      </c>
      <c r="AQ120" t="inlineStr">
        <is>
          <t>Yes</t>
        </is>
      </c>
      <c r="AR120">
        <f>HYPERLINK("http://catalog.hathitrust.org/Record/000456826","HathiTrust Record")</f>
        <v/>
      </c>
      <c r="AS120">
        <f>HYPERLINK("https://creighton-primo.hosted.exlibrisgroup.com/primo-explore/search?tab=default_tab&amp;search_scope=EVERYTHING&amp;vid=01CRU&amp;lang=en_US&amp;offset=0&amp;query=any,contains,991000622959702656","Catalog Record")</f>
        <v/>
      </c>
      <c r="AT120">
        <f>HYPERLINK("http://www.worldcat.org/oclc/103096","WorldCat Record")</f>
        <v/>
      </c>
      <c r="AU120" t="inlineStr">
        <is>
          <t>498876:eng</t>
        </is>
      </c>
      <c r="AV120" t="inlineStr">
        <is>
          <t>103096</t>
        </is>
      </c>
      <c r="AW120" t="inlineStr">
        <is>
          <t>991000622959702656</t>
        </is>
      </c>
      <c r="AX120" t="inlineStr">
        <is>
          <t>991000622959702656</t>
        </is>
      </c>
      <c r="AY120" t="inlineStr">
        <is>
          <t>2260158890002656</t>
        </is>
      </c>
      <c r="AZ120" t="inlineStr">
        <is>
          <t>BOOK</t>
        </is>
      </c>
      <c r="BB120" t="inlineStr">
        <is>
          <t>9780804610735</t>
        </is>
      </c>
      <c r="BC120" t="inlineStr">
        <is>
          <t>32285002341237</t>
        </is>
      </c>
      <c r="BD120" t="inlineStr">
        <is>
          <t>893534240</t>
        </is>
      </c>
    </row>
    <row r="121">
      <c r="A121" t="inlineStr">
        <is>
          <t>No</t>
        </is>
      </c>
      <c r="B121" t="inlineStr">
        <is>
          <t>DC130.S2 A23</t>
        </is>
      </c>
      <c r="C121" t="inlineStr">
        <is>
          <t>0                      DC 0130000S  2                  A  23</t>
        </is>
      </c>
      <c r="D121" t="inlineStr">
        <is>
          <t>Memoirs covering the years 1691-1723. Selected, translated &amp; edited by Desmond Flower.</t>
        </is>
      </c>
      <c r="E121" t="inlineStr">
        <is>
          <t>V.1</t>
        </is>
      </c>
      <c r="F121" t="inlineStr">
        <is>
          <t>Yes</t>
        </is>
      </c>
      <c r="G121" t="inlineStr">
        <is>
          <t>1</t>
        </is>
      </c>
      <c r="H121" t="inlineStr">
        <is>
          <t>No</t>
        </is>
      </c>
      <c r="I121" t="inlineStr">
        <is>
          <t>No</t>
        </is>
      </c>
      <c r="J121" t="inlineStr">
        <is>
          <t>0</t>
        </is>
      </c>
      <c r="K121" t="inlineStr">
        <is>
          <t>Saint-Simon, Louis de Rouvroy, duc de, 1675-1755.</t>
        </is>
      </c>
      <c r="L121" t="inlineStr">
        <is>
          <t>[New York] Limited Editions Club, 1959.</t>
        </is>
      </c>
      <c r="M121" t="inlineStr">
        <is>
          <t>1959</t>
        </is>
      </c>
      <c r="O121" t="inlineStr">
        <is>
          <t>eng</t>
        </is>
      </c>
      <c r="P121" t="inlineStr">
        <is>
          <t>nyu</t>
        </is>
      </c>
      <c r="R121" t="inlineStr">
        <is>
          <t xml:space="preserve">DC </t>
        </is>
      </c>
      <c r="S121" t="n">
        <v>1</v>
      </c>
      <c r="T121" t="n">
        <v>2</v>
      </c>
      <c r="U121" t="inlineStr">
        <is>
          <t>2006-02-12</t>
        </is>
      </c>
      <c r="V121" t="inlineStr">
        <is>
          <t>2006-02-12</t>
        </is>
      </c>
      <c r="W121" t="inlineStr">
        <is>
          <t>1996-11-05</t>
        </is>
      </c>
      <c r="X121" t="inlineStr">
        <is>
          <t>1996-11-05</t>
        </is>
      </c>
      <c r="Y121" t="n">
        <v>107</v>
      </c>
      <c r="Z121" t="n">
        <v>100</v>
      </c>
      <c r="AA121" t="n">
        <v>203</v>
      </c>
      <c r="AB121" t="n">
        <v>2</v>
      </c>
      <c r="AC121" t="n">
        <v>2</v>
      </c>
      <c r="AD121" t="n">
        <v>4</v>
      </c>
      <c r="AE121" t="n">
        <v>8</v>
      </c>
      <c r="AF121" t="n">
        <v>2</v>
      </c>
      <c r="AG121" t="n">
        <v>4</v>
      </c>
      <c r="AH121" t="n">
        <v>2</v>
      </c>
      <c r="AI121" t="n">
        <v>2</v>
      </c>
      <c r="AJ121" t="n">
        <v>2</v>
      </c>
      <c r="AK121" t="n">
        <v>4</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HYPERLINK("https://creighton-primo.hosted.exlibrisgroup.com/primo-explore/search?tab=default_tab&amp;search_scope=EVERYTHING&amp;vid=01CRU&amp;lang=en_US&amp;offset=0&amp;query=any,contains,991004105839702656","Catalog Record")</f>
        <v/>
      </c>
      <c r="AT121">
        <f>HYPERLINK("http://www.worldcat.org/oclc/2383811","WorldCat Record")</f>
        <v/>
      </c>
      <c r="AU121" t="inlineStr">
        <is>
          <t>3856255159:eng</t>
        </is>
      </c>
      <c r="AV121" t="inlineStr">
        <is>
          <t>2383811</t>
        </is>
      </c>
      <c r="AW121" t="inlineStr">
        <is>
          <t>991004105839702656</t>
        </is>
      </c>
      <c r="AX121" t="inlineStr">
        <is>
          <t>991004105839702656</t>
        </is>
      </c>
      <c r="AY121" t="inlineStr">
        <is>
          <t>2255013410002656</t>
        </is>
      </c>
      <c r="AZ121" t="inlineStr">
        <is>
          <t>BOOK</t>
        </is>
      </c>
      <c r="BC121" t="inlineStr">
        <is>
          <t>32285002341336</t>
        </is>
      </c>
      <c r="BD121" t="inlineStr">
        <is>
          <t>893611926</t>
        </is>
      </c>
    </row>
    <row r="122">
      <c r="A122" t="inlineStr">
        <is>
          <t>No</t>
        </is>
      </c>
      <c r="B122" t="inlineStr">
        <is>
          <t>DC130.S2 A23</t>
        </is>
      </c>
      <c r="C122" t="inlineStr">
        <is>
          <t>0                      DC 0130000S  2                  A  23</t>
        </is>
      </c>
      <c r="D122" t="inlineStr">
        <is>
          <t>Memoirs covering the years 1691-1723. Selected, translated &amp; edited by Desmond Flower.</t>
        </is>
      </c>
      <c r="E122" t="inlineStr">
        <is>
          <t>V.2</t>
        </is>
      </c>
      <c r="F122" t="inlineStr">
        <is>
          <t>Yes</t>
        </is>
      </c>
      <c r="G122" t="inlineStr">
        <is>
          <t>1</t>
        </is>
      </c>
      <c r="H122" t="inlineStr">
        <is>
          <t>No</t>
        </is>
      </c>
      <c r="I122" t="inlineStr">
        <is>
          <t>No</t>
        </is>
      </c>
      <c r="J122" t="inlineStr">
        <is>
          <t>0</t>
        </is>
      </c>
      <c r="K122" t="inlineStr">
        <is>
          <t>Saint-Simon, Louis de Rouvroy, duc de, 1675-1755.</t>
        </is>
      </c>
      <c r="L122" t="inlineStr">
        <is>
          <t>[New York] Limited Editions Club, 1959.</t>
        </is>
      </c>
      <c r="M122" t="inlineStr">
        <is>
          <t>1959</t>
        </is>
      </c>
      <c r="O122" t="inlineStr">
        <is>
          <t>eng</t>
        </is>
      </c>
      <c r="P122" t="inlineStr">
        <is>
          <t>nyu</t>
        </is>
      </c>
      <c r="R122" t="inlineStr">
        <is>
          <t xml:space="preserve">DC </t>
        </is>
      </c>
      <c r="S122" t="n">
        <v>1</v>
      </c>
      <c r="T122" t="n">
        <v>2</v>
      </c>
      <c r="U122" t="inlineStr">
        <is>
          <t>2006-02-12</t>
        </is>
      </c>
      <c r="V122" t="inlineStr">
        <is>
          <t>2006-02-12</t>
        </is>
      </c>
      <c r="W122" t="inlineStr">
        <is>
          <t>1996-11-05</t>
        </is>
      </c>
      <c r="X122" t="inlineStr">
        <is>
          <t>1996-11-05</t>
        </is>
      </c>
      <c r="Y122" t="n">
        <v>107</v>
      </c>
      <c r="Z122" t="n">
        <v>100</v>
      </c>
      <c r="AA122" t="n">
        <v>203</v>
      </c>
      <c r="AB122" t="n">
        <v>2</v>
      </c>
      <c r="AC122" t="n">
        <v>2</v>
      </c>
      <c r="AD122" t="n">
        <v>4</v>
      </c>
      <c r="AE122" t="n">
        <v>8</v>
      </c>
      <c r="AF122" t="n">
        <v>2</v>
      </c>
      <c r="AG122" t="n">
        <v>4</v>
      </c>
      <c r="AH122" t="n">
        <v>2</v>
      </c>
      <c r="AI122" t="n">
        <v>2</v>
      </c>
      <c r="AJ122" t="n">
        <v>2</v>
      </c>
      <c r="AK122" t="n">
        <v>4</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HYPERLINK("https://creighton-primo.hosted.exlibrisgroup.com/primo-explore/search?tab=default_tab&amp;search_scope=EVERYTHING&amp;vid=01CRU&amp;lang=en_US&amp;offset=0&amp;query=any,contains,991004105839702656","Catalog Record")</f>
        <v/>
      </c>
      <c r="AT122">
        <f>HYPERLINK("http://www.worldcat.org/oclc/2383811","WorldCat Record")</f>
        <v/>
      </c>
      <c r="AU122" t="inlineStr">
        <is>
          <t>3856255159:eng</t>
        </is>
      </c>
      <c r="AV122" t="inlineStr">
        <is>
          <t>2383811</t>
        </is>
      </c>
      <c r="AW122" t="inlineStr">
        <is>
          <t>991004105839702656</t>
        </is>
      </c>
      <c r="AX122" t="inlineStr">
        <is>
          <t>991004105839702656</t>
        </is>
      </c>
      <c r="AY122" t="inlineStr">
        <is>
          <t>2255013410002656</t>
        </is>
      </c>
      <c r="AZ122" t="inlineStr">
        <is>
          <t>BOOK</t>
        </is>
      </c>
      <c r="BC122" t="inlineStr">
        <is>
          <t>32285002341344</t>
        </is>
      </c>
      <c r="BD122" t="inlineStr">
        <is>
          <t>893611927</t>
        </is>
      </c>
    </row>
    <row r="123">
      <c r="A123" t="inlineStr">
        <is>
          <t>No</t>
        </is>
      </c>
      <c r="B123" t="inlineStr">
        <is>
          <t>DC131 .J66 2002</t>
        </is>
      </c>
      <c r="C123" t="inlineStr">
        <is>
          <t>0                      DC 0131000J  66          2002</t>
        </is>
      </c>
      <c r="D123" t="inlineStr">
        <is>
          <t>The great nation : France from Louis XV to Napoleon 1715-99 / Colin Jones.</t>
        </is>
      </c>
      <c r="F123" t="inlineStr">
        <is>
          <t>No</t>
        </is>
      </c>
      <c r="G123" t="inlineStr">
        <is>
          <t>1</t>
        </is>
      </c>
      <c r="H123" t="inlineStr">
        <is>
          <t>No</t>
        </is>
      </c>
      <c r="I123" t="inlineStr">
        <is>
          <t>No</t>
        </is>
      </c>
      <c r="J123" t="inlineStr">
        <is>
          <t>0</t>
        </is>
      </c>
      <c r="K123" t="inlineStr">
        <is>
          <t>Jones, Colin, 1947-</t>
        </is>
      </c>
      <c r="L123" t="inlineStr">
        <is>
          <t>New York : Columbia University Press, c2002.</t>
        </is>
      </c>
      <c r="M123" t="inlineStr">
        <is>
          <t>2002</t>
        </is>
      </c>
      <c r="O123" t="inlineStr">
        <is>
          <t>eng</t>
        </is>
      </c>
      <c r="P123" t="inlineStr">
        <is>
          <t>nyu</t>
        </is>
      </c>
      <c r="R123" t="inlineStr">
        <is>
          <t xml:space="preserve">DC </t>
        </is>
      </c>
      <c r="S123" t="n">
        <v>16</v>
      </c>
      <c r="T123" t="n">
        <v>16</v>
      </c>
      <c r="U123" t="inlineStr">
        <is>
          <t>2009-11-02</t>
        </is>
      </c>
      <c r="V123" t="inlineStr">
        <is>
          <t>2009-11-02</t>
        </is>
      </c>
      <c r="W123" t="inlineStr">
        <is>
          <t>2003-06-18</t>
        </is>
      </c>
      <c r="X123" t="inlineStr">
        <is>
          <t>2003-06-18</t>
        </is>
      </c>
      <c r="Y123" t="n">
        <v>511</v>
      </c>
      <c r="Z123" t="n">
        <v>471</v>
      </c>
      <c r="AA123" t="n">
        <v>609</v>
      </c>
      <c r="AB123" t="n">
        <v>3</v>
      </c>
      <c r="AC123" t="n">
        <v>5</v>
      </c>
      <c r="AD123" t="n">
        <v>25</v>
      </c>
      <c r="AE123" t="n">
        <v>29</v>
      </c>
      <c r="AF123" t="n">
        <v>10</v>
      </c>
      <c r="AG123" t="n">
        <v>11</v>
      </c>
      <c r="AH123" t="n">
        <v>7</v>
      </c>
      <c r="AI123" t="n">
        <v>7</v>
      </c>
      <c r="AJ123" t="n">
        <v>12</v>
      </c>
      <c r="AK123" t="n">
        <v>14</v>
      </c>
      <c r="AL123" t="n">
        <v>2</v>
      </c>
      <c r="AM123" t="n">
        <v>3</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HYPERLINK("https://creighton-primo.hosted.exlibrisgroup.com/primo-explore/search?tab=default_tab&amp;search_scope=EVERYTHING&amp;vid=01CRU&amp;lang=en_US&amp;offset=0&amp;query=any,contains,991004073709702656","Catalog Record")</f>
        <v/>
      </c>
      <c r="AT123">
        <f>HYPERLINK("http://www.worldcat.org/oclc/51625025","WorldCat Record")</f>
        <v/>
      </c>
      <c r="AU123" t="inlineStr">
        <is>
          <t>667446:eng</t>
        </is>
      </c>
      <c r="AV123" t="inlineStr">
        <is>
          <t>51625025</t>
        </is>
      </c>
      <c r="AW123" t="inlineStr">
        <is>
          <t>991004073709702656</t>
        </is>
      </c>
      <c r="AX123" t="inlineStr">
        <is>
          <t>991004073709702656</t>
        </is>
      </c>
      <c r="AY123" t="inlineStr">
        <is>
          <t>2272554430002656</t>
        </is>
      </c>
      <c r="AZ123" t="inlineStr">
        <is>
          <t>BOOK</t>
        </is>
      </c>
      <c r="BB123" t="inlineStr">
        <is>
          <t>9780231128827</t>
        </is>
      </c>
      <c r="BC123" t="inlineStr">
        <is>
          <t>32285004753512</t>
        </is>
      </c>
      <c r="BD123" t="inlineStr">
        <is>
          <t>893618202</t>
        </is>
      </c>
    </row>
    <row r="124">
      <c r="A124" t="inlineStr">
        <is>
          <t>No</t>
        </is>
      </c>
      <c r="B124" t="inlineStr">
        <is>
          <t>DC132 .P44</t>
        </is>
      </c>
      <c r="C124" t="inlineStr">
        <is>
          <t>0                      DC 0132000P  44</t>
        </is>
      </c>
      <c r="D124" t="inlineStr">
        <is>
          <t>France under the regency with a review of the administration of Louis XIV.</t>
        </is>
      </c>
      <c r="F124" t="inlineStr">
        <is>
          <t>No</t>
        </is>
      </c>
      <c r="G124" t="inlineStr">
        <is>
          <t>1</t>
        </is>
      </c>
      <c r="H124" t="inlineStr">
        <is>
          <t>No</t>
        </is>
      </c>
      <c r="I124" t="inlineStr">
        <is>
          <t>No</t>
        </is>
      </c>
      <c r="J124" t="inlineStr">
        <is>
          <t>0</t>
        </is>
      </c>
      <c r="K124" t="inlineStr">
        <is>
          <t>Perkins, James Breck, 1847-1910.</t>
        </is>
      </c>
      <c r="L124" t="inlineStr">
        <is>
          <t>Boston and New York, Houghton, Mifflin and company, 1892.</t>
        </is>
      </c>
      <c r="M124" t="inlineStr">
        <is>
          <t>1892</t>
        </is>
      </c>
      <c r="O124" t="inlineStr">
        <is>
          <t>eng</t>
        </is>
      </c>
      <c r="P124" t="inlineStr">
        <is>
          <t>mau</t>
        </is>
      </c>
      <c r="R124" t="inlineStr">
        <is>
          <t xml:space="preserve">DC </t>
        </is>
      </c>
      <c r="S124" t="n">
        <v>1</v>
      </c>
      <c r="T124" t="n">
        <v>1</v>
      </c>
      <c r="U124" t="inlineStr">
        <is>
          <t>1999-02-27</t>
        </is>
      </c>
      <c r="V124" t="inlineStr">
        <is>
          <t>1999-02-27</t>
        </is>
      </c>
      <c r="W124" t="inlineStr">
        <is>
          <t>1996-11-05</t>
        </is>
      </c>
      <c r="X124" t="inlineStr">
        <is>
          <t>1996-11-05</t>
        </is>
      </c>
      <c r="Y124" t="n">
        <v>390</v>
      </c>
      <c r="Z124" t="n">
        <v>366</v>
      </c>
      <c r="AA124" t="n">
        <v>533</v>
      </c>
      <c r="AB124" t="n">
        <v>4</v>
      </c>
      <c r="AC124" t="n">
        <v>6</v>
      </c>
      <c r="AD124" t="n">
        <v>20</v>
      </c>
      <c r="AE124" t="n">
        <v>33</v>
      </c>
      <c r="AF124" t="n">
        <v>4</v>
      </c>
      <c r="AG124" t="n">
        <v>13</v>
      </c>
      <c r="AH124" t="n">
        <v>3</v>
      </c>
      <c r="AI124" t="n">
        <v>5</v>
      </c>
      <c r="AJ124" t="n">
        <v>14</v>
      </c>
      <c r="AK124" t="n">
        <v>19</v>
      </c>
      <c r="AL124" t="n">
        <v>3</v>
      </c>
      <c r="AM124" t="n">
        <v>5</v>
      </c>
      <c r="AN124" t="n">
        <v>0</v>
      </c>
      <c r="AO124" t="n">
        <v>0</v>
      </c>
      <c r="AP124" t="inlineStr">
        <is>
          <t>Yes</t>
        </is>
      </c>
      <c r="AQ124" t="inlineStr">
        <is>
          <t>No</t>
        </is>
      </c>
      <c r="AR124">
        <f>HYPERLINK("http://catalog.hathitrust.org/Record/007691308","HathiTrust Record")</f>
        <v/>
      </c>
      <c r="AS124">
        <f>HYPERLINK("https://creighton-primo.hosted.exlibrisgroup.com/primo-explore/search?tab=default_tab&amp;search_scope=EVERYTHING&amp;vid=01CRU&amp;lang=en_US&amp;offset=0&amp;query=any,contains,991002638859702656","Catalog Record")</f>
        <v/>
      </c>
      <c r="AT124">
        <f>HYPERLINK("http://www.worldcat.org/oclc/383426","WorldCat Record")</f>
        <v/>
      </c>
      <c r="AU124" t="inlineStr">
        <is>
          <t>1500796:eng</t>
        </is>
      </c>
      <c r="AV124" t="inlineStr">
        <is>
          <t>383426</t>
        </is>
      </c>
      <c r="AW124" t="inlineStr">
        <is>
          <t>991002638859702656</t>
        </is>
      </c>
      <c r="AX124" t="inlineStr">
        <is>
          <t>991002638859702656</t>
        </is>
      </c>
      <c r="AY124" t="inlineStr">
        <is>
          <t>2260502880002656</t>
        </is>
      </c>
      <c r="AZ124" t="inlineStr">
        <is>
          <t>BOOK</t>
        </is>
      </c>
      <c r="BC124" t="inlineStr">
        <is>
          <t>32285002341476</t>
        </is>
      </c>
      <c r="BD124" t="inlineStr">
        <is>
          <t>893498352</t>
        </is>
      </c>
    </row>
    <row r="125">
      <c r="A125" t="inlineStr">
        <is>
          <t>No</t>
        </is>
      </c>
      <c r="B125" t="inlineStr">
        <is>
          <t>DC133 .G32 1934</t>
        </is>
      </c>
      <c r="C125" t="inlineStr">
        <is>
          <t>0                      DC 0133000G  32          1934</t>
        </is>
      </c>
      <c r="D125" t="inlineStr">
        <is>
          <t>Louis the Fifteenth and his times, by Pierre Gaxotte, translated from the French by J. Lewis May.</t>
        </is>
      </c>
      <c r="F125" t="inlineStr">
        <is>
          <t>No</t>
        </is>
      </c>
      <c r="G125" t="inlineStr">
        <is>
          <t>1</t>
        </is>
      </c>
      <c r="H125" t="inlineStr">
        <is>
          <t>No</t>
        </is>
      </c>
      <c r="I125" t="inlineStr">
        <is>
          <t>No</t>
        </is>
      </c>
      <c r="J125" t="inlineStr">
        <is>
          <t>0</t>
        </is>
      </c>
      <c r="K125" t="inlineStr">
        <is>
          <t>Gaxotte, Pierre.</t>
        </is>
      </c>
      <c r="L125" t="inlineStr">
        <is>
          <t>Philadelphia, J.B. Lippincott company, 1934.</t>
        </is>
      </c>
      <c r="M125" t="inlineStr">
        <is>
          <t>1934</t>
        </is>
      </c>
      <c r="O125" t="inlineStr">
        <is>
          <t>eng</t>
        </is>
      </c>
      <c r="P125" t="inlineStr">
        <is>
          <t xml:space="preserve">xx </t>
        </is>
      </c>
      <c r="R125" t="inlineStr">
        <is>
          <t xml:space="preserve">DC </t>
        </is>
      </c>
      <c r="S125" t="n">
        <v>5</v>
      </c>
      <c r="T125" t="n">
        <v>5</v>
      </c>
      <c r="U125" t="inlineStr">
        <is>
          <t>1999-11-22</t>
        </is>
      </c>
      <c r="V125" t="inlineStr">
        <is>
          <t>1999-11-22</t>
        </is>
      </c>
      <c r="W125" t="inlineStr">
        <is>
          <t>1996-05-13</t>
        </is>
      </c>
      <c r="X125" t="inlineStr">
        <is>
          <t>1996-05-13</t>
        </is>
      </c>
      <c r="Y125" t="n">
        <v>188</v>
      </c>
      <c r="Z125" t="n">
        <v>183</v>
      </c>
      <c r="AA125" t="n">
        <v>253</v>
      </c>
      <c r="AB125" t="n">
        <v>2</v>
      </c>
      <c r="AC125" t="n">
        <v>3</v>
      </c>
      <c r="AD125" t="n">
        <v>22</v>
      </c>
      <c r="AE125" t="n">
        <v>28</v>
      </c>
      <c r="AF125" t="n">
        <v>7</v>
      </c>
      <c r="AG125" t="n">
        <v>9</v>
      </c>
      <c r="AH125" t="n">
        <v>5</v>
      </c>
      <c r="AI125" t="n">
        <v>6</v>
      </c>
      <c r="AJ125" t="n">
        <v>19</v>
      </c>
      <c r="AK125" t="n">
        <v>23</v>
      </c>
      <c r="AL125" t="n">
        <v>1</v>
      </c>
      <c r="AM125" t="n">
        <v>2</v>
      </c>
      <c r="AN125" t="n">
        <v>0</v>
      </c>
      <c r="AO125" t="n">
        <v>0</v>
      </c>
      <c r="AP125" t="inlineStr">
        <is>
          <t>No</t>
        </is>
      </c>
      <c r="AQ125" t="inlineStr">
        <is>
          <t>Yes</t>
        </is>
      </c>
      <c r="AR125">
        <f>HYPERLINK("http://catalog.hathitrust.org/Record/006065515","HathiTrust Record")</f>
        <v/>
      </c>
      <c r="AS125">
        <f>HYPERLINK("https://creighton-primo.hosted.exlibrisgroup.com/primo-explore/search?tab=default_tab&amp;search_scope=EVERYTHING&amp;vid=01CRU&amp;lang=en_US&amp;offset=0&amp;query=any,contains,991003546759702656","Catalog Record")</f>
        <v/>
      </c>
      <c r="AT125">
        <f>HYPERLINK("http://www.worldcat.org/oclc/1113244","WorldCat Record")</f>
        <v/>
      </c>
      <c r="AU125" t="inlineStr">
        <is>
          <t>307685147:eng</t>
        </is>
      </c>
      <c r="AV125" t="inlineStr">
        <is>
          <t>1113244</t>
        </is>
      </c>
      <c r="AW125" t="inlineStr">
        <is>
          <t>991003546759702656</t>
        </is>
      </c>
      <c r="AX125" t="inlineStr">
        <is>
          <t>991003546759702656</t>
        </is>
      </c>
      <c r="AY125" t="inlineStr">
        <is>
          <t>2272634150002656</t>
        </is>
      </c>
      <c r="AZ125" t="inlineStr">
        <is>
          <t>BOOK</t>
        </is>
      </c>
      <c r="BC125" t="inlineStr">
        <is>
          <t>32285002163623</t>
        </is>
      </c>
      <c r="BD125" t="inlineStr">
        <is>
          <t>893900103</t>
        </is>
      </c>
    </row>
    <row r="126">
      <c r="A126" t="inlineStr">
        <is>
          <t>No</t>
        </is>
      </c>
      <c r="B126" t="inlineStr">
        <is>
          <t>DC133.3 .G6 1976</t>
        </is>
      </c>
      <c r="C126" t="inlineStr">
        <is>
          <t>0                      DC 0133300G  6           1976</t>
        </is>
      </c>
      <c r="D126" t="inlineStr">
        <is>
          <t>Louis XV : the monarchy in decline / G. P. Gooch.</t>
        </is>
      </c>
      <c r="F126" t="inlineStr">
        <is>
          <t>No</t>
        </is>
      </c>
      <c r="G126" t="inlineStr">
        <is>
          <t>1</t>
        </is>
      </c>
      <c r="H126" t="inlineStr">
        <is>
          <t>No</t>
        </is>
      </c>
      <c r="I126" t="inlineStr">
        <is>
          <t>No</t>
        </is>
      </c>
      <c r="J126" t="inlineStr">
        <is>
          <t>0</t>
        </is>
      </c>
      <c r="K126" t="inlineStr">
        <is>
          <t>Gooch, G. P. (George Peabody), 1873-1968.</t>
        </is>
      </c>
      <c r="L126" t="inlineStr">
        <is>
          <t>Westport, Conn. : Greenwood Press, 1976.</t>
        </is>
      </c>
      <c r="M126" t="inlineStr">
        <is>
          <t>1976</t>
        </is>
      </c>
      <c r="O126" t="inlineStr">
        <is>
          <t>eng</t>
        </is>
      </c>
      <c r="P126" t="inlineStr">
        <is>
          <t>ctu</t>
        </is>
      </c>
      <c r="R126" t="inlineStr">
        <is>
          <t xml:space="preserve">DC </t>
        </is>
      </c>
      <c r="S126" t="n">
        <v>4</v>
      </c>
      <c r="T126" t="n">
        <v>4</v>
      </c>
      <c r="U126" t="inlineStr">
        <is>
          <t>2010-12-01</t>
        </is>
      </c>
      <c r="V126" t="inlineStr">
        <is>
          <t>2010-12-01</t>
        </is>
      </c>
      <c r="W126" t="inlineStr">
        <is>
          <t>1990-12-18</t>
        </is>
      </c>
      <c r="X126" t="inlineStr">
        <is>
          <t>1990-12-18</t>
        </is>
      </c>
      <c r="Y126" t="n">
        <v>107</v>
      </c>
      <c r="Z126" t="n">
        <v>93</v>
      </c>
      <c r="AA126" t="n">
        <v>672</v>
      </c>
      <c r="AB126" t="n">
        <v>3</v>
      </c>
      <c r="AC126" t="n">
        <v>7</v>
      </c>
      <c r="AD126" t="n">
        <v>6</v>
      </c>
      <c r="AE126" t="n">
        <v>36</v>
      </c>
      <c r="AF126" t="n">
        <v>2</v>
      </c>
      <c r="AG126" t="n">
        <v>12</v>
      </c>
      <c r="AH126" t="n">
        <v>2</v>
      </c>
      <c r="AI126" t="n">
        <v>8</v>
      </c>
      <c r="AJ126" t="n">
        <v>1</v>
      </c>
      <c r="AK126" t="n">
        <v>20</v>
      </c>
      <c r="AL126" t="n">
        <v>2</v>
      </c>
      <c r="AM126" t="n">
        <v>6</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HYPERLINK("https://creighton-primo.hosted.exlibrisgroup.com/primo-explore/search?tab=default_tab&amp;search_scope=EVERYTHING&amp;vid=01CRU&amp;lang=en_US&amp;offset=0&amp;query=any,contains,991004010419702656","Catalog Record")</f>
        <v/>
      </c>
      <c r="AT126">
        <f>HYPERLINK("http://www.worldcat.org/oclc/2090876","WorldCat Record")</f>
        <v/>
      </c>
      <c r="AU126" t="inlineStr">
        <is>
          <t>501604:eng</t>
        </is>
      </c>
      <c r="AV126" t="inlineStr">
        <is>
          <t>2090876</t>
        </is>
      </c>
      <c r="AW126" t="inlineStr">
        <is>
          <t>991004010419702656</t>
        </is>
      </c>
      <c r="AX126" t="inlineStr">
        <is>
          <t>991004010419702656</t>
        </is>
      </c>
      <c r="AY126" t="inlineStr">
        <is>
          <t>2267066440002656</t>
        </is>
      </c>
      <c r="AZ126" t="inlineStr">
        <is>
          <t>BOOK</t>
        </is>
      </c>
      <c r="BB126" t="inlineStr">
        <is>
          <t>9780837186320</t>
        </is>
      </c>
      <c r="BC126" t="inlineStr">
        <is>
          <t>32285000425834</t>
        </is>
      </c>
      <c r="BD126" t="inlineStr">
        <is>
          <t>893718355</t>
        </is>
      </c>
    </row>
    <row r="127">
      <c r="A127" t="inlineStr">
        <is>
          <t>No</t>
        </is>
      </c>
      <c r="B127" t="inlineStr">
        <is>
          <t>DC133.4 .P43 1996</t>
        </is>
      </c>
      <c r="C127" t="inlineStr">
        <is>
          <t>0                      DC 0133400P  43          1996</t>
        </is>
      </c>
      <c r="D127" t="inlineStr">
        <is>
          <t>There are no slaves in France : the political culture of race and slavery in the Ancien Régime / Sue Peabody.</t>
        </is>
      </c>
      <c r="F127" t="inlineStr">
        <is>
          <t>No</t>
        </is>
      </c>
      <c r="G127" t="inlineStr">
        <is>
          <t>1</t>
        </is>
      </c>
      <c r="H127" t="inlineStr">
        <is>
          <t>No</t>
        </is>
      </c>
      <c r="I127" t="inlineStr">
        <is>
          <t>No</t>
        </is>
      </c>
      <c r="J127" t="inlineStr">
        <is>
          <t>0</t>
        </is>
      </c>
      <c r="K127" t="inlineStr">
        <is>
          <t>Peabody, Sue.</t>
        </is>
      </c>
      <c r="L127" t="inlineStr">
        <is>
          <t>New York : Oxford University Press, 1996.</t>
        </is>
      </c>
      <c r="M127" t="inlineStr">
        <is>
          <t>1996</t>
        </is>
      </c>
      <c r="O127" t="inlineStr">
        <is>
          <t>eng</t>
        </is>
      </c>
      <c r="P127" t="inlineStr">
        <is>
          <t>nyu</t>
        </is>
      </c>
      <c r="R127" t="inlineStr">
        <is>
          <t xml:space="preserve">DC </t>
        </is>
      </c>
      <c r="S127" t="n">
        <v>2</v>
      </c>
      <c r="T127" t="n">
        <v>2</v>
      </c>
      <c r="U127" t="inlineStr">
        <is>
          <t>2002-11-24</t>
        </is>
      </c>
      <c r="V127" t="inlineStr">
        <is>
          <t>2002-11-24</t>
        </is>
      </c>
      <c r="W127" t="inlineStr">
        <is>
          <t>1997-11-13</t>
        </is>
      </c>
      <c r="X127" t="inlineStr">
        <is>
          <t>1997-11-13</t>
        </is>
      </c>
      <c r="Y127" t="n">
        <v>596</v>
      </c>
      <c r="Z127" t="n">
        <v>493</v>
      </c>
      <c r="AA127" t="n">
        <v>1117</v>
      </c>
      <c r="AB127" t="n">
        <v>5</v>
      </c>
      <c r="AC127" t="n">
        <v>10</v>
      </c>
      <c r="AD127" t="n">
        <v>27</v>
      </c>
      <c r="AE127" t="n">
        <v>43</v>
      </c>
      <c r="AF127" t="n">
        <v>8</v>
      </c>
      <c r="AG127" t="n">
        <v>15</v>
      </c>
      <c r="AH127" t="n">
        <v>8</v>
      </c>
      <c r="AI127" t="n">
        <v>9</v>
      </c>
      <c r="AJ127" t="n">
        <v>15</v>
      </c>
      <c r="AK127" t="n">
        <v>21</v>
      </c>
      <c r="AL127" t="n">
        <v>4</v>
      </c>
      <c r="AM127" t="n">
        <v>8</v>
      </c>
      <c r="AN127" t="n">
        <v>1</v>
      </c>
      <c r="AO127" t="n">
        <v>2</v>
      </c>
      <c r="AP127" t="inlineStr">
        <is>
          <t>No</t>
        </is>
      </c>
      <c r="AQ127" t="inlineStr">
        <is>
          <t>No</t>
        </is>
      </c>
      <c r="AS127">
        <f>HYPERLINK("https://creighton-primo.hosted.exlibrisgroup.com/primo-explore/search?tab=default_tab&amp;search_scope=EVERYTHING&amp;vid=01CRU&amp;lang=en_US&amp;offset=0&amp;query=any,contains,991002554269702656","Catalog Record")</f>
        <v/>
      </c>
      <c r="AT127">
        <f>HYPERLINK("http://www.worldcat.org/oclc/33207226","WorldCat Record")</f>
        <v/>
      </c>
      <c r="AU127" t="inlineStr">
        <is>
          <t>793954404:eng</t>
        </is>
      </c>
      <c r="AV127" t="inlineStr">
        <is>
          <t>33207226</t>
        </is>
      </c>
      <c r="AW127" t="inlineStr">
        <is>
          <t>991002554269702656</t>
        </is>
      </c>
      <c r="AX127" t="inlineStr">
        <is>
          <t>991002554269702656</t>
        </is>
      </c>
      <c r="AY127" t="inlineStr">
        <is>
          <t>2263773170002656</t>
        </is>
      </c>
      <c r="AZ127" t="inlineStr">
        <is>
          <t>BOOK</t>
        </is>
      </c>
      <c r="BB127" t="inlineStr">
        <is>
          <t>9780195101980</t>
        </is>
      </c>
      <c r="BC127" t="inlineStr">
        <is>
          <t>32285003278560</t>
        </is>
      </c>
      <c r="BD127" t="inlineStr">
        <is>
          <t>893440266</t>
        </is>
      </c>
    </row>
    <row r="128">
      <c r="A128" t="inlineStr">
        <is>
          <t>No</t>
        </is>
      </c>
      <c r="B128" t="inlineStr">
        <is>
          <t>DC133.8 .F85 1970</t>
        </is>
      </c>
      <c r="C128" t="inlineStr">
        <is>
          <t>0                      DC 0133800F  85          1970</t>
        </is>
      </c>
      <c r="D128" t="inlineStr">
        <is>
          <t>The old regime in France. Translated by Herbert Wilson.</t>
        </is>
      </c>
      <c r="F128" t="inlineStr">
        <is>
          <t>No</t>
        </is>
      </c>
      <c r="G128" t="inlineStr">
        <is>
          <t>1</t>
        </is>
      </c>
      <c r="H128" t="inlineStr">
        <is>
          <t>No</t>
        </is>
      </c>
      <c r="I128" t="inlineStr">
        <is>
          <t>No</t>
        </is>
      </c>
      <c r="J128" t="inlineStr">
        <is>
          <t>0</t>
        </is>
      </c>
      <c r="K128" t="inlineStr">
        <is>
          <t>Funck-Brentano, Frantz, 1862-1947.</t>
        </is>
      </c>
      <c r="L128" t="inlineStr">
        <is>
          <t>New York, H. Fertig, 1970.</t>
        </is>
      </c>
      <c r="M128" t="inlineStr">
        <is>
          <t>1970</t>
        </is>
      </c>
      <c r="O128" t="inlineStr">
        <is>
          <t>eng</t>
        </is>
      </c>
      <c r="P128" t="inlineStr">
        <is>
          <t>nyu</t>
        </is>
      </c>
      <c r="R128" t="inlineStr">
        <is>
          <t xml:space="preserve">DC </t>
        </is>
      </c>
      <c r="S128" t="n">
        <v>4</v>
      </c>
      <c r="T128" t="n">
        <v>4</v>
      </c>
      <c r="U128" t="inlineStr">
        <is>
          <t>2003-10-30</t>
        </is>
      </c>
      <c r="V128" t="inlineStr">
        <is>
          <t>2003-10-30</t>
        </is>
      </c>
      <c r="W128" t="inlineStr">
        <is>
          <t>1996-11-05</t>
        </is>
      </c>
      <c r="X128" t="inlineStr">
        <is>
          <t>1996-11-05</t>
        </is>
      </c>
      <c r="Y128" t="n">
        <v>286</v>
      </c>
      <c r="Z128" t="n">
        <v>258</v>
      </c>
      <c r="AA128" t="n">
        <v>530</v>
      </c>
      <c r="AB128" t="n">
        <v>2</v>
      </c>
      <c r="AC128" t="n">
        <v>7</v>
      </c>
      <c r="AD128" t="n">
        <v>17</v>
      </c>
      <c r="AE128" t="n">
        <v>36</v>
      </c>
      <c r="AF128" t="n">
        <v>7</v>
      </c>
      <c r="AG128" t="n">
        <v>11</v>
      </c>
      <c r="AH128" t="n">
        <v>4</v>
      </c>
      <c r="AI128" t="n">
        <v>8</v>
      </c>
      <c r="AJ128" t="n">
        <v>10</v>
      </c>
      <c r="AK128" t="n">
        <v>19</v>
      </c>
      <c r="AL128" t="n">
        <v>1</v>
      </c>
      <c r="AM128" t="n">
        <v>6</v>
      </c>
      <c r="AN128" t="n">
        <v>0</v>
      </c>
      <c r="AO128" t="n">
        <v>0</v>
      </c>
      <c r="AP128" t="inlineStr">
        <is>
          <t>No</t>
        </is>
      </c>
      <c r="AQ128" t="inlineStr">
        <is>
          <t>Yes</t>
        </is>
      </c>
      <c r="AR128">
        <f>HYPERLINK("http://catalog.hathitrust.org/Record/000561909","HathiTrust Record")</f>
        <v/>
      </c>
      <c r="AS128">
        <f>HYPERLINK("https://creighton-primo.hosted.exlibrisgroup.com/primo-explore/search?tab=default_tab&amp;search_scope=EVERYTHING&amp;vid=01CRU&amp;lang=en_US&amp;offset=0&amp;query=any,contains,991000606629702656","Catalog Record")</f>
        <v/>
      </c>
      <c r="AT128">
        <f>HYPERLINK("http://www.worldcat.org/oclc/99346","WorldCat Record")</f>
        <v/>
      </c>
      <c r="AU128" t="inlineStr">
        <is>
          <t>1332729:eng</t>
        </is>
      </c>
      <c r="AV128" t="inlineStr">
        <is>
          <t>99346</t>
        </is>
      </c>
      <c r="AW128" t="inlineStr">
        <is>
          <t>991000606629702656</t>
        </is>
      </c>
      <c r="AX128" t="inlineStr">
        <is>
          <t>991000606629702656</t>
        </is>
      </c>
      <c r="AY128" t="inlineStr">
        <is>
          <t>2269064780002656</t>
        </is>
      </c>
      <c r="AZ128" t="inlineStr">
        <is>
          <t>BOOK</t>
        </is>
      </c>
      <c r="BC128" t="inlineStr">
        <is>
          <t>32285002341518</t>
        </is>
      </c>
      <c r="BD128" t="inlineStr">
        <is>
          <t>893339713</t>
        </is>
      </c>
    </row>
    <row r="129">
      <c r="A129" t="inlineStr">
        <is>
          <t>No</t>
        </is>
      </c>
      <c r="B129" t="inlineStr">
        <is>
          <t>DC134 .B47 1984</t>
        </is>
      </c>
      <c r="C129" t="inlineStr">
        <is>
          <t>0                      DC 0134000B  47          1984</t>
        </is>
      </c>
      <c r="D129" t="inlineStr">
        <is>
          <t>Louis the Beloved : the life of Louis XV / by Olivier Bernier.</t>
        </is>
      </c>
      <c r="F129" t="inlineStr">
        <is>
          <t>No</t>
        </is>
      </c>
      <c r="G129" t="inlineStr">
        <is>
          <t>1</t>
        </is>
      </c>
      <c r="H129" t="inlineStr">
        <is>
          <t>No</t>
        </is>
      </c>
      <c r="I129" t="inlineStr">
        <is>
          <t>No</t>
        </is>
      </c>
      <c r="J129" t="inlineStr">
        <is>
          <t>0</t>
        </is>
      </c>
      <c r="K129" t="inlineStr">
        <is>
          <t>Bernier, Olivier.</t>
        </is>
      </c>
      <c r="L129" t="inlineStr">
        <is>
          <t>Garden City, N.Y. : Doubleday, c1984.</t>
        </is>
      </c>
      <c r="M129" t="inlineStr">
        <is>
          <t>1984</t>
        </is>
      </c>
      <c r="N129" t="inlineStr">
        <is>
          <t>1st ed.</t>
        </is>
      </c>
      <c r="O129" t="inlineStr">
        <is>
          <t>eng</t>
        </is>
      </c>
      <c r="P129" t="inlineStr">
        <is>
          <t>nyu</t>
        </is>
      </c>
      <c r="R129" t="inlineStr">
        <is>
          <t xml:space="preserve">DC </t>
        </is>
      </c>
      <c r="S129" t="n">
        <v>3</v>
      </c>
      <c r="T129" t="n">
        <v>3</v>
      </c>
      <c r="U129" t="inlineStr">
        <is>
          <t>2006-03-29</t>
        </is>
      </c>
      <c r="V129" t="inlineStr">
        <is>
          <t>2006-03-29</t>
        </is>
      </c>
      <c r="W129" t="inlineStr">
        <is>
          <t>1990-12-07</t>
        </is>
      </c>
      <c r="X129" t="inlineStr">
        <is>
          <t>1990-12-07</t>
        </is>
      </c>
      <c r="Y129" t="n">
        <v>675</v>
      </c>
      <c r="Z129" t="n">
        <v>620</v>
      </c>
      <c r="AA129" t="n">
        <v>629</v>
      </c>
      <c r="AB129" t="n">
        <v>4</v>
      </c>
      <c r="AC129" t="n">
        <v>4</v>
      </c>
      <c r="AD129" t="n">
        <v>14</v>
      </c>
      <c r="AE129" t="n">
        <v>14</v>
      </c>
      <c r="AF129" t="n">
        <v>4</v>
      </c>
      <c r="AG129" t="n">
        <v>4</v>
      </c>
      <c r="AH129" t="n">
        <v>6</v>
      </c>
      <c r="AI129" t="n">
        <v>6</v>
      </c>
      <c r="AJ129" t="n">
        <v>8</v>
      </c>
      <c r="AK129" t="n">
        <v>8</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HYPERLINK("https://creighton-primo.hosted.exlibrisgroup.com/primo-explore/search?tab=default_tab&amp;search_scope=EVERYTHING&amp;vid=01CRU&amp;lang=en_US&amp;offset=0&amp;query=any,contains,991000363579702656","Catalog Record")</f>
        <v/>
      </c>
      <c r="AT129">
        <f>HYPERLINK("http://www.worldcat.org/oclc/10376118","WorldCat Record")</f>
        <v/>
      </c>
      <c r="AU129" t="inlineStr">
        <is>
          <t>3296576:eng</t>
        </is>
      </c>
      <c r="AV129" t="inlineStr">
        <is>
          <t>10376118</t>
        </is>
      </c>
      <c r="AW129" t="inlineStr">
        <is>
          <t>991000363579702656</t>
        </is>
      </c>
      <c r="AX129" t="inlineStr">
        <is>
          <t>991000363579702656</t>
        </is>
      </c>
      <c r="AY129" t="inlineStr">
        <is>
          <t>2270007530002656</t>
        </is>
      </c>
      <c r="AZ129" t="inlineStr">
        <is>
          <t>BOOK</t>
        </is>
      </c>
      <c r="BB129" t="inlineStr">
        <is>
          <t>9780385184021</t>
        </is>
      </c>
      <c r="BC129" t="inlineStr">
        <is>
          <t>32285000394147</t>
        </is>
      </c>
      <c r="BD129" t="inlineStr">
        <is>
          <t>893255360</t>
        </is>
      </c>
    </row>
    <row r="130">
      <c r="A130" t="inlineStr">
        <is>
          <t>No</t>
        </is>
      </c>
      <c r="B130" t="inlineStr">
        <is>
          <t>DC135.E7 S74 1993</t>
        </is>
      </c>
      <c r="C130" t="inlineStr">
        <is>
          <t>0                      DC 0135000E  7                  S  74          1993</t>
        </is>
      </c>
      <c r="D130" t="inlineStr">
        <is>
          <t>A woman, a man, and two kingdoms : the story of Madame d'Epinay and the Abbé Galiani / Francis Steegmuller.</t>
        </is>
      </c>
      <c r="F130" t="inlineStr">
        <is>
          <t>No</t>
        </is>
      </c>
      <c r="G130" t="inlineStr">
        <is>
          <t>1</t>
        </is>
      </c>
      <c r="H130" t="inlineStr">
        <is>
          <t>No</t>
        </is>
      </c>
      <c r="I130" t="inlineStr">
        <is>
          <t>No</t>
        </is>
      </c>
      <c r="J130" t="inlineStr">
        <is>
          <t>0</t>
        </is>
      </c>
      <c r="K130" t="inlineStr">
        <is>
          <t>Steegmuller, Francis, 1906-1994.</t>
        </is>
      </c>
      <c r="L130" t="inlineStr">
        <is>
          <t>Princeton, NJ : Princeton University Press, 1993.</t>
        </is>
      </c>
      <c r="M130" t="inlineStr">
        <is>
          <t>1993</t>
        </is>
      </c>
      <c r="N130" t="inlineStr">
        <is>
          <t>1st Princeton pbk. printing.</t>
        </is>
      </c>
      <c r="O130" t="inlineStr">
        <is>
          <t>eng</t>
        </is>
      </c>
      <c r="P130" t="inlineStr">
        <is>
          <t>nju</t>
        </is>
      </c>
      <c r="R130" t="inlineStr">
        <is>
          <t xml:space="preserve">DC </t>
        </is>
      </c>
      <c r="S130" t="n">
        <v>3</v>
      </c>
      <c r="T130" t="n">
        <v>3</v>
      </c>
      <c r="U130" t="inlineStr">
        <is>
          <t>2004-02-10</t>
        </is>
      </c>
      <c r="V130" t="inlineStr">
        <is>
          <t>2004-02-10</t>
        </is>
      </c>
      <c r="W130" t="inlineStr">
        <is>
          <t>2003-12-16</t>
        </is>
      </c>
      <c r="X130" t="inlineStr">
        <is>
          <t>2003-12-16</t>
        </is>
      </c>
      <c r="Y130" t="n">
        <v>72</v>
      </c>
      <c r="Z130" t="n">
        <v>58</v>
      </c>
      <c r="AA130" t="n">
        <v>693</v>
      </c>
      <c r="AB130" t="n">
        <v>1</v>
      </c>
      <c r="AC130" t="n">
        <v>5</v>
      </c>
      <c r="AD130" t="n">
        <v>5</v>
      </c>
      <c r="AE130" t="n">
        <v>32</v>
      </c>
      <c r="AF130" t="n">
        <v>2</v>
      </c>
      <c r="AG130" t="n">
        <v>12</v>
      </c>
      <c r="AH130" t="n">
        <v>1</v>
      </c>
      <c r="AI130" t="n">
        <v>9</v>
      </c>
      <c r="AJ130" t="n">
        <v>3</v>
      </c>
      <c r="AK130" t="n">
        <v>17</v>
      </c>
      <c r="AL130" t="n">
        <v>0</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HYPERLINK("https://creighton-primo.hosted.exlibrisgroup.com/primo-explore/search?tab=default_tab&amp;search_scope=EVERYTHING&amp;vid=01CRU&amp;lang=en_US&amp;offset=0&amp;query=any,contains,991004207259702656","Catalog Record")</f>
        <v/>
      </c>
      <c r="AT130">
        <f>HYPERLINK("http://www.worldcat.org/oclc/26851860","WorldCat Record")</f>
        <v/>
      </c>
      <c r="AU130" t="inlineStr">
        <is>
          <t>365107928:eng</t>
        </is>
      </c>
      <c r="AV130" t="inlineStr">
        <is>
          <t>26851860</t>
        </is>
      </c>
      <c r="AW130" t="inlineStr">
        <is>
          <t>991004207259702656</t>
        </is>
      </c>
      <c r="AX130" t="inlineStr">
        <is>
          <t>991004207259702656</t>
        </is>
      </c>
      <c r="AY130" t="inlineStr">
        <is>
          <t>2262720370002656</t>
        </is>
      </c>
      <c r="AZ130" t="inlineStr">
        <is>
          <t>BOOK</t>
        </is>
      </c>
      <c r="BB130" t="inlineStr">
        <is>
          <t>9780691024899</t>
        </is>
      </c>
      <c r="BC130" t="inlineStr">
        <is>
          <t>32285004847546</t>
        </is>
      </c>
      <c r="BD130" t="inlineStr">
        <is>
          <t>893810408</t>
        </is>
      </c>
    </row>
    <row r="131">
      <c r="A131" t="inlineStr">
        <is>
          <t>No</t>
        </is>
      </c>
      <c r="B131" t="inlineStr">
        <is>
          <t>DC135.L5 M5</t>
        </is>
      </c>
      <c r="C131" t="inlineStr">
        <is>
          <t>0                      DC 0135000L  5                  M  5</t>
        </is>
      </c>
      <c r="D131" t="inlineStr">
        <is>
          <t>A muse in love : Julie de Lespinasse.</t>
        </is>
      </c>
      <c r="F131" t="inlineStr">
        <is>
          <t>No</t>
        </is>
      </c>
      <c r="G131" t="inlineStr">
        <is>
          <t>1</t>
        </is>
      </c>
      <c r="H131" t="inlineStr">
        <is>
          <t>No</t>
        </is>
      </c>
      <c r="I131" t="inlineStr">
        <is>
          <t>No</t>
        </is>
      </c>
      <c r="J131" t="inlineStr">
        <is>
          <t>0</t>
        </is>
      </c>
      <c r="K131" t="inlineStr">
        <is>
          <t>Mitchiner, Margaret.</t>
        </is>
      </c>
      <c r="L131" t="inlineStr">
        <is>
          <t>London : Bodley Head, [1962]</t>
        </is>
      </c>
      <c r="M131" t="inlineStr">
        <is>
          <t>1962</t>
        </is>
      </c>
      <c r="O131" t="inlineStr">
        <is>
          <t>eng</t>
        </is>
      </c>
      <c r="P131" t="inlineStr">
        <is>
          <t>enk</t>
        </is>
      </c>
      <c r="R131" t="inlineStr">
        <is>
          <t xml:space="preserve">DC </t>
        </is>
      </c>
      <c r="S131" t="n">
        <v>2</v>
      </c>
      <c r="T131" t="n">
        <v>2</v>
      </c>
      <c r="U131" t="inlineStr">
        <is>
          <t>2005-01-17</t>
        </is>
      </c>
      <c r="V131" t="inlineStr">
        <is>
          <t>2005-01-17</t>
        </is>
      </c>
      <c r="W131" t="inlineStr">
        <is>
          <t>1994-11-10</t>
        </is>
      </c>
      <c r="X131" t="inlineStr">
        <is>
          <t>1994-11-10</t>
        </is>
      </c>
      <c r="Y131" t="n">
        <v>169</v>
      </c>
      <c r="Z131" t="n">
        <v>138</v>
      </c>
      <c r="AA131" t="n">
        <v>149</v>
      </c>
      <c r="AB131" t="n">
        <v>1</v>
      </c>
      <c r="AC131" t="n">
        <v>1</v>
      </c>
      <c r="AD131" t="n">
        <v>4</v>
      </c>
      <c r="AE131" t="n">
        <v>4</v>
      </c>
      <c r="AF131" t="n">
        <v>1</v>
      </c>
      <c r="AG131" t="n">
        <v>1</v>
      </c>
      <c r="AH131" t="n">
        <v>1</v>
      </c>
      <c r="AI131" t="n">
        <v>1</v>
      </c>
      <c r="AJ131" t="n">
        <v>2</v>
      </c>
      <c r="AK131" t="n">
        <v>2</v>
      </c>
      <c r="AL131" t="n">
        <v>0</v>
      </c>
      <c r="AM131" t="n">
        <v>0</v>
      </c>
      <c r="AN131" t="n">
        <v>0</v>
      </c>
      <c r="AO131" t="n">
        <v>0</v>
      </c>
      <c r="AP131" t="inlineStr">
        <is>
          <t>No</t>
        </is>
      </c>
      <c r="AQ131" t="inlineStr">
        <is>
          <t>Yes</t>
        </is>
      </c>
      <c r="AR131">
        <f>HYPERLINK("http://catalog.hathitrust.org/Record/006591334","HathiTrust Record")</f>
        <v/>
      </c>
      <c r="AS131">
        <f>HYPERLINK("https://creighton-primo.hosted.exlibrisgroup.com/primo-explore/search?tab=default_tab&amp;search_scope=EVERYTHING&amp;vid=01CRU&amp;lang=en_US&amp;offset=0&amp;query=any,contains,991003869589702656","Catalog Record")</f>
        <v/>
      </c>
      <c r="AT131">
        <f>HYPERLINK("http://www.worldcat.org/oclc/1689199","WorldCat Record")</f>
        <v/>
      </c>
      <c r="AU131" t="inlineStr">
        <is>
          <t>3855386425:eng</t>
        </is>
      </c>
      <c r="AV131" t="inlineStr">
        <is>
          <t>1689199</t>
        </is>
      </c>
      <c r="AW131" t="inlineStr">
        <is>
          <t>991003869589702656</t>
        </is>
      </c>
      <c r="AX131" t="inlineStr">
        <is>
          <t>991003869589702656</t>
        </is>
      </c>
      <c r="AY131" t="inlineStr">
        <is>
          <t>2270886360002656</t>
        </is>
      </c>
      <c r="AZ131" t="inlineStr">
        <is>
          <t>BOOK</t>
        </is>
      </c>
      <c r="BC131" t="inlineStr">
        <is>
          <t>32285001965390</t>
        </is>
      </c>
      <c r="BD131" t="inlineStr">
        <is>
          <t>893499807</t>
        </is>
      </c>
    </row>
    <row r="132">
      <c r="A132" t="inlineStr">
        <is>
          <t>No</t>
        </is>
      </c>
      <c r="B132" t="inlineStr">
        <is>
          <t>DC136 .F313 1968b</t>
        </is>
      </c>
      <c r="C132" t="inlineStr">
        <is>
          <t>0                      DC 0136000F  313         1968b</t>
        </is>
      </c>
      <c r="D132" t="inlineStr">
        <is>
          <t>Louis XVI ; or, The end of a world / translated by Patrick O'Brian from the French.</t>
        </is>
      </c>
      <c r="F132" t="inlineStr">
        <is>
          <t>No</t>
        </is>
      </c>
      <c r="G132" t="inlineStr">
        <is>
          <t>1</t>
        </is>
      </c>
      <c r="H132" t="inlineStr">
        <is>
          <t>No</t>
        </is>
      </c>
      <c r="I132" t="inlineStr">
        <is>
          <t>No</t>
        </is>
      </c>
      <c r="J132" t="inlineStr">
        <is>
          <t>0</t>
        </is>
      </c>
      <c r="K132" t="inlineStr">
        <is>
          <t>Faÿ, Bernard, 1893-1978.</t>
        </is>
      </c>
      <c r="L132" t="inlineStr">
        <is>
          <t>Chicago : H. Regnery Co., [1968, c1967]</t>
        </is>
      </c>
      <c r="M132" t="inlineStr">
        <is>
          <t>1968</t>
        </is>
      </c>
      <c r="O132" t="inlineStr">
        <is>
          <t>eng</t>
        </is>
      </c>
      <c r="P132" t="inlineStr">
        <is>
          <t>ilu</t>
        </is>
      </c>
      <c r="R132" t="inlineStr">
        <is>
          <t xml:space="preserve">DC </t>
        </is>
      </c>
      <c r="S132" t="n">
        <v>5</v>
      </c>
      <c r="T132" t="n">
        <v>5</v>
      </c>
      <c r="U132" t="inlineStr">
        <is>
          <t>1999-11-21</t>
        </is>
      </c>
      <c r="V132" t="inlineStr">
        <is>
          <t>1999-11-21</t>
        </is>
      </c>
      <c r="W132" t="inlineStr">
        <is>
          <t>1990-02-22</t>
        </is>
      </c>
      <c r="X132" t="inlineStr">
        <is>
          <t>1990-02-22</t>
        </is>
      </c>
      <c r="Y132" t="n">
        <v>608</v>
      </c>
      <c r="Z132" t="n">
        <v>588</v>
      </c>
      <c r="AA132" t="n">
        <v>667</v>
      </c>
      <c r="AB132" t="n">
        <v>9</v>
      </c>
      <c r="AC132" t="n">
        <v>9</v>
      </c>
      <c r="AD132" t="n">
        <v>31</v>
      </c>
      <c r="AE132" t="n">
        <v>34</v>
      </c>
      <c r="AF132" t="n">
        <v>9</v>
      </c>
      <c r="AG132" t="n">
        <v>11</v>
      </c>
      <c r="AH132" t="n">
        <v>7</v>
      </c>
      <c r="AI132" t="n">
        <v>8</v>
      </c>
      <c r="AJ132" t="n">
        <v>17</v>
      </c>
      <c r="AK132" t="n">
        <v>19</v>
      </c>
      <c r="AL132" t="n">
        <v>6</v>
      </c>
      <c r="AM132" t="n">
        <v>6</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HYPERLINK("https://creighton-primo.hosted.exlibrisgroup.com/primo-explore/search?tab=default_tab&amp;search_scope=EVERYTHING&amp;vid=01CRU&amp;lang=en_US&amp;offset=0&amp;query=any,contains,991002149379702656","Catalog Record")</f>
        <v/>
      </c>
      <c r="AT132">
        <f>HYPERLINK("http://www.worldcat.org/oclc/271740","WorldCat Record")</f>
        <v/>
      </c>
      <c r="AU132" t="inlineStr">
        <is>
          <t>2586414:eng</t>
        </is>
      </c>
      <c r="AV132" t="inlineStr">
        <is>
          <t>271740</t>
        </is>
      </c>
      <c r="AW132" t="inlineStr">
        <is>
          <t>991002149379702656</t>
        </is>
      </c>
      <c r="AX132" t="inlineStr">
        <is>
          <t>991002149379702656</t>
        </is>
      </c>
      <c r="AY132" t="inlineStr">
        <is>
          <t>2264233100002656</t>
        </is>
      </c>
      <c r="AZ132" t="inlineStr">
        <is>
          <t>BOOK</t>
        </is>
      </c>
      <c r="BC132" t="inlineStr">
        <is>
          <t>32285000060094</t>
        </is>
      </c>
      <c r="BD132" t="inlineStr">
        <is>
          <t>893885894</t>
        </is>
      </c>
    </row>
    <row r="133">
      <c r="A133" t="inlineStr">
        <is>
          <t>No</t>
        </is>
      </c>
      <c r="B133" t="inlineStr">
        <is>
          <t>DC136.A2 F72 1982</t>
        </is>
      </c>
      <c r="C133" t="inlineStr">
        <is>
          <t>0                      DC 0136000A  2                  F  72          1982</t>
        </is>
      </c>
      <c r="D133" t="inlineStr">
        <is>
          <t>The French Revolution : the fall of the ancient regime to the Thermidorian Reaction, 1785-1795 / [edited by] John Hardman.</t>
        </is>
      </c>
      <c r="F133" t="inlineStr">
        <is>
          <t>No</t>
        </is>
      </c>
      <c r="G133" t="inlineStr">
        <is>
          <t>1</t>
        </is>
      </c>
      <c r="H133" t="inlineStr">
        <is>
          <t>No</t>
        </is>
      </c>
      <c r="I133" t="inlineStr">
        <is>
          <t>No</t>
        </is>
      </c>
      <c r="J133" t="inlineStr">
        <is>
          <t>0</t>
        </is>
      </c>
      <c r="L133" t="inlineStr">
        <is>
          <t>New York : St. Martin's Press, 1982.</t>
        </is>
      </c>
      <c r="M133" t="inlineStr">
        <is>
          <t>1982</t>
        </is>
      </c>
      <c r="O133" t="inlineStr">
        <is>
          <t>eng</t>
        </is>
      </c>
      <c r="P133" t="inlineStr">
        <is>
          <t>nyu</t>
        </is>
      </c>
      <c r="Q133" t="inlineStr">
        <is>
          <t>Documents of modern history</t>
        </is>
      </c>
      <c r="R133" t="inlineStr">
        <is>
          <t xml:space="preserve">DC </t>
        </is>
      </c>
      <c r="S133" t="n">
        <v>2</v>
      </c>
      <c r="T133" t="n">
        <v>2</v>
      </c>
      <c r="U133" t="inlineStr">
        <is>
          <t>1995-11-26</t>
        </is>
      </c>
      <c r="V133" t="inlineStr">
        <is>
          <t>1995-11-26</t>
        </is>
      </c>
      <c r="W133" t="inlineStr">
        <is>
          <t>1990-07-19</t>
        </is>
      </c>
      <c r="X133" t="inlineStr">
        <is>
          <t>1990-07-19</t>
        </is>
      </c>
      <c r="Y133" t="n">
        <v>266</v>
      </c>
      <c r="Z133" t="n">
        <v>230</v>
      </c>
      <c r="AA133" t="n">
        <v>276</v>
      </c>
      <c r="AB133" t="n">
        <v>1</v>
      </c>
      <c r="AC133" t="n">
        <v>3</v>
      </c>
      <c r="AD133" t="n">
        <v>13</v>
      </c>
      <c r="AE133" t="n">
        <v>16</v>
      </c>
      <c r="AF133" t="n">
        <v>3</v>
      </c>
      <c r="AG133" t="n">
        <v>4</v>
      </c>
      <c r="AH133" t="n">
        <v>6</v>
      </c>
      <c r="AI133" t="n">
        <v>6</v>
      </c>
      <c r="AJ133" t="n">
        <v>9</v>
      </c>
      <c r="AK133" t="n">
        <v>10</v>
      </c>
      <c r="AL133" t="n">
        <v>0</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HYPERLINK("https://creighton-primo.hosted.exlibrisgroup.com/primo-explore/search?tab=default_tab&amp;search_scope=EVERYTHING&amp;vid=01CRU&amp;lang=en_US&amp;offset=0&amp;query=any,contains,991005163799702656","Catalog Record")</f>
        <v/>
      </c>
      <c r="AT133">
        <f>HYPERLINK("http://www.worldcat.org/oclc/7812288","WorldCat Record")</f>
        <v/>
      </c>
      <c r="AU133" t="inlineStr">
        <is>
          <t>836680568:eng</t>
        </is>
      </c>
      <c r="AV133" t="inlineStr">
        <is>
          <t>7812288</t>
        </is>
      </c>
      <c r="AW133" t="inlineStr">
        <is>
          <t>991005163799702656</t>
        </is>
      </c>
      <c r="AX133" t="inlineStr">
        <is>
          <t>991005163799702656</t>
        </is>
      </c>
      <c r="AY133" t="inlineStr">
        <is>
          <t>2255011600002656</t>
        </is>
      </c>
      <c r="AZ133" t="inlineStr">
        <is>
          <t>BOOK</t>
        </is>
      </c>
      <c r="BB133" t="inlineStr">
        <is>
          <t>9780312305222</t>
        </is>
      </c>
      <c r="BC133" t="inlineStr">
        <is>
          <t>32285000245778</t>
        </is>
      </c>
      <c r="BD133" t="inlineStr">
        <is>
          <t>893536424</t>
        </is>
      </c>
    </row>
    <row r="134">
      <c r="A134" t="inlineStr">
        <is>
          <t>No</t>
        </is>
      </c>
      <c r="B134" t="inlineStr">
        <is>
          <t>DC137 .C76 1975</t>
        </is>
      </c>
      <c r="C134" t="inlineStr">
        <is>
          <t>0                      DC 0137000C  76          1975</t>
        </is>
      </c>
      <c r="D134" t="inlineStr">
        <is>
          <t>Louis and Antoinette / by Vincent Cronin.</t>
        </is>
      </c>
      <c r="F134" t="inlineStr">
        <is>
          <t>No</t>
        </is>
      </c>
      <c r="G134" t="inlineStr">
        <is>
          <t>1</t>
        </is>
      </c>
      <c r="H134" t="inlineStr">
        <is>
          <t>No</t>
        </is>
      </c>
      <c r="I134" t="inlineStr">
        <is>
          <t>No</t>
        </is>
      </c>
      <c r="J134" t="inlineStr">
        <is>
          <t>0</t>
        </is>
      </c>
      <c r="K134" t="inlineStr">
        <is>
          <t>Cronin, Vincent.</t>
        </is>
      </c>
      <c r="L134" t="inlineStr">
        <is>
          <t>New York : Morrow, 1975, c1974.</t>
        </is>
      </c>
      <c r="M134" t="inlineStr">
        <is>
          <t>1975</t>
        </is>
      </c>
      <c r="O134" t="inlineStr">
        <is>
          <t>eng</t>
        </is>
      </c>
      <c r="P134" t="inlineStr">
        <is>
          <t>nyu</t>
        </is>
      </c>
      <c r="R134" t="inlineStr">
        <is>
          <t xml:space="preserve">DC </t>
        </is>
      </c>
      <c r="S134" t="n">
        <v>8</v>
      </c>
      <c r="T134" t="n">
        <v>8</v>
      </c>
      <c r="U134" t="inlineStr">
        <is>
          <t>2010-12-01</t>
        </is>
      </c>
      <c r="V134" t="inlineStr">
        <is>
          <t>2010-12-01</t>
        </is>
      </c>
      <c r="W134" t="inlineStr">
        <is>
          <t>1990-04-18</t>
        </is>
      </c>
      <c r="X134" t="inlineStr">
        <is>
          <t>1990-04-18</t>
        </is>
      </c>
      <c r="Y134" t="n">
        <v>993</v>
      </c>
      <c r="Z134" t="n">
        <v>963</v>
      </c>
      <c r="AA134" t="n">
        <v>1125</v>
      </c>
      <c r="AB134" t="n">
        <v>12</v>
      </c>
      <c r="AC134" t="n">
        <v>12</v>
      </c>
      <c r="AD134" t="n">
        <v>32</v>
      </c>
      <c r="AE134" t="n">
        <v>35</v>
      </c>
      <c r="AF134" t="n">
        <v>12</v>
      </c>
      <c r="AG134" t="n">
        <v>13</v>
      </c>
      <c r="AH134" t="n">
        <v>8</v>
      </c>
      <c r="AI134" t="n">
        <v>9</v>
      </c>
      <c r="AJ134" t="n">
        <v>13</v>
      </c>
      <c r="AK134" t="n">
        <v>15</v>
      </c>
      <c r="AL134" t="n">
        <v>6</v>
      </c>
      <c r="AM134" t="n">
        <v>6</v>
      </c>
      <c r="AN134" t="n">
        <v>0</v>
      </c>
      <c r="AO134" t="n">
        <v>0</v>
      </c>
      <c r="AP134" t="inlineStr">
        <is>
          <t>No</t>
        </is>
      </c>
      <c r="AQ134" t="inlineStr">
        <is>
          <t>Yes</t>
        </is>
      </c>
      <c r="AR134">
        <f>HYPERLINK("http://catalog.hathitrust.org/Record/000043439","HathiTrust Record")</f>
        <v/>
      </c>
      <c r="AS134">
        <f>HYPERLINK("https://creighton-primo.hosted.exlibrisgroup.com/primo-explore/search?tab=default_tab&amp;search_scope=EVERYTHING&amp;vid=01CRU&amp;lang=en_US&amp;offset=0&amp;query=any,contains,991003609939702656","Catalog Record")</f>
        <v/>
      </c>
      <c r="AT134">
        <f>HYPERLINK("http://www.worldcat.org/oclc/1192281","WorldCat Record")</f>
        <v/>
      </c>
      <c r="AU134" t="inlineStr">
        <is>
          <t>2149805:eng</t>
        </is>
      </c>
      <c r="AV134" t="inlineStr">
        <is>
          <t>1192281</t>
        </is>
      </c>
      <c r="AW134" t="inlineStr">
        <is>
          <t>991003609939702656</t>
        </is>
      </c>
      <c r="AX134" t="inlineStr">
        <is>
          <t>991003609939702656</t>
        </is>
      </c>
      <c r="AY134" t="inlineStr">
        <is>
          <t>2261697750002656</t>
        </is>
      </c>
      <c r="AZ134" t="inlineStr">
        <is>
          <t>BOOK</t>
        </is>
      </c>
      <c r="BB134" t="inlineStr">
        <is>
          <t>9780688003319</t>
        </is>
      </c>
      <c r="BC134" t="inlineStr">
        <is>
          <t>32285000118413</t>
        </is>
      </c>
      <c r="BD134" t="inlineStr">
        <is>
          <t>893787537</t>
        </is>
      </c>
    </row>
    <row r="135">
      <c r="A135" t="inlineStr">
        <is>
          <t>No</t>
        </is>
      </c>
      <c r="B135" t="inlineStr">
        <is>
          <t>DC137 .H37 1993</t>
        </is>
      </c>
      <c r="C135" t="inlineStr">
        <is>
          <t>0                      DC 0137000H  37          1993</t>
        </is>
      </c>
      <c r="D135" t="inlineStr">
        <is>
          <t>Louis XVI / John Hardman.</t>
        </is>
      </c>
      <c r="F135" t="inlineStr">
        <is>
          <t>No</t>
        </is>
      </c>
      <c r="G135" t="inlineStr">
        <is>
          <t>1</t>
        </is>
      </c>
      <c r="H135" t="inlineStr">
        <is>
          <t>No</t>
        </is>
      </c>
      <c r="I135" t="inlineStr">
        <is>
          <t>No</t>
        </is>
      </c>
      <c r="J135" t="inlineStr">
        <is>
          <t>0</t>
        </is>
      </c>
      <c r="K135" t="inlineStr">
        <is>
          <t>Hardman, John, 1944-</t>
        </is>
      </c>
      <c r="L135" t="inlineStr">
        <is>
          <t>New Haven : Yale University Press, 1993.</t>
        </is>
      </c>
      <c r="M135" t="inlineStr">
        <is>
          <t>1993</t>
        </is>
      </c>
      <c r="O135" t="inlineStr">
        <is>
          <t>eng</t>
        </is>
      </c>
      <c r="P135" t="inlineStr">
        <is>
          <t>ctu</t>
        </is>
      </c>
      <c r="R135" t="inlineStr">
        <is>
          <t xml:space="preserve">DC </t>
        </is>
      </c>
      <c r="S135" t="n">
        <v>9</v>
      </c>
      <c r="T135" t="n">
        <v>9</v>
      </c>
      <c r="U135" t="inlineStr">
        <is>
          <t>2010-12-01</t>
        </is>
      </c>
      <c r="V135" t="inlineStr">
        <is>
          <t>2010-12-01</t>
        </is>
      </c>
      <c r="W135" t="inlineStr">
        <is>
          <t>1994-06-07</t>
        </is>
      </c>
      <c r="X135" t="inlineStr">
        <is>
          <t>1994-06-07</t>
        </is>
      </c>
      <c r="Y135" t="n">
        <v>968</v>
      </c>
      <c r="Z135" t="n">
        <v>782</v>
      </c>
      <c r="AA135" t="n">
        <v>926</v>
      </c>
      <c r="AB135" t="n">
        <v>5</v>
      </c>
      <c r="AC135" t="n">
        <v>5</v>
      </c>
      <c r="AD135" t="n">
        <v>41</v>
      </c>
      <c r="AE135" t="n">
        <v>45</v>
      </c>
      <c r="AF135" t="n">
        <v>18</v>
      </c>
      <c r="AG135" t="n">
        <v>21</v>
      </c>
      <c r="AH135" t="n">
        <v>10</v>
      </c>
      <c r="AI135" t="n">
        <v>11</v>
      </c>
      <c r="AJ135" t="n">
        <v>22</v>
      </c>
      <c r="AK135" t="n">
        <v>22</v>
      </c>
      <c r="AL135" t="n">
        <v>4</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HYPERLINK("https://creighton-primo.hosted.exlibrisgroup.com/primo-explore/search?tab=default_tab&amp;search_scope=EVERYTHING&amp;vid=01CRU&amp;lang=en_US&amp;offset=0&amp;query=any,contains,991002023229702656","Catalog Record")</f>
        <v/>
      </c>
      <c r="AT135">
        <f>HYPERLINK("http://www.worldcat.org/oclc/25746833","WorldCat Record")</f>
        <v/>
      </c>
      <c r="AU135" t="inlineStr">
        <is>
          <t>9937345464:eng</t>
        </is>
      </c>
      <c r="AV135" t="inlineStr">
        <is>
          <t>25746833</t>
        </is>
      </c>
      <c r="AW135" t="inlineStr">
        <is>
          <t>991002023229702656</t>
        </is>
      </c>
      <c r="AX135" t="inlineStr">
        <is>
          <t>991002023229702656</t>
        </is>
      </c>
      <c r="AY135" t="inlineStr">
        <is>
          <t>2269658160002656</t>
        </is>
      </c>
      <c r="AZ135" t="inlineStr">
        <is>
          <t>BOOK</t>
        </is>
      </c>
      <c r="BB135" t="inlineStr">
        <is>
          <t>9780300057195</t>
        </is>
      </c>
      <c r="BC135" t="inlineStr">
        <is>
          <t>32285001921575</t>
        </is>
      </c>
      <c r="BD135" t="inlineStr">
        <is>
          <t>893798077</t>
        </is>
      </c>
    </row>
    <row r="136">
      <c r="A136" t="inlineStr">
        <is>
          <t>No</t>
        </is>
      </c>
      <c r="B136" t="inlineStr">
        <is>
          <t>DC137.1 .A5</t>
        </is>
      </c>
      <c r="C136" t="inlineStr">
        <is>
          <t>0                      DC 0137100A  5</t>
        </is>
      </c>
      <c r="D136" t="inlineStr">
        <is>
          <t>Marie Antoinette / by Katharine Anthony.</t>
        </is>
      </c>
      <c r="F136" t="inlineStr">
        <is>
          <t>No</t>
        </is>
      </c>
      <c r="G136" t="inlineStr">
        <is>
          <t>1</t>
        </is>
      </c>
      <c r="H136" t="inlineStr">
        <is>
          <t>No</t>
        </is>
      </c>
      <c r="I136" t="inlineStr">
        <is>
          <t>No</t>
        </is>
      </c>
      <c r="J136" t="inlineStr">
        <is>
          <t>0</t>
        </is>
      </c>
      <c r="K136" t="inlineStr">
        <is>
          <t>Anthony, Katharine Susan, 1877-1965.</t>
        </is>
      </c>
      <c r="L136" t="inlineStr">
        <is>
          <t>New York : A.A. Knopf, 1933.</t>
        </is>
      </c>
      <c r="M136" t="inlineStr">
        <is>
          <t>1933</t>
        </is>
      </c>
      <c r="N136" t="inlineStr">
        <is>
          <t>[1st ed.]</t>
        </is>
      </c>
      <c r="O136" t="inlineStr">
        <is>
          <t>eng</t>
        </is>
      </c>
      <c r="P136" t="inlineStr">
        <is>
          <t>nyu</t>
        </is>
      </c>
      <c r="R136" t="inlineStr">
        <is>
          <t xml:space="preserve">DC </t>
        </is>
      </c>
      <c r="S136" t="n">
        <v>9</v>
      </c>
      <c r="T136" t="n">
        <v>9</v>
      </c>
      <c r="U136" t="inlineStr">
        <is>
          <t>2006-10-23</t>
        </is>
      </c>
      <c r="V136" t="inlineStr">
        <is>
          <t>2006-10-23</t>
        </is>
      </c>
      <c r="W136" t="inlineStr">
        <is>
          <t>1990-11-12</t>
        </is>
      </c>
      <c r="X136" t="inlineStr">
        <is>
          <t>1990-11-12</t>
        </is>
      </c>
      <c r="Y136" t="n">
        <v>210</v>
      </c>
      <c r="Z136" t="n">
        <v>202</v>
      </c>
      <c r="AA136" t="n">
        <v>245</v>
      </c>
      <c r="AB136" t="n">
        <v>1</v>
      </c>
      <c r="AC136" t="n">
        <v>1</v>
      </c>
      <c r="AD136" t="n">
        <v>8</v>
      </c>
      <c r="AE136" t="n">
        <v>9</v>
      </c>
      <c r="AF136" t="n">
        <v>2</v>
      </c>
      <c r="AG136" t="n">
        <v>2</v>
      </c>
      <c r="AH136" t="n">
        <v>3</v>
      </c>
      <c r="AI136" t="n">
        <v>3</v>
      </c>
      <c r="AJ136" t="n">
        <v>4</v>
      </c>
      <c r="AK136" t="n">
        <v>5</v>
      </c>
      <c r="AL136" t="n">
        <v>0</v>
      </c>
      <c r="AM136" t="n">
        <v>0</v>
      </c>
      <c r="AN136" t="n">
        <v>0</v>
      </c>
      <c r="AO136" t="n">
        <v>0</v>
      </c>
      <c r="AP136" t="inlineStr">
        <is>
          <t>No</t>
        </is>
      </c>
      <c r="AQ136" t="inlineStr">
        <is>
          <t>Yes</t>
        </is>
      </c>
      <c r="AR136">
        <f>HYPERLINK("http://catalog.hathitrust.org/Record/000601784","HathiTrust Record")</f>
        <v/>
      </c>
      <c r="AS136">
        <f>HYPERLINK("https://creighton-primo.hosted.exlibrisgroup.com/primo-explore/search?tab=default_tab&amp;search_scope=EVERYTHING&amp;vid=01CRU&amp;lang=en_US&amp;offset=0&amp;query=any,contains,991003632749702656","Catalog Record")</f>
        <v/>
      </c>
      <c r="AT136">
        <f>HYPERLINK("http://www.worldcat.org/oclc/1226540","WorldCat Record")</f>
        <v/>
      </c>
      <c r="AU136" t="inlineStr">
        <is>
          <t>1666322:eng</t>
        </is>
      </c>
      <c r="AV136" t="inlineStr">
        <is>
          <t>1226540</t>
        </is>
      </c>
      <c r="AW136" t="inlineStr">
        <is>
          <t>991003632749702656</t>
        </is>
      </c>
      <c r="AX136" t="inlineStr">
        <is>
          <t>991003632749702656</t>
        </is>
      </c>
      <c r="AY136" t="inlineStr">
        <is>
          <t>2266692080002656</t>
        </is>
      </c>
      <c r="AZ136" t="inlineStr">
        <is>
          <t>BOOK</t>
        </is>
      </c>
      <c r="BC136" t="inlineStr">
        <is>
          <t>32285000314434</t>
        </is>
      </c>
      <c r="BD136" t="inlineStr">
        <is>
          <t>893686754</t>
        </is>
      </c>
    </row>
    <row r="137">
      <c r="A137" t="inlineStr">
        <is>
          <t>No</t>
        </is>
      </c>
      <c r="B137" t="inlineStr">
        <is>
          <t>DC137.1 .B46 1924</t>
        </is>
      </c>
      <c r="C137" t="inlineStr">
        <is>
          <t>0                      DC 0137100B  46          1924</t>
        </is>
      </c>
      <c r="D137" t="inlineStr">
        <is>
          <t>Marie Antoinette / by Hilaire Belloc.</t>
        </is>
      </c>
      <c r="F137" t="inlineStr">
        <is>
          <t>No</t>
        </is>
      </c>
      <c r="G137" t="inlineStr">
        <is>
          <t>1</t>
        </is>
      </c>
      <c r="H137" t="inlineStr">
        <is>
          <t>No</t>
        </is>
      </c>
      <c r="I137" t="inlineStr">
        <is>
          <t>No</t>
        </is>
      </c>
      <c r="J137" t="inlineStr">
        <is>
          <t>0</t>
        </is>
      </c>
      <c r="K137" t="inlineStr">
        <is>
          <t>Belloc, Hilaire, 1870-1953.</t>
        </is>
      </c>
      <c r="L137" t="inlineStr">
        <is>
          <t>New York ; London : G. P. Putnam's sons, 1924.</t>
        </is>
      </c>
      <c r="M137" t="inlineStr">
        <is>
          <t>1924</t>
        </is>
      </c>
      <c r="O137" t="inlineStr">
        <is>
          <t>eng</t>
        </is>
      </c>
      <c r="P137" t="inlineStr">
        <is>
          <t>nyu</t>
        </is>
      </c>
      <c r="R137" t="inlineStr">
        <is>
          <t xml:space="preserve">DC </t>
        </is>
      </c>
      <c r="S137" t="n">
        <v>3</v>
      </c>
      <c r="T137" t="n">
        <v>3</v>
      </c>
      <c r="U137" t="inlineStr">
        <is>
          <t>1992-12-03</t>
        </is>
      </c>
      <c r="V137" t="inlineStr">
        <is>
          <t>1992-12-03</t>
        </is>
      </c>
      <c r="W137" t="inlineStr">
        <is>
          <t>1990-04-18</t>
        </is>
      </c>
      <c r="X137" t="inlineStr">
        <is>
          <t>1990-04-18</t>
        </is>
      </c>
      <c r="Y137" t="n">
        <v>544</v>
      </c>
      <c r="Z137" t="n">
        <v>521</v>
      </c>
      <c r="AA137" t="n">
        <v>999</v>
      </c>
      <c r="AB137" t="n">
        <v>4</v>
      </c>
      <c r="AC137" t="n">
        <v>8</v>
      </c>
      <c r="AD137" t="n">
        <v>28</v>
      </c>
      <c r="AE137" t="n">
        <v>51</v>
      </c>
      <c r="AF137" t="n">
        <v>12</v>
      </c>
      <c r="AG137" t="n">
        <v>18</v>
      </c>
      <c r="AH137" t="n">
        <v>6</v>
      </c>
      <c r="AI137" t="n">
        <v>10</v>
      </c>
      <c r="AJ137" t="n">
        <v>18</v>
      </c>
      <c r="AK137" t="n">
        <v>26</v>
      </c>
      <c r="AL137" t="n">
        <v>2</v>
      </c>
      <c r="AM137" t="n">
        <v>5</v>
      </c>
      <c r="AN137" t="n">
        <v>0</v>
      </c>
      <c r="AO137" t="n">
        <v>5</v>
      </c>
      <c r="AP137" t="inlineStr">
        <is>
          <t>Yes</t>
        </is>
      </c>
      <c r="AQ137" t="inlineStr">
        <is>
          <t>No</t>
        </is>
      </c>
      <c r="AR137">
        <f>HYPERLINK("http://catalog.hathitrust.org/Record/000601855","HathiTrust Record")</f>
        <v/>
      </c>
      <c r="AS137">
        <f>HYPERLINK("https://creighton-primo.hosted.exlibrisgroup.com/primo-explore/search?tab=default_tab&amp;search_scope=EVERYTHING&amp;vid=01CRU&amp;lang=en_US&amp;offset=0&amp;query=any,contains,991004168709702656","Catalog Record")</f>
        <v/>
      </c>
      <c r="AT137">
        <f>HYPERLINK("http://www.worldcat.org/oclc/2573543","WorldCat Record")</f>
        <v/>
      </c>
      <c r="AU137" t="inlineStr">
        <is>
          <t>1422599:eng</t>
        </is>
      </c>
      <c r="AV137" t="inlineStr">
        <is>
          <t>2573543</t>
        </is>
      </c>
      <c r="AW137" t="inlineStr">
        <is>
          <t>991004168709702656</t>
        </is>
      </c>
      <c r="AX137" t="inlineStr">
        <is>
          <t>991004168709702656</t>
        </is>
      </c>
      <c r="AY137" t="inlineStr">
        <is>
          <t>2263401580002656</t>
        </is>
      </c>
      <c r="AZ137" t="inlineStr">
        <is>
          <t>BOOK</t>
        </is>
      </c>
      <c r="BC137" t="inlineStr">
        <is>
          <t>32285000118421</t>
        </is>
      </c>
      <c r="BD137" t="inlineStr">
        <is>
          <t>893618334</t>
        </is>
      </c>
    </row>
    <row r="138">
      <c r="A138" t="inlineStr">
        <is>
          <t>No</t>
        </is>
      </c>
      <c r="B138" t="inlineStr">
        <is>
          <t>DC137.1 .C313 1957a</t>
        </is>
      </c>
      <c r="C138" t="inlineStr">
        <is>
          <t>0                      DC 0137100C  313         1957a</t>
        </is>
      </c>
      <c r="D138" t="inlineStr">
        <is>
          <t>Queen of France : a biography of Marie Antoinette / translated from the French by Denise Folliot.</t>
        </is>
      </c>
      <c r="F138" t="inlineStr">
        <is>
          <t>No</t>
        </is>
      </c>
      <c r="G138" t="inlineStr">
        <is>
          <t>1</t>
        </is>
      </c>
      <c r="H138" t="inlineStr">
        <is>
          <t>No</t>
        </is>
      </c>
      <c r="I138" t="inlineStr">
        <is>
          <t>No</t>
        </is>
      </c>
      <c r="J138" t="inlineStr">
        <is>
          <t>0</t>
        </is>
      </c>
      <c r="K138" t="inlineStr">
        <is>
          <t>Castelot, André.</t>
        </is>
      </c>
      <c r="L138" t="inlineStr">
        <is>
          <t>New York : Harper, [1957]</t>
        </is>
      </c>
      <c r="M138" t="inlineStr">
        <is>
          <t>1957</t>
        </is>
      </c>
      <c r="N138" t="inlineStr">
        <is>
          <t>[1st ed.]</t>
        </is>
      </c>
      <c r="O138" t="inlineStr">
        <is>
          <t>eng</t>
        </is>
      </c>
      <c r="P138" t="inlineStr">
        <is>
          <t>nyu</t>
        </is>
      </c>
      <c r="R138" t="inlineStr">
        <is>
          <t xml:space="preserve">DC </t>
        </is>
      </c>
      <c r="S138" t="n">
        <v>3</v>
      </c>
      <c r="T138" t="n">
        <v>3</v>
      </c>
      <c r="U138" t="inlineStr">
        <is>
          <t>2001-11-11</t>
        </is>
      </c>
      <c r="V138" t="inlineStr">
        <is>
          <t>2001-11-11</t>
        </is>
      </c>
      <c r="W138" t="inlineStr">
        <is>
          <t>1993-01-06</t>
        </is>
      </c>
      <c r="X138" t="inlineStr">
        <is>
          <t>1993-01-06</t>
        </is>
      </c>
      <c r="Y138" t="n">
        <v>1953</v>
      </c>
      <c r="Z138" t="n">
        <v>1868</v>
      </c>
      <c r="AA138" t="n">
        <v>1880</v>
      </c>
      <c r="AB138" t="n">
        <v>20</v>
      </c>
      <c r="AC138" t="n">
        <v>20</v>
      </c>
      <c r="AD138" t="n">
        <v>53</v>
      </c>
      <c r="AE138" t="n">
        <v>53</v>
      </c>
      <c r="AF138" t="n">
        <v>22</v>
      </c>
      <c r="AG138" t="n">
        <v>22</v>
      </c>
      <c r="AH138" t="n">
        <v>9</v>
      </c>
      <c r="AI138" t="n">
        <v>9</v>
      </c>
      <c r="AJ138" t="n">
        <v>19</v>
      </c>
      <c r="AK138" t="n">
        <v>19</v>
      </c>
      <c r="AL138" t="n">
        <v>13</v>
      </c>
      <c r="AM138" t="n">
        <v>13</v>
      </c>
      <c r="AN138" t="n">
        <v>0</v>
      </c>
      <c r="AO138" t="n">
        <v>0</v>
      </c>
      <c r="AP138" t="inlineStr">
        <is>
          <t>No</t>
        </is>
      </c>
      <c r="AQ138" t="inlineStr">
        <is>
          <t>Yes</t>
        </is>
      </c>
      <c r="AR138">
        <f>HYPERLINK("http://catalog.hathitrust.org/Record/000601885","HathiTrust Record")</f>
        <v/>
      </c>
      <c r="AS138">
        <f>HYPERLINK("https://creighton-primo.hosted.exlibrisgroup.com/primo-explore/search?tab=default_tab&amp;search_scope=EVERYTHING&amp;vid=01CRU&amp;lang=en_US&amp;offset=0&amp;query=any,contains,991002691029702656","Catalog Record")</f>
        <v/>
      </c>
      <c r="AT138">
        <f>HYPERLINK("http://www.worldcat.org/oclc/401503","WorldCat Record")</f>
        <v/>
      </c>
      <c r="AU138" t="inlineStr">
        <is>
          <t>10278972933:eng</t>
        </is>
      </c>
      <c r="AV138" t="inlineStr">
        <is>
          <t>401503</t>
        </is>
      </c>
      <c r="AW138" t="inlineStr">
        <is>
          <t>991002691029702656</t>
        </is>
      </c>
      <c r="AX138" t="inlineStr">
        <is>
          <t>991002691029702656</t>
        </is>
      </c>
      <c r="AY138" t="inlineStr">
        <is>
          <t>2268319280002656</t>
        </is>
      </c>
      <c r="AZ138" t="inlineStr">
        <is>
          <t>BOOK</t>
        </is>
      </c>
      <c r="BC138" t="inlineStr">
        <is>
          <t>32285001404796</t>
        </is>
      </c>
      <c r="BD138" t="inlineStr">
        <is>
          <t>893691888</t>
        </is>
      </c>
    </row>
    <row r="139">
      <c r="A139" t="inlineStr">
        <is>
          <t>No</t>
        </is>
      </c>
      <c r="B139" t="inlineStr">
        <is>
          <t>DC137.1 .E77 1991</t>
        </is>
      </c>
      <c r="C139" t="inlineStr">
        <is>
          <t>0                      DC 0137100E  77          1991</t>
        </is>
      </c>
      <c r="D139" t="inlineStr">
        <is>
          <t>To the scaffold : the life of Marie Antoinette / Carolly Erickson.</t>
        </is>
      </c>
      <c r="F139" t="inlineStr">
        <is>
          <t>No</t>
        </is>
      </c>
      <c r="G139" t="inlineStr">
        <is>
          <t>1</t>
        </is>
      </c>
      <c r="H139" t="inlineStr">
        <is>
          <t>No</t>
        </is>
      </c>
      <c r="I139" t="inlineStr">
        <is>
          <t>No</t>
        </is>
      </c>
      <c r="J139" t="inlineStr">
        <is>
          <t>0</t>
        </is>
      </c>
      <c r="K139" t="inlineStr">
        <is>
          <t>Erickson, Carolly, 1943-</t>
        </is>
      </c>
      <c r="L139" t="inlineStr">
        <is>
          <t>New York : W. Morrow and Co., c1991.</t>
        </is>
      </c>
      <c r="M139" t="inlineStr">
        <is>
          <t>1991</t>
        </is>
      </c>
      <c r="N139" t="inlineStr">
        <is>
          <t>1st ed.</t>
        </is>
      </c>
      <c r="O139" t="inlineStr">
        <is>
          <t>eng</t>
        </is>
      </c>
      <c r="P139" t="inlineStr">
        <is>
          <t>nyu</t>
        </is>
      </c>
      <c r="R139" t="inlineStr">
        <is>
          <t xml:space="preserve">DC </t>
        </is>
      </c>
      <c r="S139" t="n">
        <v>6</v>
      </c>
      <c r="T139" t="n">
        <v>6</v>
      </c>
      <c r="U139" t="inlineStr">
        <is>
          <t>2004-11-15</t>
        </is>
      </c>
      <c r="V139" t="inlineStr">
        <is>
          <t>2004-11-15</t>
        </is>
      </c>
      <c r="W139" t="inlineStr">
        <is>
          <t>1993-01-05</t>
        </is>
      </c>
      <c r="X139" t="inlineStr">
        <is>
          <t>1993-01-05</t>
        </is>
      </c>
      <c r="Y139" t="n">
        <v>1325</v>
      </c>
      <c r="Z139" t="n">
        <v>1240</v>
      </c>
      <c r="AA139" t="n">
        <v>1392</v>
      </c>
      <c r="AB139" t="n">
        <v>8</v>
      </c>
      <c r="AC139" t="n">
        <v>8</v>
      </c>
      <c r="AD139" t="n">
        <v>34</v>
      </c>
      <c r="AE139" t="n">
        <v>39</v>
      </c>
      <c r="AF139" t="n">
        <v>13</v>
      </c>
      <c r="AG139" t="n">
        <v>17</v>
      </c>
      <c r="AH139" t="n">
        <v>9</v>
      </c>
      <c r="AI139" t="n">
        <v>9</v>
      </c>
      <c r="AJ139" t="n">
        <v>14</v>
      </c>
      <c r="AK139" t="n">
        <v>17</v>
      </c>
      <c r="AL139" t="n">
        <v>5</v>
      </c>
      <c r="AM139" t="n">
        <v>5</v>
      </c>
      <c r="AN139" t="n">
        <v>0</v>
      </c>
      <c r="AO139" t="n">
        <v>0</v>
      </c>
      <c r="AP139" t="inlineStr">
        <is>
          <t>No</t>
        </is>
      </c>
      <c r="AQ139" t="inlineStr">
        <is>
          <t>Yes</t>
        </is>
      </c>
      <c r="AR139">
        <f>HYPERLINK("http://catalog.hathitrust.org/Record/002439478","HathiTrust Record")</f>
        <v/>
      </c>
      <c r="AS139">
        <f>HYPERLINK("https://creighton-primo.hosted.exlibrisgroup.com/primo-explore/search?tab=default_tab&amp;search_scope=EVERYTHING&amp;vid=01CRU&amp;lang=en_US&amp;offset=0&amp;query=any,contains,991001764359702656","Catalog Record")</f>
        <v/>
      </c>
      <c r="AT139">
        <f>HYPERLINK("http://www.worldcat.org/oclc/22305461","WorldCat Record")</f>
        <v/>
      </c>
      <c r="AU139" t="inlineStr">
        <is>
          <t>16874755:eng</t>
        </is>
      </c>
      <c r="AV139" t="inlineStr">
        <is>
          <t>22305461</t>
        </is>
      </c>
      <c r="AW139" t="inlineStr">
        <is>
          <t>991001764359702656</t>
        </is>
      </c>
      <c r="AX139" t="inlineStr">
        <is>
          <t>991001764359702656</t>
        </is>
      </c>
      <c r="AY139" t="inlineStr">
        <is>
          <t>2261099980002656</t>
        </is>
      </c>
      <c r="AZ139" t="inlineStr">
        <is>
          <t>BOOK</t>
        </is>
      </c>
      <c r="BB139" t="inlineStr">
        <is>
          <t>9780688073015</t>
        </is>
      </c>
      <c r="BC139" t="inlineStr">
        <is>
          <t>32285001404325</t>
        </is>
      </c>
      <c r="BD139" t="inlineStr">
        <is>
          <t>893803874</t>
        </is>
      </c>
    </row>
    <row r="140">
      <c r="A140" t="inlineStr">
        <is>
          <t>No</t>
        </is>
      </c>
      <c r="B140" t="inlineStr">
        <is>
          <t>DC137.1 .I34</t>
        </is>
      </c>
      <c r="C140" t="inlineStr">
        <is>
          <t>0                      DC 0137100I  34</t>
        </is>
      </c>
      <c r="D140" t="inlineStr">
        <is>
          <t>Marie Antoinette and the downfall of royalty / by Imbert de Saint-Amand ; tr. by Elizabeth Gilbert Martin.</t>
        </is>
      </c>
      <c r="F140" t="inlineStr">
        <is>
          <t>No</t>
        </is>
      </c>
      <c r="G140" t="inlineStr">
        <is>
          <t>1</t>
        </is>
      </c>
      <c r="H140" t="inlineStr">
        <is>
          <t>No</t>
        </is>
      </c>
      <c r="I140" t="inlineStr">
        <is>
          <t>No</t>
        </is>
      </c>
      <c r="J140" t="inlineStr">
        <is>
          <t>0</t>
        </is>
      </c>
      <c r="K140" t="inlineStr">
        <is>
          <t>Imbert de Saint-Amand, 1834-1900.</t>
        </is>
      </c>
      <c r="L140" t="inlineStr">
        <is>
          <t>New York : C. Scribner, 1899, c1891.</t>
        </is>
      </c>
      <c r="M140" t="inlineStr">
        <is>
          <t>1899</t>
        </is>
      </c>
      <c r="O140" t="inlineStr">
        <is>
          <t>eng</t>
        </is>
      </c>
      <c r="P140" t="inlineStr">
        <is>
          <t>nyu</t>
        </is>
      </c>
      <c r="Q140" t="inlineStr">
        <is>
          <t>Famous women of the French court</t>
        </is>
      </c>
      <c r="R140" t="inlineStr">
        <is>
          <t xml:space="preserve">DC </t>
        </is>
      </c>
      <c r="S140" t="n">
        <v>3</v>
      </c>
      <c r="T140" t="n">
        <v>3</v>
      </c>
      <c r="U140" t="inlineStr">
        <is>
          <t>2006-03-28</t>
        </is>
      </c>
      <c r="V140" t="inlineStr">
        <is>
          <t>2006-03-28</t>
        </is>
      </c>
      <c r="W140" t="inlineStr">
        <is>
          <t>1990-11-12</t>
        </is>
      </c>
      <c r="X140" t="inlineStr">
        <is>
          <t>1990-11-12</t>
        </is>
      </c>
      <c r="Y140" t="n">
        <v>30</v>
      </c>
      <c r="Z140" t="n">
        <v>25</v>
      </c>
      <c r="AA140" t="n">
        <v>545</v>
      </c>
      <c r="AB140" t="n">
        <v>1</v>
      </c>
      <c r="AC140" t="n">
        <v>3</v>
      </c>
      <c r="AD140" t="n">
        <v>1</v>
      </c>
      <c r="AE140" t="n">
        <v>26</v>
      </c>
      <c r="AF140" t="n">
        <v>0</v>
      </c>
      <c r="AG140" t="n">
        <v>12</v>
      </c>
      <c r="AH140" t="n">
        <v>1</v>
      </c>
      <c r="AI140" t="n">
        <v>6</v>
      </c>
      <c r="AJ140" t="n">
        <v>0</v>
      </c>
      <c r="AK140" t="n">
        <v>15</v>
      </c>
      <c r="AL140" t="n">
        <v>0</v>
      </c>
      <c r="AM140" t="n">
        <v>2</v>
      </c>
      <c r="AN140" t="n">
        <v>0</v>
      </c>
      <c r="AO140" t="n">
        <v>1</v>
      </c>
      <c r="AP140" t="inlineStr">
        <is>
          <t>Yes</t>
        </is>
      </c>
      <c r="AQ140" t="inlineStr">
        <is>
          <t>No</t>
        </is>
      </c>
      <c r="AR140">
        <f>HYPERLINK("http://catalog.hathitrust.org/Record/101876509","HathiTrust Record")</f>
        <v/>
      </c>
      <c r="AS140">
        <f>HYPERLINK("https://creighton-primo.hosted.exlibrisgroup.com/primo-explore/search?tab=default_tab&amp;search_scope=EVERYTHING&amp;vid=01CRU&amp;lang=en_US&amp;offset=0&amp;query=any,contains,991001224369702656","Catalog Record")</f>
        <v/>
      </c>
      <c r="AT140">
        <f>HYPERLINK("http://www.worldcat.org/oclc/4176177","WorldCat Record")</f>
        <v/>
      </c>
      <c r="AU140" t="inlineStr">
        <is>
          <t>2863551855:eng</t>
        </is>
      </c>
      <c r="AV140" t="inlineStr">
        <is>
          <t>4176177</t>
        </is>
      </c>
      <c r="AW140" t="inlineStr">
        <is>
          <t>991001224369702656</t>
        </is>
      </c>
      <c r="AX140" t="inlineStr">
        <is>
          <t>991001224369702656</t>
        </is>
      </c>
      <c r="AY140" t="inlineStr">
        <is>
          <t>2269557890002656</t>
        </is>
      </c>
      <c r="AZ140" t="inlineStr">
        <is>
          <t>BOOK</t>
        </is>
      </c>
      <c r="BC140" t="inlineStr">
        <is>
          <t>32285000314418</t>
        </is>
      </c>
      <c r="BD140" t="inlineStr">
        <is>
          <t>893891416</t>
        </is>
      </c>
    </row>
    <row r="141">
      <c r="A141" t="inlineStr">
        <is>
          <t>No</t>
        </is>
      </c>
      <c r="B141" t="inlineStr">
        <is>
          <t>DC137.1 .L23</t>
        </is>
      </c>
      <c r="C141" t="inlineStr">
        <is>
          <t>0                      DC 0137100L  23</t>
        </is>
      </c>
      <c r="D141" t="inlineStr">
        <is>
          <t>Secret memoirs of Princess Lamballe; being her journals, letters, and conversations during her confidential relations with Marie Antoinette ... edited and annotated by Catherine Hyde, Marquise de Gouvion Broglie Scolari ...with a special introd. by Oliver H.G. Leigh.</t>
        </is>
      </c>
      <c r="F141" t="inlineStr">
        <is>
          <t>No</t>
        </is>
      </c>
      <c r="G141" t="inlineStr">
        <is>
          <t>1</t>
        </is>
      </c>
      <c r="H141" t="inlineStr">
        <is>
          <t>No</t>
        </is>
      </c>
      <c r="I141" t="inlineStr">
        <is>
          <t>No</t>
        </is>
      </c>
      <c r="J141" t="inlineStr">
        <is>
          <t>0</t>
        </is>
      </c>
      <c r="K141" t="inlineStr">
        <is>
          <t>Lamballe, Marie Thérèse Louise de Savoie-Carignan, princesse de, 1749-1792.</t>
        </is>
      </c>
      <c r="L141" t="inlineStr">
        <is>
          <t>New York, M.W. Dunne [c1901]</t>
        </is>
      </c>
      <c r="M141" t="inlineStr">
        <is>
          <t>1901</t>
        </is>
      </c>
      <c r="N141" t="inlineStr">
        <is>
          <t>[Editor's autograph ed.]</t>
        </is>
      </c>
      <c r="O141" t="inlineStr">
        <is>
          <t>eng</t>
        </is>
      </c>
      <c r="P141" t="inlineStr">
        <is>
          <t xml:space="preserve">xx </t>
        </is>
      </c>
      <c r="Q141" t="inlineStr">
        <is>
          <t>Memoirs and secret chronicles of the courts of Europe</t>
        </is>
      </c>
      <c r="R141" t="inlineStr">
        <is>
          <t xml:space="preserve">DC </t>
        </is>
      </c>
      <c r="S141" t="n">
        <v>3</v>
      </c>
      <c r="T141" t="n">
        <v>3</v>
      </c>
      <c r="U141" t="inlineStr">
        <is>
          <t>2004-03-31</t>
        </is>
      </c>
      <c r="V141" t="inlineStr">
        <is>
          <t>2004-03-31</t>
        </is>
      </c>
      <c r="W141" t="inlineStr">
        <is>
          <t>1996-11-07</t>
        </is>
      </c>
      <c r="X141" t="inlineStr">
        <is>
          <t>1996-11-07</t>
        </is>
      </c>
      <c r="Y141" t="n">
        <v>136</v>
      </c>
      <c r="Z141" t="n">
        <v>130</v>
      </c>
      <c r="AA141" t="n">
        <v>496</v>
      </c>
      <c r="AB141" t="n">
        <v>2</v>
      </c>
      <c r="AC141" t="n">
        <v>5</v>
      </c>
      <c r="AD141" t="n">
        <v>7</v>
      </c>
      <c r="AE141" t="n">
        <v>34</v>
      </c>
      <c r="AF141" t="n">
        <v>2</v>
      </c>
      <c r="AG141" t="n">
        <v>12</v>
      </c>
      <c r="AH141" t="n">
        <v>1</v>
      </c>
      <c r="AI141" t="n">
        <v>7</v>
      </c>
      <c r="AJ141" t="n">
        <v>4</v>
      </c>
      <c r="AK141" t="n">
        <v>16</v>
      </c>
      <c r="AL141" t="n">
        <v>1</v>
      </c>
      <c r="AM141" t="n">
        <v>4</v>
      </c>
      <c r="AN141" t="n">
        <v>0</v>
      </c>
      <c r="AO141" t="n">
        <v>1</v>
      </c>
      <c r="AP141" t="inlineStr">
        <is>
          <t>Yes</t>
        </is>
      </c>
      <c r="AQ141" t="inlineStr">
        <is>
          <t>No</t>
        </is>
      </c>
      <c r="AR141">
        <f>HYPERLINK("http://catalog.hathitrust.org/Record/008646957","HathiTrust Record")</f>
        <v/>
      </c>
      <c r="AS141">
        <f>HYPERLINK("https://creighton-primo.hosted.exlibrisgroup.com/primo-explore/search?tab=default_tab&amp;search_scope=EVERYTHING&amp;vid=01CRU&amp;lang=en_US&amp;offset=0&amp;query=any,contains,991003607579702656","Catalog Record")</f>
        <v/>
      </c>
      <c r="AT141">
        <f>HYPERLINK("http://www.worldcat.org/oclc/1188582","WorldCat Record")</f>
        <v/>
      </c>
      <c r="AU141" t="inlineStr">
        <is>
          <t>1319726:eng</t>
        </is>
      </c>
      <c r="AV141" t="inlineStr">
        <is>
          <t>1188582</t>
        </is>
      </c>
      <c r="AW141" t="inlineStr">
        <is>
          <t>991003607579702656</t>
        </is>
      </c>
      <c r="AX141" t="inlineStr">
        <is>
          <t>991003607579702656</t>
        </is>
      </c>
      <c r="AY141" t="inlineStr">
        <is>
          <t>2266150410002656</t>
        </is>
      </c>
      <c r="AZ141" t="inlineStr">
        <is>
          <t>BOOK</t>
        </is>
      </c>
      <c r="BC141" t="inlineStr">
        <is>
          <t>32285002341567</t>
        </is>
      </c>
      <c r="BD141" t="inlineStr">
        <is>
          <t>893874952</t>
        </is>
      </c>
    </row>
    <row r="142">
      <c r="A142" t="inlineStr">
        <is>
          <t>No</t>
        </is>
      </c>
      <c r="B142" t="inlineStr">
        <is>
          <t>DC137.1 .M38 1969</t>
        </is>
      </c>
      <c r="C142" t="inlineStr">
        <is>
          <t>0                      DC 0137100M  38          1969</t>
        </is>
      </c>
      <c r="D142" t="inlineStr">
        <is>
          <t>Marie Antoinette, the tragic queen.</t>
        </is>
      </c>
      <c r="F142" t="inlineStr">
        <is>
          <t>No</t>
        </is>
      </c>
      <c r="G142" t="inlineStr">
        <is>
          <t>1</t>
        </is>
      </c>
      <c r="H142" t="inlineStr">
        <is>
          <t>No</t>
        </is>
      </c>
      <c r="I142" t="inlineStr">
        <is>
          <t>No</t>
        </is>
      </c>
      <c r="J142" t="inlineStr">
        <is>
          <t>0</t>
        </is>
      </c>
      <c r="K142" t="inlineStr">
        <is>
          <t>Mayer, Dorothy Moulton, 1886-1974.</t>
        </is>
      </c>
      <c r="L142" t="inlineStr">
        <is>
          <t>New York : Coward-McCann, [1969, c1968]</t>
        </is>
      </c>
      <c r="M142" t="inlineStr">
        <is>
          <t>1969</t>
        </is>
      </c>
      <c r="N142" t="inlineStr">
        <is>
          <t>[1st American ed.]</t>
        </is>
      </c>
      <c r="O142" t="inlineStr">
        <is>
          <t>eng</t>
        </is>
      </c>
      <c r="P142" t="inlineStr">
        <is>
          <t>nyu</t>
        </is>
      </c>
      <c r="R142" t="inlineStr">
        <is>
          <t xml:space="preserve">DC </t>
        </is>
      </c>
      <c r="S142" t="n">
        <v>7</v>
      </c>
      <c r="T142" t="n">
        <v>7</v>
      </c>
      <c r="U142" t="inlineStr">
        <is>
          <t>2000-04-13</t>
        </is>
      </c>
      <c r="V142" t="inlineStr">
        <is>
          <t>2000-04-13</t>
        </is>
      </c>
      <c r="W142" t="inlineStr">
        <is>
          <t>1990-10-23</t>
        </is>
      </c>
      <c r="X142" t="inlineStr">
        <is>
          <t>1990-10-23</t>
        </is>
      </c>
      <c r="Y142" t="n">
        <v>593</v>
      </c>
      <c r="Z142" t="n">
        <v>585</v>
      </c>
      <c r="AA142" t="n">
        <v>590</v>
      </c>
      <c r="AB142" t="n">
        <v>9</v>
      </c>
      <c r="AC142" t="n">
        <v>9</v>
      </c>
      <c r="AD142" t="n">
        <v>17</v>
      </c>
      <c r="AE142" t="n">
        <v>17</v>
      </c>
      <c r="AF142" t="n">
        <v>5</v>
      </c>
      <c r="AG142" t="n">
        <v>5</v>
      </c>
      <c r="AH142" t="n">
        <v>5</v>
      </c>
      <c r="AI142" t="n">
        <v>5</v>
      </c>
      <c r="AJ142" t="n">
        <v>5</v>
      </c>
      <c r="AK142" t="n">
        <v>5</v>
      </c>
      <c r="AL142" t="n">
        <v>6</v>
      </c>
      <c r="AM142" t="n">
        <v>6</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HYPERLINK("https://creighton-primo.hosted.exlibrisgroup.com/primo-explore/search?tab=default_tab&amp;search_scope=EVERYTHING&amp;vid=01CRU&amp;lang=en_US&amp;offset=0&amp;query=any,contains,991000027749702656","Catalog Record")</f>
        <v/>
      </c>
      <c r="AT142">
        <f>HYPERLINK("http://www.worldcat.org/oclc/18685","WorldCat Record")</f>
        <v/>
      </c>
      <c r="AU142" t="inlineStr">
        <is>
          <t>1141187:eng</t>
        </is>
      </c>
      <c r="AV142" t="inlineStr">
        <is>
          <t>18685</t>
        </is>
      </c>
      <c r="AW142" t="inlineStr">
        <is>
          <t>991000027749702656</t>
        </is>
      </c>
      <c r="AX142" t="inlineStr">
        <is>
          <t>991000027749702656</t>
        </is>
      </c>
      <c r="AY142" t="inlineStr">
        <is>
          <t>2272248310002656</t>
        </is>
      </c>
      <c r="AZ142" t="inlineStr">
        <is>
          <t>BOOK</t>
        </is>
      </c>
      <c r="BC142" t="inlineStr">
        <is>
          <t>32285000352582</t>
        </is>
      </c>
      <c r="BD142" t="inlineStr">
        <is>
          <t>893419132</t>
        </is>
      </c>
    </row>
    <row r="143">
      <c r="A143" t="inlineStr">
        <is>
          <t>No</t>
        </is>
      </c>
      <c r="B143" t="inlineStr">
        <is>
          <t>DC137.1 .Z82</t>
        </is>
      </c>
      <c r="C143" t="inlineStr">
        <is>
          <t>0                      DC 0137100Z  82</t>
        </is>
      </c>
      <c r="D143" t="inlineStr">
        <is>
          <t>Marie Antoinette, the portrait of an average woman; translated by Eden and Cedar Paul.</t>
        </is>
      </c>
      <c r="F143" t="inlineStr">
        <is>
          <t>No</t>
        </is>
      </c>
      <c r="G143" t="inlineStr">
        <is>
          <t>1</t>
        </is>
      </c>
      <c r="H143" t="inlineStr">
        <is>
          <t>No</t>
        </is>
      </c>
      <c r="I143" t="inlineStr">
        <is>
          <t>No</t>
        </is>
      </c>
      <c r="J143" t="inlineStr">
        <is>
          <t>0</t>
        </is>
      </c>
      <c r="K143" t="inlineStr">
        <is>
          <t>Zweig, Stefan, 1881-1942.</t>
        </is>
      </c>
      <c r="L143" t="inlineStr">
        <is>
          <t>New York, The Viking press, 1933.</t>
        </is>
      </c>
      <c r="M143" t="inlineStr">
        <is>
          <t>1933</t>
        </is>
      </c>
      <c r="O143" t="inlineStr">
        <is>
          <t>eng</t>
        </is>
      </c>
      <c r="P143" t="inlineStr">
        <is>
          <t>nyu</t>
        </is>
      </c>
      <c r="R143" t="inlineStr">
        <is>
          <t xml:space="preserve">DC </t>
        </is>
      </c>
      <c r="S143" t="n">
        <v>7</v>
      </c>
      <c r="T143" t="n">
        <v>7</v>
      </c>
      <c r="U143" t="inlineStr">
        <is>
          <t>2002-10-30</t>
        </is>
      </c>
      <c r="V143" t="inlineStr">
        <is>
          <t>2002-10-30</t>
        </is>
      </c>
      <c r="W143" t="inlineStr">
        <is>
          <t>1991-12-11</t>
        </is>
      </c>
      <c r="X143" t="inlineStr">
        <is>
          <t>1991-12-11</t>
        </is>
      </c>
      <c r="Y143" t="n">
        <v>1054</v>
      </c>
      <c r="Z143" t="n">
        <v>1010</v>
      </c>
      <c r="AA143" t="n">
        <v>1655</v>
      </c>
      <c r="AB143" t="n">
        <v>12</v>
      </c>
      <c r="AC143" t="n">
        <v>21</v>
      </c>
      <c r="AD143" t="n">
        <v>41</v>
      </c>
      <c r="AE143" t="n">
        <v>55</v>
      </c>
      <c r="AF143" t="n">
        <v>16</v>
      </c>
      <c r="AG143" t="n">
        <v>23</v>
      </c>
      <c r="AH143" t="n">
        <v>11</v>
      </c>
      <c r="AI143" t="n">
        <v>11</v>
      </c>
      <c r="AJ143" t="n">
        <v>17</v>
      </c>
      <c r="AK143" t="n">
        <v>23</v>
      </c>
      <c r="AL143" t="n">
        <v>6</v>
      </c>
      <c r="AM143" t="n">
        <v>10</v>
      </c>
      <c r="AN143" t="n">
        <v>0</v>
      </c>
      <c r="AO143" t="n">
        <v>0</v>
      </c>
      <c r="AP143" t="inlineStr">
        <is>
          <t>No</t>
        </is>
      </c>
      <c r="AQ143" t="inlineStr">
        <is>
          <t>Yes</t>
        </is>
      </c>
      <c r="AR143">
        <f>HYPERLINK("http://catalog.hathitrust.org/Record/000565907","HathiTrust Record")</f>
        <v/>
      </c>
      <c r="AS143">
        <f>HYPERLINK("https://creighton-primo.hosted.exlibrisgroup.com/primo-explore/search?tab=default_tab&amp;search_scope=EVERYTHING&amp;vid=01CRU&amp;lang=en_US&amp;offset=0&amp;query=any,contains,991000574049702656","Catalog Record")</f>
        <v/>
      </c>
      <c r="AT143">
        <f>HYPERLINK("http://www.worldcat.org/oclc/11676251","WorldCat Record")</f>
        <v/>
      </c>
      <c r="AU143" t="inlineStr">
        <is>
          <t>4203019542:eng</t>
        </is>
      </c>
      <c r="AV143" t="inlineStr">
        <is>
          <t>11676251</t>
        </is>
      </c>
      <c r="AW143" t="inlineStr">
        <is>
          <t>991000574049702656</t>
        </is>
      </c>
      <c r="AX143" t="inlineStr">
        <is>
          <t>991000574049702656</t>
        </is>
      </c>
      <c r="AY143" t="inlineStr">
        <is>
          <t>2256689290002656</t>
        </is>
      </c>
      <c r="AZ143" t="inlineStr">
        <is>
          <t>BOOK</t>
        </is>
      </c>
      <c r="BC143" t="inlineStr">
        <is>
          <t>32285000895432</t>
        </is>
      </c>
      <c r="BD143" t="inlineStr">
        <is>
          <t>893249478</t>
        </is>
      </c>
    </row>
    <row r="144">
      <c r="A144" t="inlineStr">
        <is>
          <t>No</t>
        </is>
      </c>
      <c r="B144" t="inlineStr">
        <is>
          <t>DC137.3 .B8 1927</t>
        </is>
      </c>
      <c r="C144" t="inlineStr">
        <is>
          <t>0                      DC 0137300B  8           1927</t>
        </is>
      </c>
      <c r="D144" t="inlineStr">
        <is>
          <t>Monsieur Charles : the tragedy of the true dauphin (Louis XVII of France) / by Eric Rede Buckley.</t>
        </is>
      </c>
      <c r="F144" t="inlineStr">
        <is>
          <t>No</t>
        </is>
      </c>
      <c r="G144" t="inlineStr">
        <is>
          <t>1</t>
        </is>
      </c>
      <c r="H144" t="inlineStr">
        <is>
          <t>No</t>
        </is>
      </c>
      <c r="I144" t="inlineStr">
        <is>
          <t>No</t>
        </is>
      </c>
      <c r="J144" t="inlineStr">
        <is>
          <t>0</t>
        </is>
      </c>
      <c r="K144" t="inlineStr">
        <is>
          <t>Buckley, Eric Rede, 1868-1948.</t>
        </is>
      </c>
      <c r="L144" t="inlineStr">
        <is>
          <t>New York : D. Appleton, 1927.</t>
        </is>
      </c>
      <c r="M144" t="inlineStr">
        <is>
          <t>1927</t>
        </is>
      </c>
      <c r="O144" t="inlineStr">
        <is>
          <t>eng</t>
        </is>
      </c>
      <c r="P144" t="inlineStr">
        <is>
          <t>nyu</t>
        </is>
      </c>
      <c r="R144" t="inlineStr">
        <is>
          <t xml:space="preserve">DC </t>
        </is>
      </c>
      <c r="S144" t="n">
        <v>2</v>
      </c>
      <c r="T144" t="n">
        <v>2</v>
      </c>
      <c r="U144" t="inlineStr">
        <is>
          <t>1994-10-02</t>
        </is>
      </c>
      <c r="V144" t="inlineStr">
        <is>
          <t>1994-10-02</t>
        </is>
      </c>
      <c r="W144" t="inlineStr">
        <is>
          <t>1994-07-20</t>
        </is>
      </c>
      <c r="X144" t="inlineStr">
        <is>
          <t>1994-07-20</t>
        </is>
      </c>
      <c r="Y144" t="n">
        <v>42</v>
      </c>
      <c r="Z144" t="n">
        <v>42</v>
      </c>
      <c r="AA144" t="n">
        <v>58</v>
      </c>
      <c r="AB144" t="n">
        <v>1</v>
      </c>
      <c r="AC144" t="n">
        <v>1</v>
      </c>
      <c r="AD144" t="n">
        <v>4</v>
      </c>
      <c r="AE144" t="n">
        <v>4</v>
      </c>
      <c r="AF144" t="n">
        <v>1</v>
      </c>
      <c r="AG144" t="n">
        <v>1</v>
      </c>
      <c r="AH144" t="n">
        <v>0</v>
      </c>
      <c r="AI144" t="n">
        <v>0</v>
      </c>
      <c r="AJ144" t="n">
        <v>4</v>
      </c>
      <c r="AK144" t="n">
        <v>4</v>
      </c>
      <c r="AL144" t="n">
        <v>0</v>
      </c>
      <c r="AM144" t="n">
        <v>0</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HYPERLINK("https://creighton-primo.hosted.exlibrisgroup.com/primo-explore/search?tab=default_tab&amp;search_scope=EVERYTHING&amp;vid=01CRU&amp;lang=en_US&amp;offset=0&amp;query=any,contains,991003919269702656","Catalog Record")</f>
        <v/>
      </c>
      <c r="AT144">
        <f>HYPERLINK("http://www.worldcat.org/oclc/1866315","WorldCat Record")</f>
        <v/>
      </c>
      <c r="AU144" t="inlineStr">
        <is>
          <t>193964775:eng</t>
        </is>
      </c>
      <c r="AV144" t="inlineStr">
        <is>
          <t>1866315</t>
        </is>
      </c>
      <c r="AW144" t="inlineStr">
        <is>
          <t>991003919269702656</t>
        </is>
      </c>
      <c r="AX144" t="inlineStr">
        <is>
          <t>991003919269702656</t>
        </is>
      </c>
      <c r="AY144" t="inlineStr">
        <is>
          <t>2262440680002656</t>
        </is>
      </c>
      <c r="AZ144" t="inlineStr">
        <is>
          <t>BOOK</t>
        </is>
      </c>
      <c r="BC144" t="inlineStr">
        <is>
          <t>32285001918597</t>
        </is>
      </c>
      <c r="BD144" t="inlineStr">
        <is>
          <t>893506153</t>
        </is>
      </c>
    </row>
    <row r="145">
      <c r="A145" t="inlineStr">
        <is>
          <t>No</t>
        </is>
      </c>
      <c r="B145" t="inlineStr">
        <is>
          <t>DC137.3 .C2 2002</t>
        </is>
      </c>
      <c r="C145" t="inlineStr">
        <is>
          <t>0                      DC 0137300C  2           2002</t>
        </is>
      </c>
      <c r="D145" t="inlineStr">
        <is>
          <t>The lost king of France : a true story of revolution, revenge, and DNA / Deborah Cadbury.</t>
        </is>
      </c>
      <c r="F145" t="inlineStr">
        <is>
          <t>No</t>
        </is>
      </c>
      <c r="G145" t="inlineStr">
        <is>
          <t>1</t>
        </is>
      </c>
      <c r="H145" t="inlineStr">
        <is>
          <t>No</t>
        </is>
      </c>
      <c r="I145" t="inlineStr">
        <is>
          <t>No</t>
        </is>
      </c>
      <c r="J145" t="inlineStr">
        <is>
          <t>0</t>
        </is>
      </c>
      <c r="K145" t="inlineStr">
        <is>
          <t>Cadbury, Deborah.</t>
        </is>
      </c>
      <c r="L145" t="inlineStr">
        <is>
          <t>New York : St. Martin's Press, 2002.</t>
        </is>
      </c>
      <c r="M145" t="inlineStr">
        <is>
          <t>2002</t>
        </is>
      </c>
      <c r="N145" t="inlineStr">
        <is>
          <t>1st ed.</t>
        </is>
      </c>
      <c r="O145" t="inlineStr">
        <is>
          <t>eng</t>
        </is>
      </c>
      <c r="P145" t="inlineStr">
        <is>
          <t>nyu</t>
        </is>
      </c>
      <c r="R145" t="inlineStr">
        <is>
          <t xml:space="preserve">DC </t>
        </is>
      </c>
      <c r="S145" t="n">
        <v>4</v>
      </c>
      <c r="T145" t="n">
        <v>4</v>
      </c>
      <c r="U145" t="inlineStr">
        <is>
          <t>2009-10-16</t>
        </is>
      </c>
      <c r="V145" t="inlineStr">
        <is>
          <t>2009-10-16</t>
        </is>
      </c>
      <c r="W145" t="inlineStr">
        <is>
          <t>2002-12-03</t>
        </is>
      </c>
      <c r="X145" t="inlineStr">
        <is>
          <t>2002-12-03</t>
        </is>
      </c>
      <c r="Y145" t="n">
        <v>550</v>
      </c>
      <c r="Z145" t="n">
        <v>514</v>
      </c>
      <c r="AA145" t="n">
        <v>517</v>
      </c>
      <c r="AB145" t="n">
        <v>4</v>
      </c>
      <c r="AC145" t="n">
        <v>4</v>
      </c>
      <c r="AD145" t="n">
        <v>7</v>
      </c>
      <c r="AE145" t="n">
        <v>8</v>
      </c>
      <c r="AF145" t="n">
        <v>3</v>
      </c>
      <c r="AG145" t="n">
        <v>3</v>
      </c>
      <c r="AH145" t="n">
        <v>2</v>
      </c>
      <c r="AI145" t="n">
        <v>2</v>
      </c>
      <c r="AJ145" t="n">
        <v>2</v>
      </c>
      <c r="AK145" t="n">
        <v>3</v>
      </c>
      <c r="AL145" t="n">
        <v>1</v>
      </c>
      <c r="AM145" t="n">
        <v>1</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HYPERLINK("https://creighton-primo.hosted.exlibrisgroup.com/primo-explore/search?tab=default_tab&amp;search_scope=EVERYTHING&amp;vid=01CRU&amp;lang=en_US&amp;offset=0&amp;query=any,contains,991003943369702656","Catalog Record")</f>
        <v/>
      </c>
      <c r="AT145">
        <f>HYPERLINK("http://www.worldcat.org/oclc/49805473","WorldCat Record")</f>
        <v/>
      </c>
      <c r="AU145" t="inlineStr">
        <is>
          <t>3901195497:eng</t>
        </is>
      </c>
      <c r="AV145" t="inlineStr">
        <is>
          <t>49805473</t>
        </is>
      </c>
      <c r="AW145" t="inlineStr">
        <is>
          <t>991003943369702656</t>
        </is>
      </c>
      <c r="AX145" t="inlineStr">
        <is>
          <t>991003943369702656</t>
        </is>
      </c>
      <c r="AY145" t="inlineStr">
        <is>
          <t>2264038360002656</t>
        </is>
      </c>
      <c r="AZ145" t="inlineStr">
        <is>
          <t>BOOK</t>
        </is>
      </c>
      <c r="BB145" t="inlineStr">
        <is>
          <t>9780312283124</t>
        </is>
      </c>
      <c r="BC145" t="inlineStr">
        <is>
          <t>32285004667142</t>
        </is>
      </c>
      <c r="BD145" t="inlineStr">
        <is>
          <t>893869094</t>
        </is>
      </c>
    </row>
    <row r="146">
      <c r="A146" t="inlineStr">
        <is>
          <t>No</t>
        </is>
      </c>
      <c r="B146" t="inlineStr">
        <is>
          <t>DC138 .B52 1987b</t>
        </is>
      </c>
      <c r="C146" t="inlineStr">
        <is>
          <t>0                      DC 0138000B  52          1987b</t>
        </is>
      </c>
      <c r="D146" t="inlineStr">
        <is>
          <t>The French Revolution : aristocrats versus bourgeois? / T.C.W. Blanning.</t>
        </is>
      </c>
      <c r="F146" t="inlineStr">
        <is>
          <t>No</t>
        </is>
      </c>
      <c r="G146" t="inlineStr">
        <is>
          <t>1</t>
        </is>
      </c>
      <c r="H146" t="inlineStr">
        <is>
          <t>No</t>
        </is>
      </c>
      <c r="I146" t="inlineStr">
        <is>
          <t>No</t>
        </is>
      </c>
      <c r="J146" t="inlineStr">
        <is>
          <t>0</t>
        </is>
      </c>
      <c r="K146" t="inlineStr">
        <is>
          <t>Blanning, T. C. W.</t>
        </is>
      </c>
      <c r="L146" t="inlineStr">
        <is>
          <t>Houndmills, Basingstoke, Hampshire : Macmillan Education, 1987.</t>
        </is>
      </c>
      <c r="M146" t="inlineStr">
        <is>
          <t>1987</t>
        </is>
      </c>
      <c r="O146" t="inlineStr">
        <is>
          <t>eng</t>
        </is>
      </c>
      <c r="P146" t="inlineStr">
        <is>
          <t>enk</t>
        </is>
      </c>
      <c r="Q146" t="inlineStr">
        <is>
          <t>Studies in European history</t>
        </is>
      </c>
      <c r="R146" t="inlineStr">
        <is>
          <t xml:space="preserve">DC </t>
        </is>
      </c>
      <c r="S146" t="n">
        <v>10</v>
      </c>
      <c r="T146" t="n">
        <v>10</v>
      </c>
      <c r="U146" t="inlineStr">
        <is>
          <t>2004-04-02</t>
        </is>
      </c>
      <c r="V146" t="inlineStr">
        <is>
          <t>2004-04-02</t>
        </is>
      </c>
      <c r="W146" t="inlineStr">
        <is>
          <t>1990-12-07</t>
        </is>
      </c>
      <c r="X146" t="inlineStr">
        <is>
          <t>1990-12-07</t>
        </is>
      </c>
      <c r="Y146" t="n">
        <v>215</v>
      </c>
      <c r="Z146" t="n">
        <v>68</v>
      </c>
      <c r="AA146" t="n">
        <v>243</v>
      </c>
      <c r="AB146" t="n">
        <v>2</v>
      </c>
      <c r="AC146" t="n">
        <v>2</v>
      </c>
      <c r="AD146" t="n">
        <v>4</v>
      </c>
      <c r="AE146" t="n">
        <v>8</v>
      </c>
      <c r="AF146" t="n">
        <v>0</v>
      </c>
      <c r="AG146" t="n">
        <v>3</v>
      </c>
      <c r="AH146" t="n">
        <v>2</v>
      </c>
      <c r="AI146" t="n">
        <v>3</v>
      </c>
      <c r="AJ146" t="n">
        <v>2</v>
      </c>
      <c r="AK146" t="n">
        <v>4</v>
      </c>
      <c r="AL146" t="n">
        <v>1</v>
      </c>
      <c r="AM146" t="n">
        <v>1</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HYPERLINK("https://creighton-primo.hosted.exlibrisgroup.com/primo-explore/search?tab=default_tab&amp;search_scope=EVERYTHING&amp;vid=01CRU&amp;lang=en_US&amp;offset=0&amp;query=any,contains,991001272089702656","Catalog Record")</f>
        <v/>
      </c>
      <c r="AT146">
        <f>HYPERLINK("http://www.worldcat.org/oclc/17841886","WorldCat Record")</f>
        <v/>
      </c>
      <c r="AU146" t="inlineStr">
        <is>
          <t>4918201236:eng</t>
        </is>
      </c>
      <c r="AV146" t="inlineStr">
        <is>
          <t>17841886</t>
        </is>
      </c>
      <c r="AW146" t="inlineStr">
        <is>
          <t>991001272089702656</t>
        </is>
      </c>
      <c r="AX146" t="inlineStr">
        <is>
          <t>991001272089702656</t>
        </is>
      </c>
      <c r="AY146" t="inlineStr">
        <is>
          <t>2269110720002656</t>
        </is>
      </c>
      <c r="AZ146" t="inlineStr">
        <is>
          <t>BOOK</t>
        </is>
      </c>
      <c r="BB146" t="inlineStr">
        <is>
          <t>9780333363041</t>
        </is>
      </c>
      <c r="BC146" t="inlineStr">
        <is>
          <t>32285000394162</t>
        </is>
      </c>
      <c r="BD146" t="inlineStr">
        <is>
          <t>893516073</t>
        </is>
      </c>
    </row>
    <row r="147">
      <c r="A147" t="inlineStr">
        <is>
          <t>No</t>
        </is>
      </c>
      <c r="B147" t="inlineStr">
        <is>
          <t>DC138 .B55 1986</t>
        </is>
      </c>
      <c r="C147" t="inlineStr">
        <is>
          <t>0                      DC 0138000B  55          1986</t>
        </is>
      </c>
      <c r="D147" t="inlineStr">
        <is>
          <t>Rousseau and the republic of virtue : the language of politics in the French Revolution / Carol Blum.</t>
        </is>
      </c>
      <c r="F147" t="inlineStr">
        <is>
          <t>No</t>
        </is>
      </c>
      <c r="G147" t="inlineStr">
        <is>
          <t>1</t>
        </is>
      </c>
      <c r="H147" t="inlineStr">
        <is>
          <t>No</t>
        </is>
      </c>
      <c r="I147" t="inlineStr">
        <is>
          <t>No</t>
        </is>
      </c>
      <c r="J147" t="inlineStr">
        <is>
          <t>0</t>
        </is>
      </c>
      <c r="K147" t="inlineStr">
        <is>
          <t>Blum, Carol, 1934-</t>
        </is>
      </c>
      <c r="L147" t="inlineStr">
        <is>
          <t>Ithaca : Cornell University Press, 1986.</t>
        </is>
      </c>
      <c r="M147" t="inlineStr">
        <is>
          <t>1986</t>
        </is>
      </c>
      <c r="O147" t="inlineStr">
        <is>
          <t>eng</t>
        </is>
      </c>
      <c r="P147" t="inlineStr">
        <is>
          <t>nyu</t>
        </is>
      </c>
      <c r="R147" t="inlineStr">
        <is>
          <t xml:space="preserve">DC </t>
        </is>
      </c>
      <c r="S147" t="n">
        <v>2</v>
      </c>
      <c r="T147" t="n">
        <v>2</v>
      </c>
      <c r="U147" t="inlineStr">
        <is>
          <t>1996-03-24</t>
        </is>
      </c>
      <c r="V147" t="inlineStr">
        <is>
          <t>1996-03-24</t>
        </is>
      </c>
      <c r="W147" t="inlineStr">
        <is>
          <t>1990-07-19</t>
        </is>
      </c>
      <c r="X147" t="inlineStr">
        <is>
          <t>1990-07-19</t>
        </is>
      </c>
      <c r="Y147" t="n">
        <v>677</v>
      </c>
      <c r="Z147" t="n">
        <v>525</v>
      </c>
      <c r="AA147" t="n">
        <v>568</v>
      </c>
      <c r="AB147" t="n">
        <v>4</v>
      </c>
      <c r="AC147" t="n">
        <v>5</v>
      </c>
      <c r="AD147" t="n">
        <v>32</v>
      </c>
      <c r="AE147" t="n">
        <v>33</v>
      </c>
      <c r="AF147" t="n">
        <v>9</v>
      </c>
      <c r="AG147" t="n">
        <v>9</v>
      </c>
      <c r="AH147" t="n">
        <v>10</v>
      </c>
      <c r="AI147" t="n">
        <v>10</v>
      </c>
      <c r="AJ147" t="n">
        <v>20</v>
      </c>
      <c r="AK147" t="n">
        <v>20</v>
      </c>
      <c r="AL147" t="n">
        <v>3</v>
      </c>
      <c r="AM147" t="n">
        <v>4</v>
      </c>
      <c r="AN147" t="n">
        <v>0</v>
      </c>
      <c r="AO147" t="n">
        <v>0</v>
      </c>
      <c r="AP147" t="inlineStr">
        <is>
          <t>No</t>
        </is>
      </c>
      <c r="AQ147" t="inlineStr">
        <is>
          <t>Yes</t>
        </is>
      </c>
      <c r="AR147">
        <f>HYPERLINK("http://catalog.hathitrust.org/Record/000669853","HathiTrust Record")</f>
        <v/>
      </c>
      <c r="AS147">
        <f>HYPERLINK("https://creighton-primo.hosted.exlibrisgroup.com/primo-explore/search?tab=default_tab&amp;search_scope=EVERYTHING&amp;vid=01CRU&amp;lang=en_US&amp;offset=0&amp;query=any,contains,991000820839702656","Catalog Record")</f>
        <v/>
      </c>
      <c r="AT147">
        <f>HYPERLINK("http://www.worldcat.org/oclc/13395241","WorldCat Record")</f>
        <v/>
      </c>
      <c r="AU147" t="inlineStr">
        <is>
          <t>7783390:eng</t>
        </is>
      </c>
      <c r="AV147" t="inlineStr">
        <is>
          <t>13395241</t>
        </is>
      </c>
      <c r="AW147" t="inlineStr">
        <is>
          <t>991000820839702656</t>
        </is>
      </c>
      <c r="AX147" t="inlineStr">
        <is>
          <t>991000820839702656</t>
        </is>
      </c>
      <c r="AY147" t="inlineStr">
        <is>
          <t>2261973370002656</t>
        </is>
      </c>
      <c r="AZ147" t="inlineStr">
        <is>
          <t>BOOK</t>
        </is>
      </c>
      <c r="BB147" t="inlineStr">
        <is>
          <t>9780801418570</t>
        </is>
      </c>
      <c r="BC147" t="inlineStr">
        <is>
          <t>32285000245786</t>
        </is>
      </c>
      <c r="BD147" t="inlineStr">
        <is>
          <t>893790888</t>
        </is>
      </c>
    </row>
    <row r="148">
      <c r="A148" t="inlineStr">
        <is>
          <t>No</t>
        </is>
      </c>
      <c r="B148" t="inlineStr">
        <is>
          <t>DC138 .C4813 1991</t>
        </is>
      </c>
      <c r="C148" t="inlineStr">
        <is>
          <t>0                      DC 0138000C  4813        1991</t>
        </is>
      </c>
      <c r="D148" t="inlineStr">
        <is>
          <t>The cultural origins of the French Revolution / Roger Chartier ; translated by Lydia G. Cochrane.</t>
        </is>
      </c>
      <c r="F148" t="inlineStr">
        <is>
          <t>No</t>
        </is>
      </c>
      <c r="G148" t="inlineStr">
        <is>
          <t>1</t>
        </is>
      </c>
      <c r="H148" t="inlineStr">
        <is>
          <t>No</t>
        </is>
      </c>
      <c r="I148" t="inlineStr">
        <is>
          <t>No</t>
        </is>
      </c>
      <c r="J148" t="inlineStr">
        <is>
          <t>0</t>
        </is>
      </c>
      <c r="K148" t="inlineStr">
        <is>
          <t>Chartier, Roger, 1945-</t>
        </is>
      </c>
      <c r="L148" t="inlineStr">
        <is>
          <t>Durham, N.C. : Duke University Press, 1991.</t>
        </is>
      </c>
      <c r="M148" t="inlineStr">
        <is>
          <t>1991</t>
        </is>
      </c>
      <c r="O148" t="inlineStr">
        <is>
          <t>eng</t>
        </is>
      </c>
      <c r="P148" t="inlineStr">
        <is>
          <t>ncu</t>
        </is>
      </c>
      <c r="Q148" t="inlineStr">
        <is>
          <t>Bicentennial reflections on the French Revolution</t>
        </is>
      </c>
      <c r="R148" t="inlineStr">
        <is>
          <t xml:space="preserve">DC </t>
        </is>
      </c>
      <c r="S148" t="n">
        <v>11</v>
      </c>
      <c r="T148" t="n">
        <v>11</v>
      </c>
      <c r="U148" t="inlineStr">
        <is>
          <t>2005-06-01</t>
        </is>
      </c>
      <c r="V148" t="inlineStr">
        <is>
          <t>2005-06-01</t>
        </is>
      </c>
      <c r="W148" t="inlineStr">
        <is>
          <t>1996-07-16</t>
        </is>
      </c>
      <c r="X148" t="inlineStr">
        <is>
          <t>1996-07-16</t>
        </is>
      </c>
      <c r="Y148" t="n">
        <v>911</v>
      </c>
      <c r="Z148" t="n">
        <v>708</v>
      </c>
      <c r="AA148" t="n">
        <v>716</v>
      </c>
      <c r="AB148" t="n">
        <v>6</v>
      </c>
      <c r="AC148" t="n">
        <v>6</v>
      </c>
      <c r="AD148" t="n">
        <v>39</v>
      </c>
      <c r="AE148" t="n">
        <v>39</v>
      </c>
      <c r="AF148" t="n">
        <v>18</v>
      </c>
      <c r="AG148" t="n">
        <v>18</v>
      </c>
      <c r="AH148" t="n">
        <v>10</v>
      </c>
      <c r="AI148" t="n">
        <v>10</v>
      </c>
      <c r="AJ148" t="n">
        <v>17</v>
      </c>
      <c r="AK148" t="n">
        <v>17</v>
      </c>
      <c r="AL148" t="n">
        <v>4</v>
      </c>
      <c r="AM148" t="n">
        <v>4</v>
      </c>
      <c r="AN148" t="n">
        <v>1</v>
      </c>
      <c r="AO148" t="n">
        <v>1</v>
      </c>
      <c r="AP148" t="inlineStr">
        <is>
          <t>No</t>
        </is>
      </c>
      <c r="AQ148" t="inlineStr">
        <is>
          <t>Yes</t>
        </is>
      </c>
      <c r="AR148">
        <f>HYPERLINK("http://catalog.hathitrust.org/Record/002453502","HathiTrust Record")</f>
        <v/>
      </c>
      <c r="AS148">
        <f>HYPERLINK("https://creighton-primo.hosted.exlibrisgroup.com/primo-explore/search?tab=default_tab&amp;search_scope=EVERYTHING&amp;vid=01CRU&amp;lang=en_US&amp;offset=0&amp;query=any,contains,991001818009702656","Catalog Record")</f>
        <v/>
      </c>
      <c r="AT148">
        <f>HYPERLINK("http://www.worldcat.org/oclc/22860193","WorldCat Record")</f>
        <v/>
      </c>
      <c r="AU148" t="inlineStr">
        <is>
          <t>10370222636:eng</t>
        </is>
      </c>
      <c r="AV148" t="inlineStr">
        <is>
          <t>22860193</t>
        </is>
      </c>
      <c r="AW148" t="inlineStr">
        <is>
          <t>991001818009702656</t>
        </is>
      </c>
      <c r="AX148" t="inlineStr">
        <is>
          <t>991001818009702656</t>
        </is>
      </c>
      <c r="AY148" t="inlineStr">
        <is>
          <t>2267213420002656</t>
        </is>
      </c>
      <c r="AZ148" t="inlineStr">
        <is>
          <t>BOOK</t>
        </is>
      </c>
      <c r="BB148" t="inlineStr">
        <is>
          <t>9780822309932</t>
        </is>
      </c>
      <c r="BC148" t="inlineStr">
        <is>
          <t>32285002212842</t>
        </is>
      </c>
      <c r="BD148" t="inlineStr">
        <is>
          <t>893433163</t>
        </is>
      </c>
    </row>
    <row r="149">
      <c r="A149" t="inlineStr">
        <is>
          <t>No</t>
        </is>
      </c>
      <c r="B149" t="inlineStr">
        <is>
          <t>DC138 .E3613</t>
        </is>
      </c>
      <c r="C149" t="inlineStr">
        <is>
          <t>0                      DC 0138000E  3613</t>
        </is>
      </c>
      <c r="D149" t="inlineStr">
        <is>
          <t>The French prerevolution, 1787-1788 / Jean Egret ; translated by Wesley D. Camp ; introd. by J. F. Bosher.</t>
        </is>
      </c>
      <c r="F149" t="inlineStr">
        <is>
          <t>No</t>
        </is>
      </c>
      <c r="G149" t="inlineStr">
        <is>
          <t>1</t>
        </is>
      </c>
      <c r="H149" t="inlineStr">
        <is>
          <t>No</t>
        </is>
      </c>
      <c r="I149" t="inlineStr">
        <is>
          <t>No</t>
        </is>
      </c>
      <c r="J149" t="inlineStr">
        <is>
          <t>0</t>
        </is>
      </c>
      <c r="K149" t="inlineStr">
        <is>
          <t>Egret, Jean.</t>
        </is>
      </c>
      <c r="L149" t="inlineStr">
        <is>
          <t>Chicago : University of Chicago Press, c1977.</t>
        </is>
      </c>
      <c r="M149" t="inlineStr">
        <is>
          <t>1977</t>
        </is>
      </c>
      <c r="O149" t="inlineStr">
        <is>
          <t>eng</t>
        </is>
      </c>
      <c r="P149" t="inlineStr">
        <is>
          <t>ilu</t>
        </is>
      </c>
      <c r="R149" t="inlineStr">
        <is>
          <t xml:space="preserve">DC </t>
        </is>
      </c>
      <c r="S149" t="n">
        <v>17</v>
      </c>
      <c r="T149" t="n">
        <v>17</v>
      </c>
      <c r="U149" t="inlineStr">
        <is>
          <t>2003-12-03</t>
        </is>
      </c>
      <c r="V149" t="inlineStr">
        <is>
          <t>2003-12-03</t>
        </is>
      </c>
      <c r="W149" t="inlineStr">
        <is>
          <t>1990-07-19</t>
        </is>
      </c>
      <c r="X149" t="inlineStr">
        <is>
          <t>1990-07-19</t>
        </is>
      </c>
      <c r="Y149" t="n">
        <v>687</v>
      </c>
      <c r="Z149" t="n">
        <v>541</v>
      </c>
      <c r="AA149" t="n">
        <v>577</v>
      </c>
      <c r="AB149" t="n">
        <v>5</v>
      </c>
      <c r="AC149" t="n">
        <v>5</v>
      </c>
      <c r="AD149" t="n">
        <v>31</v>
      </c>
      <c r="AE149" t="n">
        <v>36</v>
      </c>
      <c r="AF149" t="n">
        <v>11</v>
      </c>
      <c r="AG149" t="n">
        <v>12</v>
      </c>
      <c r="AH149" t="n">
        <v>10</v>
      </c>
      <c r="AI149" t="n">
        <v>11</v>
      </c>
      <c r="AJ149" t="n">
        <v>16</v>
      </c>
      <c r="AK149" t="n">
        <v>20</v>
      </c>
      <c r="AL149" t="n">
        <v>4</v>
      </c>
      <c r="AM149" t="n">
        <v>4</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HYPERLINK("https://creighton-primo.hosted.exlibrisgroup.com/primo-explore/search?tab=default_tab&amp;search_scope=EVERYTHING&amp;vid=01CRU&amp;lang=en_US&amp;offset=0&amp;query=any,contains,991004324869702656","Catalog Record")</f>
        <v/>
      </c>
      <c r="AT149">
        <f>HYPERLINK("http://www.worldcat.org/oclc/3034083","WorldCat Record")</f>
        <v/>
      </c>
      <c r="AU149" t="inlineStr">
        <is>
          <t>571441:eng</t>
        </is>
      </c>
      <c r="AV149" t="inlineStr">
        <is>
          <t>3034083</t>
        </is>
      </c>
      <c r="AW149" t="inlineStr">
        <is>
          <t>991004324869702656</t>
        </is>
      </c>
      <c r="AX149" t="inlineStr">
        <is>
          <t>991004324869702656</t>
        </is>
      </c>
      <c r="AY149" t="inlineStr">
        <is>
          <t>2261339040002656</t>
        </is>
      </c>
      <c r="AZ149" t="inlineStr">
        <is>
          <t>BOOK</t>
        </is>
      </c>
      <c r="BB149" t="inlineStr">
        <is>
          <t>9780226191423</t>
        </is>
      </c>
      <c r="BC149" t="inlineStr">
        <is>
          <t>32285000245794</t>
        </is>
      </c>
      <c r="BD149" t="inlineStr">
        <is>
          <t>893806930</t>
        </is>
      </c>
    </row>
    <row r="150">
      <c r="A150" t="inlineStr">
        <is>
          <t>No</t>
        </is>
      </c>
      <c r="B150" t="inlineStr">
        <is>
          <t>DC138 .E37</t>
        </is>
      </c>
      <c r="C150" t="inlineStr">
        <is>
          <t>0                      DC 0138000E  37</t>
        </is>
      </c>
      <c r="D150" t="inlineStr">
        <is>
          <t>La pré-révolution franc̜aise, 1787-1788.</t>
        </is>
      </c>
      <c r="F150" t="inlineStr">
        <is>
          <t>No</t>
        </is>
      </c>
      <c r="G150" t="inlineStr">
        <is>
          <t>1</t>
        </is>
      </c>
      <c r="H150" t="inlineStr">
        <is>
          <t>No</t>
        </is>
      </c>
      <c r="I150" t="inlineStr">
        <is>
          <t>No</t>
        </is>
      </c>
      <c r="J150" t="inlineStr">
        <is>
          <t>0</t>
        </is>
      </c>
      <c r="K150" t="inlineStr">
        <is>
          <t>Egret, Jean.</t>
        </is>
      </c>
      <c r="L150" t="inlineStr">
        <is>
          <t>Paris, Presses Universitaires de France, 1962.</t>
        </is>
      </c>
      <c r="M150" t="inlineStr">
        <is>
          <t>1962</t>
        </is>
      </c>
      <c r="O150" t="inlineStr">
        <is>
          <t>fre</t>
        </is>
      </c>
      <c r="P150" t="inlineStr">
        <is>
          <t xml:space="preserve">fr </t>
        </is>
      </c>
      <c r="R150" t="inlineStr">
        <is>
          <t xml:space="preserve">DC </t>
        </is>
      </c>
      <c r="S150" t="n">
        <v>1</v>
      </c>
      <c r="T150" t="n">
        <v>1</v>
      </c>
      <c r="U150" t="inlineStr">
        <is>
          <t>2008-10-01</t>
        </is>
      </c>
      <c r="V150" t="inlineStr">
        <is>
          <t>2008-10-01</t>
        </is>
      </c>
      <c r="W150" t="inlineStr">
        <is>
          <t>1996-11-07</t>
        </is>
      </c>
      <c r="X150" t="inlineStr">
        <is>
          <t>1996-11-07</t>
        </is>
      </c>
      <c r="Y150" t="n">
        <v>318</v>
      </c>
      <c r="Z150" t="n">
        <v>194</v>
      </c>
      <c r="AA150" t="n">
        <v>206</v>
      </c>
      <c r="AB150" t="n">
        <v>3</v>
      </c>
      <c r="AC150" t="n">
        <v>3</v>
      </c>
      <c r="AD150" t="n">
        <v>13</v>
      </c>
      <c r="AE150" t="n">
        <v>13</v>
      </c>
      <c r="AF150" t="n">
        <v>0</v>
      </c>
      <c r="AG150" t="n">
        <v>0</v>
      </c>
      <c r="AH150" t="n">
        <v>4</v>
      </c>
      <c r="AI150" t="n">
        <v>4</v>
      </c>
      <c r="AJ150" t="n">
        <v>10</v>
      </c>
      <c r="AK150" t="n">
        <v>10</v>
      </c>
      <c r="AL150" t="n">
        <v>2</v>
      </c>
      <c r="AM150" t="n">
        <v>2</v>
      </c>
      <c r="AN150" t="n">
        <v>0</v>
      </c>
      <c r="AO150" t="n">
        <v>0</v>
      </c>
      <c r="AP150" t="inlineStr">
        <is>
          <t>No</t>
        </is>
      </c>
      <c r="AQ150" t="inlineStr">
        <is>
          <t>Yes</t>
        </is>
      </c>
      <c r="AR150">
        <f>HYPERLINK("http://catalog.hathitrust.org/Record/000562332","HathiTrust Record")</f>
        <v/>
      </c>
      <c r="AS150">
        <f>HYPERLINK("https://creighton-primo.hosted.exlibrisgroup.com/primo-explore/search?tab=default_tab&amp;search_scope=EVERYTHING&amp;vid=01CRU&amp;lang=en_US&amp;offset=0&amp;query=any,contains,991003911189702656","Catalog Record")</f>
        <v/>
      </c>
      <c r="AT150">
        <f>HYPERLINK("http://www.worldcat.org/oclc/1852266","WorldCat Record")</f>
        <v/>
      </c>
      <c r="AU150" t="inlineStr">
        <is>
          <t>571441:fre</t>
        </is>
      </c>
      <c r="AV150" t="inlineStr">
        <is>
          <t>1852266</t>
        </is>
      </c>
      <c r="AW150" t="inlineStr">
        <is>
          <t>991003911189702656</t>
        </is>
      </c>
      <c r="AX150" t="inlineStr">
        <is>
          <t>991003911189702656</t>
        </is>
      </c>
      <c r="AY150" t="inlineStr">
        <is>
          <t>2263862250002656</t>
        </is>
      </c>
      <c r="AZ150" t="inlineStr">
        <is>
          <t>BOOK</t>
        </is>
      </c>
      <c r="BC150" t="inlineStr">
        <is>
          <t>32285002341641</t>
        </is>
      </c>
      <c r="BD150" t="inlineStr">
        <is>
          <t>893788054</t>
        </is>
      </c>
    </row>
    <row r="151">
      <c r="A151" t="inlineStr">
        <is>
          <t>No</t>
        </is>
      </c>
      <c r="B151" t="inlineStr">
        <is>
          <t>DC138 .F813</t>
        </is>
      </c>
      <c r="C151" t="inlineStr">
        <is>
          <t>0                      DC 0138000F  813</t>
        </is>
      </c>
      <c r="D151" t="inlineStr">
        <is>
          <t>Interpreting the French Revolution / François Furet ; translated by Elborg Forster.</t>
        </is>
      </c>
      <c r="F151" t="inlineStr">
        <is>
          <t>No</t>
        </is>
      </c>
      <c r="G151" t="inlineStr">
        <is>
          <t>1</t>
        </is>
      </c>
      <c r="H151" t="inlineStr">
        <is>
          <t>No</t>
        </is>
      </c>
      <c r="I151" t="inlineStr">
        <is>
          <t>No</t>
        </is>
      </c>
      <c r="J151" t="inlineStr">
        <is>
          <t>0</t>
        </is>
      </c>
      <c r="K151" t="inlineStr">
        <is>
          <t>Furet, François, 1927-1997.</t>
        </is>
      </c>
      <c r="L151" t="inlineStr">
        <is>
          <t>Cambridge ; New York : Cambridge University Press ; Paris : Editions de la Maison des sciences de l'homme, 1981.</t>
        </is>
      </c>
      <c r="M151" t="inlineStr">
        <is>
          <t>1981</t>
        </is>
      </c>
      <c r="O151" t="inlineStr">
        <is>
          <t>eng</t>
        </is>
      </c>
      <c r="P151" t="inlineStr">
        <is>
          <t>enk</t>
        </is>
      </c>
      <c r="R151" t="inlineStr">
        <is>
          <t xml:space="preserve">DC </t>
        </is>
      </c>
      <c r="S151" t="n">
        <v>8</v>
      </c>
      <c r="T151" t="n">
        <v>8</v>
      </c>
      <c r="U151" t="inlineStr">
        <is>
          <t>2008-10-01</t>
        </is>
      </c>
      <c r="V151" t="inlineStr">
        <is>
          <t>2008-10-01</t>
        </is>
      </c>
      <c r="W151" t="inlineStr">
        <is>
          <t>1990-07-19</t>
        </is>
      </c>
      <c r="X151" t="inlineStr">
        <is>
          <t>1990-07-19</t>
        </is>
      </c>
      <c r="Y151" t="n">
        <v>999</v>
      </c>
      <c r="Z151" t="n">
        <v>751</v>
      </c>
      <c r="AA151" t="n">
        <v>753</v>
      </c>
      <c r="AB151" t="n">
        <v>5</v>
      </c>
      <c r="AC151" t="n">
        <v>5</v>
      </c>
      <c r="AD151" t="n">
        <v>47</v>
      </c>
      <c r="AE151" t="n">
        <v>47</v>
      </c>
      <c r="AF151" t="n">
        <v>24</v>
      </c>
      <c r="AG151" t="n">
        <v>24</v>
      </c>
      <c r="AH151" t="n">
        <v>10</v>
      </c>
      <c r="AI151" t="n">
        <v>10</v>
      </c>
      <c r="AJ151" t="n">
        <v>23</v>
      </c>
      <c r="AK151" t="n">
        <v>23</v>
      </c>
      <c r="AL151" t="n">
        <v>4</v>
      </c>
      <c r="AM151" t="n">
        <v>4</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HYPERLINK("https://creighton-primo.hosted.exlibrisgroup.com/primo-explore/search?tab=default_tab&amp;search_scope=EVERYTHING&amp;vid=01CRU&amp;lang=en_US&amp;offset=0&amp;query=any,contains,991005175019702656","Catalog Record")</f>
        <v/>
      </c>
      <c r="AT151">
        <f>HYPERLINK("http://www.worldcat.org/oclc/7906474","WorldCat Record")</f>
        <v/>
      </c>
      <c r="AU151" t="inlineStr">
        <is>
          <t>10275291324:eng</t>
        </is>
      </c>
      <c r="AV151" t="inlineStr">
        <is>
          <t>7906474</t>
        </is>
      </c>
      <c r="AW151" t="inlineStr">
        <is>
          <t>991005175019702656</t>
        </is>
      </c>
      <c r="AX151" t="inlineStr">
        <is>
          <t>991005175019702656</t>
        </is>
      </c>
      <c r="AY151" t="inlineStr">
        <is>
          <t>2267943490002656</t>
        </is>
      </c>
      <c r="AZ151" t="inlineStr">
        <is>
          <t>BOOK</t>
        </is>
      </c>
      <c r="BB151" t="inlineStr">
        <is>
          <t>9780521235747</t>
        </is>
      </c>
      <c r="BC151" t="inlineStr">
        <is>
          <t>32285000245802</t>
        </is>
      </c>
      <c r="BD151" t="inlineStr">
        <is>
          <t>893883445</t>
        </is>
      </c>
    </row>
    <row r="152">
      <c r="A152" t="inlineStr">
        <is>
          <t>No</t>
        </is>
      </c>
      <c r="B152" t="inlineStr">
        <is>
          <t>DC138 .G543</t>
        </is>
      </c>
      <c r="C152" t="inlineStr">
        <is>
          <t>0                      DC 0138000G  543</t>
        </is>
      </c>
      <c r="D152" t="inlineStr">
        <is>
          <t>France and the Atlantic revolution of the eighteenth century, 1770-1799 [by] Jacques Godechot. Translated by Herbert H. Rowen.</t>
        </is>
      </c>
      <c r="F152" t="inlineStr">
        <is>
          <t>No</t>
        </is>
      </c>
      <c r="G152" t="inlineStr">
        <is>
          <t>1</t>
        </is>
      </c>
      <c r="H152" t="inlineStr">
        <is>
          <t>No</t>
        </is>
      </c>
      <c r="I152" t="inlineStr">
        <is>
          <t>No</t>
        </is>
      </c>
      <c r="J152" t="inlineStr">
        <is>
          <t>0</t>
        </is>
      </c>
      <c r="K152" t="inlineStr">
        <is>
          <t>Godechot, Jacques Léon, 1907-1989.</t>
        </is>
      </c>
      <c r="L152" t="inlineStr">
        <is>
          <t>New York, Free Press [1965]</t>
        </is>
      </c>
      <c r="M152" t="inlineStr">
        <is>
          <t>1965</t>
        </is>
      </c>
      <c r="O152" t="inlineStr">
        <is>
          <t>eng</t>
        </is>
      </c>
      <c r="P152" t="inlineStr">
        <is>
          <t>nyu</t>
        </is>
      </c>
      <c r="R152" t="inlineStr">
        <is>
          <t xml:space="preserve">DC </t>
        </is>
      </c>
      <c r="S152" t="n">
        <v>10</v>
      </c>
      <c r="T152" t="n">
        <v>10</v>
      </c>
      <c r="U152" t="inlineStr">
        <is>
          <t>2008-11-12</t>
        </is>
      </c>
      <c r="V152" t="inlineStr">
        <is>
          <t>2008-11-12</t>
        </is>
      </c>
      <c r="W152" t="inlineStr">
        <is>
          <t>1997-06-23</t>
        </is>
      </c>
      <c r="X152" t="inlineStr">
        <is>
          <t>1997-06-23</t>
        </is>
      </c>
      <c r="Y152" t="n">
        <v>989</v>
      </c>
      <c r="Z152" t="n">
        <v>843</v>
      </c>
      <c r="AA152" t="n">
        <v>849</v>
      </c>
      <c r="AB152" t="n">
        <v>5</v>
      </c>
      <c r="AC152" t="n">
        <v>5</v>
      </c>
      <c r="AD152" t="n">
        <v>36</v>
      </c>
      <c r="AE152" t="n">
        <v>37</v>
      </c>
      <c r="AF152" t="n">
        <v>12</v>
      </c>
      <c r="AG152" t="n">
        <v>13</v>
      </c>
      <c r="AH152" t="n">
        <v>10</v>
      </c>
      <c r="AI152" t="n">
        <v>10</v>
      </c>
      <c r="AJ152" t="n">
        <v>20</v>
      </c>
      <c r="AK152" t="n">
        <v>21</v>
      </c>
      <c r="AL152" t="n">
        <v>4</v>
      </c>
      <c r="AM152" t="n">
        <v>4</v>
      </c>
      <c r="AN152" t="n">
        <v>0</v>
      </c>
      <c r="AO152" t="n">
        <v>0</v>
      </c>
      <c r="AP152" t="inlineStr">
        <is>
          <t>No</t>
        </is>
      </c>
      <c r="AQ152" t="inlineStr">
        <is>
          <t>Yes</t>
        </is>
      </c>
      <c r="AR152">
        <f>HYPERLINK("http://catalog.hathitrust.org/Record/000562305","HathiTrust Record")</f>
        <v/>
      </c>
      <c r="AS152">
        <f>HYPERLINK("https://creighton-primo.hosted.exlibrisgroup.com/primo-explore/search?tab=default_tab&amp;search_scope=EVERYTHING&amp;vid=01CRU&amp;lang=en_US&amp;offset=0&amp;query=any,contains,991001454349702656","Catalog Record")</f>
        <v/>
      </c>
      <c r="AT152">
        <f>HYPERLINK("http://www.worldcat.org/oclc/231314","WorldCat Record")</f>
        <v/>
      </c>
      <c r="AU152" t="inlineStr">
        <is>
          <t>502822133:eng</t>
        </is>
      </c>
      <c r="AV152" t="inlineStr">
        <is>
          <t>231314</t>
        </is>
      </c>
      <c r="AW152" t="inlineStr">
        <is>
          <t>991001454349702656</t>
        </is>
      </c>
      <c r="AX152" t="inlineStr">
        <is>
          <t>991001454349702656</t>
        </is>
      </c>
      <c r="AY152" t="inlineStr">
        <is>
          <t>2270813750002656</t>
        </is>
      </c>
      <c r="AZ152" t="inlineStr">
        <is>
          <t>BOOK</t>
        </is>
      </c>
      <c r="BC152" t="inlineStr">
        <is>
          <t>32285002829066</t>
        </is>
      </c>
      <c r="BD152" t="inlineStr">
        <is>
          <t>893615139</t>
        </is>
      </c>
    </row>
    <row r="153">
      <c r="A153" t="inlineStr">
        <is>
          <t>No</t>
        </is>
      </c>
      <c r="B153" t="inlineStr">
        <is>
          <t>DC138 .K3</t>
        </is>
      </c>
      <c r="C153" t="inlineStr">
        <is>
          <t>0                      DC 0138000K  3</t>
        </is>
      </c>
      <c r="D153" t="inlineStr">
        <is>
          <t>New perspectives on the French Revolution; readings in historical sociology.</t>
        </is>
      </c>
      <c r="F153" t="inlineStr">
        <is>
          <t>No</t>
        </is>
      </c>
      <c r="G153" t="inlineStr">
        <is>
          <t>1</t>
        </is>
      </c>
      <c r="H153" t="inlineStr">
        <is>
          <t>No</t>
        </is>
      </c>
      <c r="I153" t="inlineStr">
        <is>
          <t>No</t>
        </is>
      </c>
      <c r="J153" t="inlineStr">
        <is>
          <t>0</t>
        </is>
      </c>
      <c r="K153" t="inlineStr">
        <is>
          <t>Kaplow, Jeffry, editor.</t>
        </is>
      </c>
      <c r="L153" t="inlineStr">
        <is>
          <t>New York, Wiley [1965]</t>
        </is>
      </c>
      <c r="M153" t="inlineStr">
        <is>
          <t>1965</t>
        </is>
      </c>
      <c r="O153" t="inlineStr">
        <is>
          <t>eng</t>
        </is>
      </c>
      <c r="P153" t="inlineStr">
        <is>
          <t>nyu</t>
        </is>
      </c>
      <c r="R153" t="inlineStr">
        <is>
          <t xml:space="preserve">DC </t>
        </is>
      </c>
      <c r="S153" t="n">
        <v>6</v>
      </c>
      <c r="T153" t="n">
        <v>6</v>
      </c>
      <c r="U153" t="inlineStr">
        <is>
          <t>1998-12-03</t>
        </is>
      </c>
      <c r="V153" t="inlineStr">
        <is>
          <t>1998-12-03</t>
        </is>
      </c>
      <c r="W153" t="inlineStr">
        <is>
          <t>1996-11-07</t>
        </is>
      </c>
      <c r="X153" t="inlineStr">
        <is>
          <t>1996-11-07</t>
        </is>
      </c>
      <c r="Y153" t="n">
        <v>1043</v>
      </c>
      <c r="Z153" t="n">
        <v>876</v>
      </c>
      <c r="AA153" t="n">
        <v>878</v>
      </c>
      <c r="AB153" t="n">
        <v>9</v>
      </c>
      <c r="AC153" t="n">
        <v>9</v>
      </c>
      <c r="AD153" t="n">
        <v>42</v>
      </c>
      <c r="AE153" t="n">
        <v>42</v>
      </c>
      <c r="AF153" t="n">
        <v>14</v>
      </c>
      <c r="AG153" t="n">
        <v>14</v>
      </c>
      <c r="AH153" t="n">
        <v>9</v>
      </c>
      <c r="AI153" t="n">
        <v>9</v>
      </c>
      <c r="AJ153" t="n">
        <v>17</v>
      </c>
      <c r="AK153" t="n">
        <v>17</v>
      </c>
      <c r="AL153" t="n">
        <v>8</v>
      </c>
      <c r="AM153" t="n">
        <v>8</v>
      </c>
      <c r="AN153" t="n">
        <v>0</v>
      </c>
      <c r="AO153" t="n">
        <v>0</v>
      </c>
      <c r="AP153" t="inlineStr">
        <is>
          <t>No</t>
        </is>
      </c>
      <c r="AQ153" t="inlineStr">
        <is>
          <t>Yes</t>
        </is>
      </c>
      <c r="AR153">
        <f>HYPERLINK("http://catalog.hathitrust.org/Record/000602626","HathiTrust Record")</f>
        <v/>
      </c>
      <c r="AS153">
        <f>HYPERLINK("https://creighton-primo.hosted.exlibrisgroup.com/primo-explore/search?tab=default_tab&amp;search_scope=EVERYTHING&amp;vid=01CRU&amp;lang=en_US&amp;offset=0&amp;query=any,contains,991002690979702656","Catalog Record")</f>
        <v/>
      </c>
      <c r="AT153">
        <f>HYPERLINK("http://www.worldcat.org/oclc/401493","WorldCat Record")</f>
        <v/>
      </c>
      <c r="AU153" t="inlineStr">
        <is>
          <t>147098516:eng</t>
        </is>
      </c>
      <c r="AV153" t="inlineStr">
        <is>
          <t>401493</t>
        </is>
      </c>
      <c r="AW153" t="inlineStr">
        <is>
          <t>991002690979702656</t>
        </is>
      </c>
      <c r="AX153" t="inlineStr">
        <is>
          <t>991002690979702656</t>
        </is>
      </c>
      <c r="AY153" t="inlineStr">
        <is>
          <t>2268207200002656</t>
        </is>
      </c>
      <c r="AZ153" t="inlineStr">
        <is>
          <t>BOOK</t>
        </is>
      </c>
      <c r="BC153" t="inlineStr">
        <is>
          <t>32285002341682</t>
        </is>
      </c>
      <c r="BD153" t="inlineStr">
        <is>
          <t>893899082</t>
        </is>
      </c>
    </row>
    <row r="154">
      <c r="A154" t="inlineStr">
        <is>
          <t>No</t>
        </is>
      </c>
      <c r="B154" t="inlineStr">
        <is>
          <t>DC138 .M56</t>
        </is>
      </c>
      <c r="C154" t="inlineStr">
        <is>
          <t>0                      DC 0138000M  56</t>
        </is>
      </c>
      <c r="D154" t="inlineStr">
        <is>
          <t>Les origines intellectuelles de la Révolution française,(1715-1787)</t>
        </is>
      </c>
      <c r="F154" t="inlineStr">
        <is>
          <t>No</t>
        </is>
      </c>
      <c r="G154" t="inlineStr">
        <is>
          <t>1</t>
        </is>
      </c>
      <c r="H154" t="inlineStr">
        <is>
          <t>No</t>
        </is>
      </c>
      <c r="I154" t="inlineStr">
        <is>
          <t>No</t>
        </is>
      </c>
      <c r="J154" t="inlineStr">
        <is>
          <t>0</t>
        </is>
      </c>
      <c r="K154" t="inlineStr">
        <is>
          <t>Mornet, Daniel, 1878-1954.</t>
        </is>
      </c>
      <c r="L154" t="inlineStr">
        <is>
          <t>Paris, A. Colin, 1933.</t>
        </is>
      </c>
      <c r="M154" t="inlineStr">
        <is>
          <t>1933</t>
        </is>
      </c>
      <c r="O154" t="inlineStr">
        <is>
          <t>fre</t>
        </is>
      </c>
      <c r="P154" t="inlineStr">
        <is>
          <t xml:space="preserve">fr </t>
        </is>
      </c>
      <c r="R154" t="inlineStr">
        <is>
          <t xml:space="preserve">DC </t>
        </is>
      </c>
      <c r="S154" t="n">
        <v>1</v>
      </c>
      <c r="T154" t="n">
        <v>1</v>
      </c>
      <c r="U154" t="inlineStr">
        <is>
          <t>1998-12-03</t>
        </is>
      </c>
      <c r="V154" t="inlineStr">
        <is>
          <t>1998-12-03</t>
        </is>
      </c>
      <c r="W154" t="inlineStr">
        <is>
          <t>1996-11-07</t>
        </is>
      </c>
      <c r="X154" t="inlineStr">
        <is>
          <t>1996-11-07</t>
        </is>
      </c>
      <c r="Y154" t="n">
        <v>242</v>
      </c>
      <c r="Z154" t="n">
        <v>172</v>
      </c>
      <c r="AA154" t="n">
        <v>323</v>
      </c>
      <c r="AB154" t="n">
        <v>2</v>
      </c>
      <c r="AC154" t="n">
        <v>3</v>
      </c>
      <c r="AD154" t="n">
        <v>13</v>
      </c>
      <c r="AE154" t="n">
        <v>23</v>
      </c>
      <c r="AF154" t="n">
        <v>6</v>
      </c>
      <c r="AG154" t="n">
        <v>8</v>
      </c>
      <c r="AH154" t="n">
        <v>2</v>
      </c>
      <c r="AI154" t="n">
        <v>5</v>
      </c>
      <c r="AJ154" t="n">
        <v>10</v>
      </c>
      <c r="AK154" t="n">
        <v>15</v>
      </c>
      <c r="AL154" t="n">
        <v>1</v>
      </c>
      <c r="AM154" t="n">
        <v>2</v>
      </c>
      <c r="AN154" t="n">
        <v>0</v>
      </c>
      <c r="AO154" t="n">
        <v>0</v>
      </c>
      <c r="AP154" t="inlineStr">
        <is>
          <t>No</t>
        </is>
      </c>
      <c r="AQ154" t="inlineStr">
        <is>
          <t>Yes</t>
        </is>
      </c>
      <c r="AR154">
        <f>HYPERLINK("http://catalog.hathitrust.org/Record/000602672","HathiTrust Record")</f>
        <v/>
      </c>
      <c r="AS154">
        <f>HYPERLINK("https://creighton-primo.hosted.exlibrisgroup.com/primo-explore/search?tab=default_tab&amp;search_scope=EVERYTHING&amp;vid=01CRU&amp;lang=en_US&amp;offset=0&amp;query=any,contains,991003582269702656","Catalog Record")</f>
        <v/>
      </c>
      <c r="AT154">
        <f>HYPERLINK("http://www.worldcat.org/oclc/1164266","WorldCat Record")</f>
        <v/>
      </c>
      <c r="AU154" t="inlineStr">
        <is>
          <t>365060884:fre</t>
        </is>
      </c>
      <c r="AV154" t="inlineStr">
        <is>
          <t>1164266</t>
        </is>
      </c>
      <c r="AW154" t="inlineStr">
        <is>
          <t>991003582269702656</t>
        </is>
      </c>
      <c r="AX154" t="inlineStr">
        <is>
          <t>991003582269702656</t>
        </is>
      </c>
      <c r="AY154" t="inlineStr">
        <is>
          <t>2262705590002656</t>
        </is>
      </c>
      <c r="AZ154" t="inlineStr">
        <is>
          <t>BOOK</t>
        </is>
      </c>
      <c r="BC154" t="inlineStr">
        <is>
          <t>32285002341690</t>
        </is>
      </c>
      <c r="BD154" t="inlineStr">
        <is>
          <t>893240368</t>
        </is>
      </c>
    </row>
    <row r="155">
      <c r="A155" t="inlineStr">
        <is>
          <t>No</t>
        </is>
      </c>
      <c r="B155" t="inlineStr">
        <is>
          <t>DC141 .H5</t>
        </is>
      </c>
      <c r="C155" t="inlineStr">
        <is>
          <t>0                      DC 0141000H  5</t>
        </is>
      </c>
      <c r="D155" t="inlineStr">
        <is>
          <t>The French revolution as told by contemporaries / by E. L. Higgins.</t>
        </is>
      </c>
      <c r="F155" t="inlineStr">
        <is>
          <t>No</t>
        </is>
      </c>
      <c r="G155" t="inlineStr">
        <is>
          <t>1</t>
        </is>
      </c>
      <c r="H155" t="inlineStr">
        <is>
          <t>No</t>
        </is>
      </c>
      <c r="I155" t="inlineStr">
        <is>
          <t>No</t>
        </is>
      </c>
      <c r="J155" t="inlineStr">
        <is>
          <t>0</t>
        </is>
      </c>
      <c r="K155" t="inlineStr">
        <is>
          <t>Higgins, E. L. (Earl Leroy), editor, translator.</t>
        </is>
      </c>
      <c r="L155" t="inlineStr">
        <is>
          <t>Boston ; New York : Houghton Mifflin Company, [c1938]</t>
        </is>
      </c>
      <c r="M155" t="inlineStr">
        <is>
          <t>1938</t>
        </is>
      </c>
      <c r="O155" t="inlineStr">
        <is>
          <t>eng</t>
        </is>
      </c>
      <c r="P155" t="inlineStr">
        <is>
          <t>mau</t>
        </is>
      </c>
      <c r="R155" t="inlineStr">
        <is>
          <t xml:space="preserve">DC </t>
        </is>
      </c>
      <c r="S155" t="n">
        <v>6</v>
      </c>
      <c r="T155" t="n">
        <v>6</v>
      </c>
      <c r="U155" t="inlineStr">
        <is>
          <t>2007-04-19</t>
        </is>
      </c>
      <c r="V155" t="inlineStr">
        <is>
          <t>2007-04-19</t>
        </is>
      </c>
      <c r="W155" t="inlineStr">
        <is>
          <t>1990-12-07</t>
        </is>
      </c>
      <c r="X155" t="inlineStr">
        <is>
          <t>1990-12-07</t>
        </is>
      </c>
      <c r="Y155" t="n">
        <v>621</v>
      </c>
      <c r="Z155" t="n">
        <v>574</v>
      </c>
      <c r="AA155" t="n">
        <v>736</v>
      </c>
      <c r="AB155" t="n">
        <v>6</v>
      </c>
      <c r="AC155" t="n">
        <v>7</v>
      </c>
      <c r="AD155" t="n">
        <v>32</v>
      </c>
      <c r="AE155" t="n">
        <v>40</v>
      </c>
      <c r="AF155" t="n">
        <v>13</v>
      </c>
      <c r="AG155" t="n">
        <v>16</v>
      </c>
      <c r="AH155" t="n">
        <v>8</v>
      </c>
      <c r="AI155" t="n">
        <v>10</v>
      </c>
      <c r="AJ155" t="n">
        <v>13</v>
      </c>
      <c r="AK155" t="n">
        <v>17</v>
      </c>
      <c r="AL155" t="n">
        <v>5</v>
      </c>
      <c r="AM155" t="n">
        <v>6</v>
      </c>
      <c r="AN155" t="n">
        <v>0</v>
      </c>
      <c r="AO155" t="n">
        <v>0</v>
      </c>
      <c r="AP155" t="inlineStr">
        <is>
          <t>No</t>
        </is>
      </c>
      <c r="AQ155" t="inlineStr">
        <is>
          <t>Yes</t>
        </is>
      </c>
      <c r="AR155">
        <f>HYPERLINK("http://catalog.hathitrust.org/Record/000603366","HathiTrust Record")</f>
        <v/>
      </c>
      <c r="AS155">
        <f>HYPERLINK("https://creighton-primo.hosted.exlibrisgroup.com/primo-explore/search?tab=default_tab&amp;search_scope=EVERYTHING&amp;vid=01CRU&amp;lang=en_US&amp;offset=0&amp;query=any,contains,991002690949702656","Catalog Record")</f>
        <v/>
      </c>
      <c r="AT155">
        <f>HYPERLINK("http://www.worldcat.org/oclc/401492","WorldCat Record")</f>
        <v/>
      </c>
      <c r="AU155" t="inlineStr">
        <is>
          <t>477294:eng</t>
        </is>
      </c>
      <c r="AV155" t="inlineStr">
        <is>
          <t>401492</t>
        </is>
      </c>
      <c r="AW155" t="inlineStr">
        <is>
          <t>991002690949702656</t>
        </is>
      </c>
      <c r="AX155" t="inlineStr">
        <is>
          <t>991002690949702656</t>
        </is>
      </c>
      <c r="AY155" t="inlineStr">
        <is>
          <t>2268207010002656</t>
        </is>
      </c>
      <c r="AZ155" t="inlineStr">
        <is>
          <t>BOOK</t>
        </is>
      </c>
      <c r="BC155" t="inlineStr">
        <is>
          <t>32285000394188</t>
        </is>
      </c>
      <c r="BD155" t="inlineStr">
        <is>
          <t>893523930</t>
        </is>
      </c>
    </row>
    <row r="156">
      <c r="A156" t="inlineStr">
        <is>
          <t>No</t>
        </is>
      </c>
      <c r="B156" t="inlineStr">
        <is>
          <t>DC142 .F7</t>
        </is>
      </c>
      <c r="C156" t="inlineStr">
        <is>
          <t>0                      DC 0142000F  7</t>
        </is>
      </c>
      <c r="D156" t="inlineStr">
        <is>
          <t>French society and the Revolution / edited by Douglas Johnson.</t>
        </is>
      </c>
      <c r="F156" t="inlineStr">
        <is>
          <t>No</t>
        </is>
      </c>
      <c r="G156" t="inlineStr">
        <is>
          <t>1</t>
        </is>
      </c>
      <c r="H156" t="inlineStr">
        <is>
          <t>No</t>
        </is>
      </c>
      <c r="I156" t="inlineStr">
        <is>
          <t>No</t>
        </is>
      </c>
      <c r="J156" t="inlineStr">
        <is>
          <t>0</t>
        </is>
      </c>
      <c r="L156" t="inlineStr">
        <is>
          <t>Cambridge [Eng.] ; New York : Cambridge University Press, 1976.</t>
        </is>
      </c>
      <c r="M156" t="inlineStr">
        <is>
          <t>1976</t>
        </is>
      </c>
      <c r="O156" t="inlineStr">
        <is>
          <t>eng</t>
        </is>
      </c>
      <c r="P156" t="inlineStr">
        <is>
          <t>enk</t>
        </is>
      </c>
      <c r="Q156" t="inlineStr">
        <is>
          <t>Past and present publications</t>
        </is>
      </c>
      <c r="R156" t="inlineStr">
        <is>
          <t xml:space="preserve">DC </t>
        </is>
      </c>
      <c r="S156" t="n">
        <v>8</v>
      </c>
      <c r="T156" t="n">
        <v>8</v>
      </c>
      <c r="U156" t="inlineStr">
        <is>
          <t>2000-04-24</t>
        </is>
      </c>
      <c r="V156" t="inlineStr">
        <is>
          <t>2000-04-24</t>
        </is>
      </c>
      <c r="W156" t="inlineStr">
        <is>
          <t>1996-11-07</t>
        </is>
      </c>
      <c r="X156" t="inlineStr">
        <is>
          <t>1996-11-07</t>
        </is>
      </c>
      <c r="Y156" t="n">
        <v>766</v>
      </c>
      <c r="Z156" t="n">
        <v>564</v>
      </c>
      <c r="AA156" t="n">
        <v>572</v>
      </c>
      <c r="AB156" t="n">
        <v>8</v>
      </c>
      <c r="AC156" t="n">
        <v>8</v>
      </c>
      <c r="AD156" t="n">
        <v>25</v>
      </c>
      <c r="AE156" t="n">
        <v>25</v>
      </c>
      <c r="AF156" t="n">
        <v>6</v>
      </c>
      <c r="AG156" t="n">
        <v>6</v>
      </c>
      <c r="AH156" t="n">
        <v>8</v>
      </c>
      <c r="AI156" t="n">
        <v>8</v>
      </c>
      <c r="AJ156" t="n">
        <v>11</v>
      </c>
      <c r="AK156" t="n">
        <v>11</v>
      </c>
      <c r="AL156" t="n">
        <v>7</v>
      </c>
      <c r="AM156" t="n">
        <v>7</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HYPERLINK("https://creighton-primo.hosted.exlibrisgroup.com/primo-explore/search?tab=default_tab&amp;search_scope=EVERYTHING&amp;vid=01CRU&amp;lang=en_US&amp;offset=0&amp;query=any,contains,991004025769702656","Catalog Record")</f>
        <v/>
      </c>
      <c r="AT156">
        <f>HYPERLINK("http://www.worldcat.org/oclc/2136963","WorldCat Record")</f>
        <v/>
      </c>
      <c r="AU156" t="inlineStr">
        <is>
          <t>117880738:eng</t>
        </is>
      </c>
      <c r="AV156" t="inlineStr">
        <is>
          <t>2136963</t>
        </is>
      </c>
      <c r="AW156" t="inlineStr">
        <is>
          <t>991004025769702656</t>
        </is>
      </c>
      <c r="AX156" t="inlineStr">
        <is>
          <t>991004025769702656</t>
        </is>
      </c>
      <c r="AY156" t="inlineStr">
        <is>
          <t>2271475550002656</t>
        </is>
      </c>
      <c r="AZ156" t="inlineStr">
        <is>
          <t>BOOK</t>
        </is>
      </c>
      <c r="BB156" t="inlineStr">
        <is>
          <t>9780521212755</t>
        </is>
      </c>
      <c r="BC156" t="inlineStr">
        <is>
          <t>32285002341781</t>
        </is>
      </c>
      <c r="BD156" t="inlineStr">
        <is>
          <t>893228817</t>
        </is>
      </c>
    </row>
    <row r="157">
      <c r="A157" t="inlineStr">
        <is>
          <t>No</t>
        </is>
      </c>
      <c r="B157" t="inlineStr">
        <is>
          <t>DC142 .P55 1998</t>
        </is>
      </c>
      <c r="C157" t="inlineStr">
        <is>
          <t>0                      DC 0142000P  55          1998</t>
        </is>
      </c>
      <c r="D157" t="inlineStr">
        <is>
          <t>The place of the French Revolution in history / edited with introduction, commentary, and translations by Marvin R. Cox.</t>
        </is>
      </c>
      <c r="F157" t="inlineStr">
        <is>
          <t>No</t>
        </is>
      </c>
      <c r="G157" t="inlineStr">
        <is>
          <t>1</t>
        </is>
      </c>
      <c r="H157" t="inlineStr">
        <is>
          <t>No</t>
        </is>
      </c>
      <c r="I157" t="inlineStr">
        <is>
          <t>No</t>
        </is>
      </c>
      <c r="J157" t="inlineStr">
        <is>
          <t>0</t>
        </is>
      </c>
      <c r="L157" t="inlineStr">
        <is>
          <t>Boston : Houghton Mifflin, c1998.</t>
        </is>
      </c>
      <c r="M157" t="inlineStr">
        <is>
          <t>1998</t>
        </is>
      </c>
      <c r="O157" t="inlineStr">
        <is>
          <t>eng</t>
        </is>
      </c>
      <c r="P157" t="inlineStr">
        <is>
          <t>mau</t>
        </is>
      </c>
      <c r="Q157" t="inlineStr">
        <is>
          <t>Problems in European civilization</t>
        </is>
      </c>
      <c r="R157" t="inlineStr">
        <is>
          <t xml:space="preserve">DC </t>
        </is>
      </c>
      <c r="S157" t="n">
        <v>8</v>
      </c>
      <c r="T157" t="n">
        <v>8</v>
      </c>
      <c r="U157" t="inlineStr">
        <is>
          <t>2002-11-08</t>
        </is>
      </c>
      <c r="V157" t="inlineStr">
        <is>
          <t>2002-11-08</t>
        </is>
      </c>
      <c r="W157" t="inlineStr">
        <is>
          <t>1998-12-08</t>
        </is>
      </c>
      <c r="X157" t="inlineStr">
        <is>
          <t>1998-12-08</t>
        </is>
      </c>
      <c r="Y157" t="n">
        <v>152</v>
      </c>
      <c r="Z157" t="n">
        <v>124</v>
      </c>
      <c r="AA157" t="n">
        <v>124</v>
      </c>
      <c r="AB157" t="n">
        <v>1</v>
      </c>
      <c r="AC157" t="n">
        <v>1</v>
      </c>
      <c r="AD157" t="n">
        <v>5</v>
      </c>
      <c r="AE157" t="n">
        <v>5</v>
      </c>
      <c r="AF157" t="n">
        <v>2</v>
      </c>
      <c r="AG157" t="n">
        <v>2</v>
      </c>
      <c r="AH157" t="n">
        <v>2</v>
      </c>
      <c r="AI157" t="n">
        <v>2</v>
      </c>
      <c r="AJ157" t="n">
        <v>2</v>
      </c>
      <c r="AK157" t="n">
        <v>2</v>
      </c>
      <c r="AL157" t="n">
        <v>0</v>
      </c>
      <c r="AM157" t="n">
        <v>0</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HYPERLINK("https://creighton-primo.hosted.exlibrisgroup.com/primo-explore/search?tab=default_tab&amp;search_scope=EVERYTHING&amp;vid=01CRU&amp;lang=en_US&amp;offset=0&amp;query=any,contains,991002928729702656","Catalog Record")</f>
        <v/>
      </c>
      <c r="AT157">
        <f>HYPERLINK("http://www.worldcat.org/oclc/38932614","WorldCat Record")</f>
        <v/>
      </c>
      <c r="AU157" t="inlineStr">
        <is>
          <t>366822661:eng</t>
        </is>
      </c>
      <c r="AV157" t="inlineStr">
        <is>
          <t>38932614</t>
        </is>
      </c>
      <c r="AW157" t="inlineStr">
        <is>
          <t>991002928729702656</t>
        </is>
      </c>
      <c r="AX157" t="inlineStr">
        <is>
          <t>991002928729702656</t>
        </is>
      </c>
      <c r="AY157" t="inlineStr">
        <is>
          <t>2261127770002656</t>
        </is>
      </c>
      <c r="AZ157" t="inlineStr">
        <is>
          <t>BOOK</t>
        </is>
      </c>
      <c r="BB157" t="inlineStr">
        <is>
          <t>9780395815311</t>
        </is>
      </c>
      <c r="BC157" t="inlineStr">
        <is>
          <t>32285003494498</t>
        </is>
      </c>
      <c r="BD157" t="inlineStr">
        <is>
          <t>893348115</t>
        </is>
      </c>
    </row>
    <row r="158">
      <c r="A158" t="inlineStr">
        <is>
          <t>No</t>
        </is>
      </c>
      <c r="B158" t="inlineStr">
        <is>
          <t>DC143 .C6</t>
        </is>
      </c>
      <c r="C158" t="inlineStr">
        <is>
          <t>0                      DC 0143000C  6</t>
        </is>
      </c>
      <c r="D158" t="inlineStr">
        <is>
          <t>Aspects of the French Revolution.</t>
        </is>
      </c>
      <c r="F158" t="inlineStr">
        <is>
          <t>No</t>
        </is>
      </c>
      <c r="G158" t="inlineStr">
        <is>
          <t>1</t>
        </is>
      </c>
      <c r="H158" t="inlineStr">
        <is>
          <t>No</t>
        </is>
      </c>
      <c r="I158" t="inlineStr">
        <is>
          <t>No</t>
        </is>
      </c>
      <c r="J158" t="inlineStr">
        <is>
          <t>0</t>
        </is>
      </c>
      <c r="K158" t="inlineStr">
        <is>
          <t>Cobban, Alfred.</t>
        </is>
      </c>
      <c r="L158" t="inlineStr">
        <is>
          <t>New York : G. Braziller, [1968]</t>
        </is>
      </c>
      <c r="M158" t="inlineStr">
        <is>
          <t>1968</t>
        </is>
      </c>
      <c r="O158" t="inlineStr">
        <is>
          <t>eng</t>
        </is>
      </c>
      <c r="P158" t="inlineStr">
        <is>
          <t>nyu</t>
        </is>
      </c>
      <c r="R158" t="inlineStr">
        <is>
          <t xml:space="preserve">DC </t>
        </is>
      </c>
      <c r="S158" t="n">
        <v>9</v>
      </c>
      <c r="T158" t="n">
        <v>9</v>
      </c>
      <c r="U158" t="inlineStr">
        <is>
          <t>2000-04-24</t>
        </is>
      </c>
      <c r="V158" t="inlineStr">
        <is>
          <t>2000-04-24</t>
        </is>
      </c>
      <c r="W158" t="inlineStr">
        <is>
          <t>1995-04-18</t>
        </is>
      </c>
      <c r="X158" t="inlineStr">
        <is>
          <t>1995-04-18</t>
        </is>
      </c>
      <c r="Y158" t="n">
        <v>791</v>
      </c>
      <c r="Z158" t="n">
        <v>734</v>
      </c>
      <c r="AA158" t="n">
        <v>851</v>
      </c>
      <c r="AB158" t="n">
        <v>5</v>
      </c>
      <c r="AC158" t="n">
        <v>7</v>
      </c>
      <c r="AD158" t="n">
        <v>29</v>
      </c>
      <c r="AE158" t="n">
        <v>34</v>
      </c>
      <c r="AF158" t="n">
        <v>11</v>
      </c>
      <c r="AG158" t="n">
        <v>13</v>
      </c>
      <c r="AH158" t="n">
        <v>7</v>
      </c>
      <c r="AI158" t="n">
        <v>8</v>
      </c>
      <c r="AJ158" t="n">
        <v>15</v>
      </c>
      <c r="AK158" t="n">
        <v>17</v>
      </c>
      <c r="AL158" t="n">
        <v>4</v>
      </c>
      <c r="AM158" t="n">
        <v>6</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HYPERLINK("https://creighton-primo.hosted.exlibrisgroup.com/primo-explore/search?tab=default_tab&amp;search_scope=EVERYTHING&amp;vid=01CRU&amp;lang=en_US&amp;offset=0&amp;query=any,contains,991002690129702656","Catalog Record")</f>
        <v/>
      </c>
      <c r="AT158">
        <f>HYPERLINK("http://www.worldcat.org/oclc/401354","WorldCat Record")</f>
        <v/>
      </c>
      <c r="AU158" t="inlineStr">
        <is>
          <t>1322098:eng</t>
        </is>
      </c>
      <c r="AV158" t="inlineStr">
        <is>
          <t>401354</t>
        </is>
      </c>
      <c r="AW158" t="inlineStr">
        <is>
          <t>991002690129702656</t>
        </is>
      </c>
      <c r="AX158" t="inlineStr">
        <is>
          <t>991002690129702656</t>
        </is>
      </c>
      <c r="AY158" t="inlineStr">
        <is>
          <t>2268095570002656</t>
        </is>
      </c>
      <c r="AZ158" t="inlineStr">
        <is>
          <t>BOOK</t>
        </is>
      </c>
      <c r="BC158" t="inlineStr">
        <is>
          <t>32285002027760</t>
        </is>
      </c>
      <c r="BD158" t="inlineStr">
        <is>
          <t>893415526</t>
        </is>
      </c>
    </row>
    <row r="159">
      <c r="A159" t="inlineStr">
        <is>
          <t>No</t>
        </is>
      </c>
      <c r="B159" t="inlineStr">
        <is>
          <t>DC145 .D7</t>
        </is>
      </c>
      <c r="C159" t="inlineStr">
        <is>
          <t>0                      DC 0145000D  7</t>
        </is>
      </c>
      <c r="D159" t="inlineStr">
        <is>
          <t>Four French women, by Austin Dobson.</t>
        </is>
      </c>
      <c r="F159" t="inlineStr">
        <is>
          <t>No</t>
        </is>
      </c>
      <c r="G159" t="inlineStr">
        <is>
          <t>1</t>
        </is>
      </c>
      <c r="H159" t="inlineStr">
        <is>
          <t>No</t>
        </is>
      </c>
      <c r="I159" t="inlineStr">
        <is>
          <t>No</t>
        </is>
      </c>
      <c r="J159" t="inlineStr">
        <is>
          <t>0</t>
        </is>
      </c>
      <c r="K159" t="inlineStr">
        <is>
          <t>Dobson, Austin, 1840-1921.</t>
        </is>
      </c>
      <c r="L159" t="inlineStr">
        <is>
          <t>New York, Dodd, Mead, and company [1890]</t>
        </is>
      </c>
      <c r="M159" t="inlineStr">
        <is>
          <t>1890</t>
        </is>
      </c>
      <c r="O159" t="inlineStr">
        <is>
          <t>eng</t>
        </is>
      </c>
      <c r="P159" t="inlineStr">
        <is>
          <t xml:space="preserve">xx </t>
        </is>
      </c>
      <c r="R159" t="inlineStr">
        <is>
          <t xml:space="preserve">DC </t>
        </is>
      </c>
      <c r="S159" t="n">
        <v>2</v>
      </c>
      <c r="T159" t="n">
        <v>2</v>
      </c>
      <c r="U159" t="inlineStr">
        <is>
          <t>2001-04-29</t>
        </is>
      </c>
      <c r="V159" t="inlineStr">
        <is>
          <t>2001-04-29</t>
        </is>
      </c>
      <c r="W159" t="inlineStr">
        <is>
          <t>1992-10-22</t>
        </is>
      </c>
      <c r="X159" t="inlineStr">
        <is>
          <t>1992-10-22</t>
        </is>
      </c>
      <c r="Y159" t="n">
        <v>143</v>
      </c>
      <c r="Z159" t="n">
        <v>128</v>
      </c>
      <c r="AA159" t="n">
        <v>348</v>
      </c>
      <c r="AB159" t="n">
        <v>1</v>
      </c>
      <c r="AC159" t="n">
        <v>3</v>
      </c>
      <c r="AD159" t="n">
        <v>6</v>
      </c>
      <c r="AE159" t="n">
        <v>21</v>
      </c>
      <c r="AF159" t="n">
        <v>3</v>
      </c>
      <c r="AG159" t="n">
        <v>7</v>
      </c>
      <c r="AH159" t="n">
        <v>1</v>
      </c>
      <c r="AI159" t="n">
        <v>6</v>
      </c>
      <c r="AJ159" t="n">
        <v>3</v>
      </c>
      <c r="AK159" t="n">
        <v>11</v>
      </c>
      <c r="AL159" t="n">
        <v>0</v>
      </c>
      <c r="AM159" t="n">
        <v>2</v>
      </c>
      <c r="AN159" t="n">
        <v>0</v>
      </c>
      <c r="AO159" t="n">
        <v>1</v>
      </c>
      <c r="AP159" t="inlineStr">
        <is>
          <t>Yes</t>
        </is>
      </c>
      <c r="AQ159" t="inlineStr">
        <is>
          <t>No</t>
        </is>
      </c>
      <c r="AR159">
        <f>HYPERLINK("http://catalog.hathitrust.org/Record/009261362","HathiTrust Record")</f>
        <v/>
      </c>
      <c r="AS159">
        <f>HYPERLINK("https://creighton-primo.hosted.exlibrisgroup.com/primo-explore/search?tab=default_tab&amp;search_scope=EVERYTHING&amp;vid=01CRU&amp;lang=en_US&amp;offset=0&amp;query=any,contains,991003798439702656","Catalog Record")</f>
        <v/>
      </c>
      <c r="AT159">
        <f>HYPERLINK("http://www.worldcat.org/oclc/1523695","WorldCat Record")</f>
        <v/>
      </c>
      <c r="AU159" t="inlineStr">
        <is>
          <t>428548093:eng</t>
        </is>
      </c>
      <c r="AV159" t="inlineStr">
        <is>
          <t>1523695</t>
        </is>
      </c>
      <c r="AW159" t="inlineStr">
        <is>
          <t>991003798439702656</t>
        </is>
      </c>
      <c r="AX159" t="inlineStr">
        <is>
          <t>991003798439702656</t>
        </is>
      </c>
      <c r="AY159" t="inlineStr">
        <is>
          <t>2267792420002656</t>
        </is>
      </c>
      <c r="AZ159" t="inlineStr">
        <is>
          <t>BOOK</t>
        </is>
      </c>
      <c r="BC159" t="inlineStr">
        <is>
          <t>32285001373736</t>
        </is>
      </c>
      <c r="BD159" t="inlineStr">
        <is>
          <t>893228484</t>
        </is>
      </c>
    </row>
    <row r="160">
      <c r="A160" t="inlineStr">
        <is>
          <t>No</t>
        </is>
      </c>
      <c r="B160" t="inlineStr">
        <is>
          <t>DC145 .T5 1988</t>
        </is>
      </c>
      <c r="C160" t="inlineStr">
        <is>
          <t>0                      DC 0145000T  5           1988</t>
        </is>
      </c>
      <c r="D160" t="inlineStr">
        <is>
          <t>Leaders of the French Revolution / by J.M. Thompson.</t>
        </is>
      </c>
      <c r="F160" t="inlineStr">
        <is>
          <t>No</t>
        </is>
      </c>
      <c r="G160" t="inlineStr">
        <is>
          <t>1</t>
        </is>
      </c>
      <c r="H160" t="inlineStr">
        <is>
          <t>No</t>
        </is>
      </c>
      <c r="I160" t="inlineStr">
        <is>
          <t>No</t>
        </is>
      </c>
      <c r="J160" t="inlineStr">
        <is>
          <t>0</t>
        </is>
      </c>
      <c r="K160" t="inlineStr">
        <is>
          <t>Thompson, J. M. (James Matthew), 1878-1956.</t>
        </is>
      </c>
      <c r="L160" t="inlineStr">
        <is>
          <t>Oxford, UK ; New York, NY, USA : Basil Blackwell, 1988.</t>
        </is>
      </c>
      <c r="M160" t="inlineStr">
        <is>
          <t>1988</t>
        </is>
      </c>
      <c r="O160" t="inlineStr">
        <is>
          <t>eng</t>
        </is>
      </c>
      <c r="P160" t="inlineStr">
        <is>
          <t>enk</t>
        </is>
      </c>
      <c r="R160" t="inlineStr">
        <is>
          <t xml:space="preserve">DC </t>
        </is>
      </c>
      <c r="S160" t="n">
        <v>7</v>
      </c>
      <c r="T160" t="n">
        <v>7</v>
      </c>
      <c r="U160" t="inlineStr">
        <is>
          <t>2000-04-16</t>
        </is>
      </c>
      <c r="V160" t="inlineStr">
        <is>
          <t>2000-04-16</t>
        </is>
      </c>
      <c r="W160" t="inlineStr">
        <is>
          <t>1990-11-05</t>
        </is>
      </c>
      <c r="X160" t="inlineStr">
        <is>
          <t>1990-11-05</t>
        </is>
      </c>
      <c r="Y160" t="n">
        <v>156</v>
      </c>
      <c r="Z160" t="n">
        <v>93</v>
      </c>
      <c r="AA160" t="n">
        <v>98</v>
      </c>
      <c r="AB160" t="n">
        <v>1</v>
      </c>
      <c r="AC160" t="n">
        <v>1</v>
      </c>
      <c r="AD160" t="n">
        <v>5</v>
      </c>
      <c r="AE160" t="n">
        <v>5</v>
      </c>
      <c r="AF160" t="n">
        <v>3</v>
      </c>
      <c r="AG160" t="n">
        <v>3</v>
      </c>
      <c r="AH160" t="n">
        <v>0</v>
      </c>
      <c r="AI160" t="n">
        <v>0</v>
      </c>
      <c r="AJ160" t="n">
        <v>5</v>
      </c>
      <c r="AK160" t="n">
        <v>5</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HYPERLINK("https://creighton-primo.hosted.exlibrisgroup.com/primo-explore/search?tab=default_tab&amp;search_scope=EVERYTHING&amp;vid=01CRU&amp;lang=en_US&amp;offset=0&amp;query=any,contains,991001200019702656","Catalog Record")</f>
        <v/>
      </c>
      <c r="AT160">
        <f>HYPERLINK("http://www.worldcat.org/oclc/17300612","WorldCat Record")</f>
        <v/>
      </c>
      <c r="AU160" t="inlineStr">
        <is>
          <t>5609347105:eng</t>
        </is>
      </c>
      <c r="AV160" t="inlineStr">
        <is>
          <t>17300612</t>
        </is>
      </c>
      <c r="AW160" t="inlineStr">
        <is>
          <t>991001200019702656</t>
        </is>
      </c>
      <c r="AX160" t="inlineStr">
        <is>
          <t>991001200019702656</t>
        </is>
      </c>
      <c r="AY160" t="inlineStr">
        <is>
          <t>2267720410002656</t>
        </is>
      </c>
      <c r="AZ160" t="inlineStr">
        <is>
          <t>BOOK</t>
        </is>
      </c>
      <c r="BB160" t="inlineStr">
        <is>
          <t>9780631160632</t>
        </is>
      </c>
      <c r="BC160" t="inlineStr">
        <is>
          <t>32285000313204</t>
        </is>
      </c>
      <c r="BD160" t="inlineStr">
        <is>
          <t>893696557</t>
        </is>
      </c>
    </row>
    <row r="161">
      <c r="A161" t="inlineStr">
        <is>
          <t>No</t>
        </is>
      </c>
      <c r="B161" t="inlineStr">
        <is>
          <t>DC145 .Y35 1993</t>
        </is>
      </c>
      <c r="C161" t="inlineStr">
        <is>
          <t>0                      DC 0145000Y  35          1993</t>
        </is>
      </c>
      <c r="D161" t="inlineStr">
        <is>
          <t>Blood sisters : the French Revolution in women's memory / Marilyn Yalom.</t>
        </is>
      </c>
      <c r="F161" t="inlineStr">
        <is>
          <t>No</t>
        </is>
      </c>
      <c r="G161" t="inlineStr">
        <is>
          <t>1</t>
        </is>
      </c>
      <c r="H161" t="inlineStr">
        <is>
          <t>No</t>
        </is>
      </c>
      <c r="I161" t="inlineStr">
        <is>
          <t>No</t>
        </is>
      </c>
      <c r="J161" t="inlineStr">
        <is>
          <t>0</t>
        </is>
      </c>
      <c r="K161" t="inlineStr">
        <is>
          <t>Yalom, Marilyn.</t>
        </is>
      </c>
      <c r="L161" t="inlineStr">
        <is>
          <t>New York : BasicBooks, c1993.</t>
        </is>
      </c>
      <c r="M161" t="inlineStr">
        <is>
          <t>1993</t>
        </is>
      </c>
      <c r="O161" t="inlineStr">
        <is>
          <t>eng</t>
        </is>
      </c>
      <c r="P161" t="inlineStr">
        <is>
          <t>nyu</t>
        </is>
      </c>
      <c r="R161" t="inlineStr">
        <is>
          <t xml:space="preserve">DC </t>
        </is>
      </c>
      <c r="S161" t="n">
        <v>13</v>
      </c>
      <c r="T161" t="n">
        <v>13</v>
      </c>
      <c r="U161" t="inlineStr">
        <is>
          <t>2001-04-29</t>
        </is>
      </c>
      <c r="V161" t="inlineStr">
        <is>
          <t>2001-04-29</t>
        </is>
      </c>
      <c r="W161" t="inlineStr">
        <is>
          <t>1993-10-04</t>
        </is>
      </c>
      <c r="X161" t="inlineStr">
        <is>
          <t>1993-10-04</t>
        </is>
      </c>
      <c r="Y161" t="n">
        <v>768</v>
      </c>
      <c r="Z161" t="n">
        <v>676</v>
      </c>
      <c r="AA161" t="n">
        <v>713</v>
      </c>
      <c r="AB161" t="n">
        <v>5</v>
      </c>
      <c r="AC161" t="n">
        <v>5</v>
      </c>
      <c r="AD161" t="n">
        <v>35</v>
      </c>
      <c r="AE161" t="n">
        <v>38</v>
      </c>
      <c r="AF161" t="n">
        <v>16</v>
      </c>
      <c r="AG161" t="n">
        <v>19</v>
      </c>
      <c r="AH161" t="n">
        <v>8</v>
      </c>
      <c r="AI161" t="n">
        <v>8</v>
      </c>
      <c r="AJ161" t="n">
        <v>18</v>
      </c>
      <c r="AK161" t="n">
        <v>19</v>
      </c>
      <c r="AL161" t="n">
        <v>4</v>
      </c>
      <c r="AM161" t="n">
        <v>4</v>
      </c>
      <c r="AN161" t="n">
        <v>0</v>
      </c>
      <c r="AO161" t="n">
        <v>0</v>
      </c>
      <c r="AP161" t="inlineStr">
        <is>
          <t>No</t>
        </is>
      </c>
      <c r="AQ161" t="inlineStr">
        <is>
          <t>Yes</t>
        </is>
      </c>
      <c r="AR161">
        <f>HYPERLINK("http://catalog.hathitrust.org/Record/002654941","HathiTrust Record")</f>
        <v/>
      </c>
      <c r="AS161">
        <f>HYPERLINK("https://creighton-primo.hosted.exlibrisgroup.com/primo-explore/search?tab=default_tab&amp;search_scope=EVERYTHING&amp;vid=01CRU&amp;lang=en_US&amp;offset=0&amp;query=any,contains,991002123709702656","Catalog Record")</f>
        <v/>
      </c>
      <c r="AT161">
        <f>HYPERLINK("http://www.worldcat.org/oclc/27188215","WorldCat Record")</f>
        <v/>
      </c>
      <c r="AU161" t="inlineStr">
        <is>
          <t>339938:eng</t>
        </is>
      </c>
      <c r="AV161" t="inlineStr">
        <is>
          <t>27188215</t>
        </is>
      </c>
      <c r="AW161" t="inlineStr">
        <is>
          <t>991002123709702656</t>
        </is>
      </c>
      <c r="AX161" t="inlineStr">
        <is>
          <t>991002123709702656</t>
        </is>
      </c>
      <c r="AY161" t="inlineStr">
        <is>
          <t>2272686970002656</t>
        </is>
      </c>
      <c r="AZ161" t="inlineStr">
        <is>
          <t>BOOK</t>
        </is>
      </c>
      <c r="BB161" t="inlineStr">
        <is>
          <t>9780465092635</t>
        </is>
      </c>
      <c r="BC161" t="inlineStr">
        <is>
          <t>32285001769164</t>
        </is>
      </c>
      <c r="BD161" t="inlineStr">
        <is>
          <t>893798209</t>
        </is>
      </c>
    </row>
    <row r="162">
      <c r="A162" t="inlineStr">
        <is>
          <t>No</t>
        </is>
      </c>
      <c r="B162" t="inlineStr">
        <is>
          <t>DC146.B7 V36 2002</t>
        </is>
      </c>
      <c r="C162" t="inlineStr">
        <is>
          <t>0                      DC 0146000B  7                  V  36          2002</t>
        </is>
      </c>
      <c r="D162" t="inlineStr">
        <is>
          <t>The life and works of Adèle d'Osmond comtesse de Boigne (1781-1866) / David S. Vanderboegh.</t>
        </is>
      </c>
      <c r="F162" t="inlineStr">
        <is>
          <t>No</t>
        </is>
      </c>
      <c r="G162" t="inlineStr">
        <is>
          <t>1</t>
        </is>
      </c>
      <c r="H162" t="inlineStr">
        <is>
          <t>No</t>
        </is>
      </c>
      <c r="I162" t="inlineStr">
        <is>
          <t>No</t>
        </is>
      </c>
      <c r="J162" t="inlineStr">
        <is>
          <t>0</t>
        </is>
      </c>
      <c r="K162" t="inlineStr">
        <is>
          <t>Vanderboegh, David S.</t>
        </is>
      </c>
      <c r="L162" t="inlineStr">
        <is>
          <t>Lewiston [N.Y.] : Edwin Mellen Press, c2002.</t>
        </is>
      </c>
      <c r="M162" t="inlineStr">
        <is>
          <t>2002</t>
        </is>
      </c>
      <c r="O162" t="inlineStr">
        <is>
          <t>eng</t>
        </is>
      </c>
      <c r="P162" t="inlineStr">
        <is>
          <t>nyu</t>
        </is>
      </c>
      <c r="Q162" t="inlineStr">
        <is>
          <t>Studies in French civilization ; v. 23</t>
        </is>
      </c>
      <c r="R162" t="inlineStr">
        <is>
          <t xml:space="preserve">DC </t>
        </is>
      </c>
      <c r="S162" t="n">
        <v>7</v>
      </c>
      <c r="T162" t="n">
        <v>7</v>
      </c>
      <c r="U162" t="inlineStr">
        <is>
          <t>2010-12-20</t>
        </is>
      </c>
      <c r="V162" t="inlineStr">
        <is>
          <t>2010-12-20</t>
        </is>
      </c>
      <c r="W162" t="inlineStr">
        <is>
          <t>2002-12-03</t>
        </is>
      </c>
      <c r="X162" t="inlineStr">
        <is>
          <t>2002-12-03</t>
        </is>
      </c>
      <c r="Y162" t="n">
        <v>38</v>
      </c>
      <c r="Z162" t="n">
        <v>28</v>
      </c>
      <c r="AA162" t="n">
        <v>28</v>
      </c>
      <c r="AB162" t="n">
        <v>1</v>
      </c>
      <c r="AC162" t="n">
        <v>1</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HYPERLINK("https://creighton-primo.hosted.exlibrisgroup.com/primo-explore/search?tab=default_tab&amp;search_scope=EVERYTHING&amp;vid=01CRU&amp;lang=en_US&amp;offset=0&amp;query=any,contains,991003923959702656","Catalog Record")</f>
        <v/>
      </c>
      <c r="AT162">
        <f>HYPERLINK("http://www.worldcat.org/oclc/47717911","WorldCat Record")</f>
        <v/>
      </c>
      <c r="AU162" t="inlineStr">
        <is>
          <t>20440788:eng</t>
        </is>
      </c>
      <c r="AV162" t="inlineStr">
        <is>
          <t>47717911</t>
        </is>
      </c>
      <c r="AW162" t="inlineStr">
        <is>
          <t>991003923959702656</t>
        </is>
      </c>
      <c r="AX162" t="inlineStr">
        <is>
          <t>991003923959702656</t>
        </is>
      </c>
      <c r="AY162" t="inlineStr">
        <is>
          <t>2271387670002656</t>
        </is>
      </c>
      <c r="AZ162" t="inlineStr">
        <is>
          <t>BOOK</t>
        </is>
      </c>
      <c r="BB162" t="inlineStr">
        <is>
          <t>9780773472518</t>
        </is>
      </c>
      <c r="BC162" t="inlineStr">
        <is>
          <t>32285004667019</t>
        </is>
      </c>
      <c r="BD162" t="inlineStr">
        <is>
          <t>893525429</t>
        </is>
      </c>
    </row>
    <row r="163">
      <c r="A163" t="inlineStr">
        <is>
          <t>No</t>
        </is>
      </c>
      <c r="B163" t="inlineStr">
        <is>
          <t>DC146.C8 C62</t>
        </is>
      </c>
      <c r="C163" t="inlineStr">
        <is>
          <t>0                      DC 0146000C  8                  C  62</t>
        </is>
      </c>
      <c r="D163" t="inlineStr">
        <is>
          <t>Charlotte Corday / by Michel Corday ; translated from the French by E.F. Buckley.</t>
        </is>
      </c>
      <c r="F163" t="inlineStr">
        <is>
          <t>No</t>
        </is>
      </c>
      <c r="G163" t="inlineStr">
        <is>
          <t>1</t>
        </is>
      </c>
      <c r="H163" t="inlineStr">
        <is>
          <t>No</t>
        </is>
      </c>
      <c r="I163" t="inlineStr">
        <is>
          <t>No</t>
        </is>
      </c>
      <c r="J163" t="inlineStr">
        <is>
          <t>0</t>
        </is>
      </c>
      <c r="K163" t="inlineStr">
        <is>
          <t>Corday, Michel, 1870-1937.</t>
        </is>
      </c>
      <c r="L163" t="inlineStr">
        <is>
          <t>New York, E.P. Dutton &amp; Co., inc. [c1931]</t>
        </is>
      </c>
      <c r="M163" t="inlineStr">
        <is>
          <t>1931</t>
        </is>
      </c>
      <c r="O163" t="inlineStr">
        <is>
          <t>eng</t>
        </is>
      </c>
      <c r="P163" t="inlineStr">
        <is>
          <t>nyu</t>
        </is>
      </c>
      <c r="R163" t="inlineStr">
        <is>
          <t xml:space="preserve">DC </t>
        </is>
      </c>
      <c r="S163" t="n">
        <v>2</v>
      </c>
      <c r="T163" t="n">
        <v>2</v>
      </c>
      <c r="U163" t="inlineStr">
        <is>
          <t>2004-01-20</t>
        </is>
      </c>
      <c r="V163" t="inlineStr">
        <is>
          <t>2004-01-20</t>
        </is>
      </c>
      <c r="W163" t="inlineStr">
        <is>
          <t>1992-10-22</t>
        </is>
      </c>
      <c r="X163" t="inlineStr">
        <is>
          <t>1992-10-22</t>
        </is>
      </c>
      <c r="Y163" t="n">
        <v>115</v>
      </c>
      <c r="Z163" t="n">
        <v>107</v>
      </c>
      <c r="AA163" t="n">
        <v>133</v>
      </c>
      <c r="AB163" t="n">
        <v>1</v>
      </c>
      <c r="AC163" t="n">
        <v>2</v>
      </c>
      <c r="AD163" t="n">
        <v>10</v>
      </c>
      <c r="AE163" t="n">
        <v>12</v>
      </c>
      <c r="AF163" t="n">
        <v>5</v>
      </c>
      <c r="AG163" t="n">
        <v>6</v>
      </c>
      <c r="AH163" t="n">
        <v>2</v>
      </c>
      <c r="AI163" t="n">
        <v>2</v>
      </c>
      <c r="AJ163" t="n">
        <v>6</v>
      </c>
      <c r="AK163" t="n">
        <v>7</v>
      </c>
      <c r="AL163" t="n">
        <v>0</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HYPERLINK("https://creighton-primo.hosted.exlibrisgroup.com/primo-explore/search?tab=default_tab&amp;search_scope=EVERYTHING&amp;vid=01CRU&amp;lang=en_US&amp;offset=0&amp;query=any,contains,991002706309702656","Catalog Record")</f>
        <v/>
      </c>
      <c r="AT163">
        <f>HYPERLINK("http://www.worldcat.org/oclc/407132","WorldCat Record")</f>
        <v/>
      </c>
      <c r="AU163" t="inlineStr">
        <is>
          <t>1437886:eng</t>
        </is>
      </c>
      <c r="AV163" t="inlineStr">
        <is>
          <t>407132</t>
        </is>
      </c>
      <c r="AW163" t="inlineStr">
        <is>
          <t>991002706309702656</t>
        </is>
      </c>
      <c r="AX163" t="inlineStr">
        <is>
          <t>991002706309702656</t>
        </is>
      </c>
      <c r="AY163" t="inlineStr">
        <is>
          <t>2261631180002656</t>
        </is>
      </c>
      <c r="AZ163" t="inlineStr">
        <is>
          <t>BOOK</t>
        </is>
      </c>
      <c r="BC163" t="inlineStr">
        <is>
          <t>32285001373744</t>
        </is>
      </c>
      <c r="BD163" t="inlineStr">
        <is>
          <t>893716817</t>
        </is>
      </c>
    </row>
    <row r="164">
      <c r="A164" t="inlineStr">
        <is>
          <t>No</t>
        </is>
      </c>
      <c r="B164" t="inlineStr">
        <is>
          <t>DC146.D2 C54 1967</t>
        </is>
      </c>
      <c r="C164" t="inlineStr">
        <is>
          <t>0                      DC 0146000D  2                  C  54          1967</t>
        </is>
      </c>
      <c r="D164" t="inlineStr">
        <is>
          <t>Danton; a biography. Translated from the French by Peter Green.</t>
        </is>
      </c>
      <c r="F164" t="inlineStr">
        <is>
          <t>No</t>
        </is>
      </c>
      <c r="G164" t="inlineStr">
        <is>
          <t>1</t>
        </is>
      </c>
      <c r="H164" t="inlineStr">
        <is>
          <t>No</t>
        </is>
      </c>
      <c r="I164" t="inlineStr">
        <is>
          <t>No</t>
        </is>
      </c>
      <c r="J164" t="inlineStr">
        <is>
          <t>0</t>
        </is>
      </c>
      <c r="K164" t="inlineStr">
        <is>
          <t>Christophe, Robert.</t>
        </is>
      </c>
      <c r="L164" t="inlineStr">
        <is>
          <t>Garden City, N.Y., Doubleday, 1967.</t>
        </is>
      </c>
      <c r="M164" t="inlineStr">
        <is>
          <t>1967</t>
        </is>
      </c>
      <c r="N164" t="inlineStr">
        <is>
          <t>[1st ed. in the U.S.A.]</t>
        </is>
      </c>
      <c r="O164" t="inlineStr">
        <is>
          <t>eng</t>
        </is>
      </c>
      <c r="P164" t="inlineStr">
        <is>
          <t>nyu</t>
        </is>
      </c>
      <c r="R164" t="inlineStr">
        <is>
          <t xml:space="preserve">DC </t>
        </is>
      </c>
      <c r="S164" t="n">
        <v>1</v>
      </c>
      <c r="T164" t="n">
        <v>1</v>
      </c>
      <c r="U164" t="inlineStr">
        <is>
          <t>2005-11-20</t>
        </is>
      </c>
      <c r="V164" t="inlineStr">
        <is>
          <t>2005-11-20</t>
        </is>
      </c>
      <c r="W164" t="inlineStr">
        <is>
          <t>1996-11-08</t>
        </is>
      </c>
      <c r="X164" t="inlineStr">
        <is>
          <t>1996-11-08</t>
        </is>
      </c>
      <c r="Y164" t="n">
        <v>522</v>
      </c>
      <c r="Z164" t="n">
        <v>495</v>
      </c>
      <c r="AA164" t="n">
        <v>588</v>
      </c>
      <c r="AB164" t="n">
        <v>2</v>
      </c>
      <c r="AC164" t="n">
        <v>4</v>
      </c>
      <c r="AD164" t="n">
        <v>14</v>
      </c>
      <c r="AE164" t="n">
        <v>20</v>
      </c>
      <c r="AF164" t="n">
        <v>2</v>
      </c>
      <c r="AG164" t="n">
        <v>6</v>
      </c>
      <c r="AH164" t="n">
        <v>5</v>
      </c>
      <c r="AI164" t="n">
        <v>6</v>
      </c>
      <c r="AJ164" t="n">
        <v>9</v>
      </c>
      <c r="AK164" t="n">
        <v>9</v>
      </c>
      <c r="AL164" t="n">
        <v>1</v>
      </c>
      <c r="AM164" t="n">
        <v>3</v>
      </c>
      <c r="AN164" t="n">
        <v>0</v>
      </c>
      <c r="AO164" t="n">
        <v>0</v>
      </c>
      <c r="AP164" t="inlineStr">
        <is>
          <t>No</t>
        </is>
      </c>
      <c r="AQ164" t="inlineStr">
        <is>
          <t>Yes</t>
        </is>
      </c>
      <c r="AR164">
        <f>HYPERLINK("http://catalog.hathitrust.org/Record/000562585","HathiTrust Record")</f>
        <v/>
      </c>
      <c r="AS164">
        <f>HYPERLINK("https://creighton-primo.hosted.exlibrisgroup.com/primo-explore/search?tab=default_tab&amp;search_scope=EVERYTHING&amp;vid=01CRU&amp;lang=en_US&amp;offset=0&amp;query=any,contains,991002506939702656","Catalog Record")</f>
        <v/>
      </c>
      <c r="AT164">
        <f>HYPERLINK("http://www.worldcat.org/oclc/364757","WorldCat Record")</f>
        <v/>
      </c>
      <c r="AU164" t="inlineStr">
        <is>
          <t>4535534874:eng</t>
        </is>
      </c>
      <c r="AV164" t="inlineStr">
        <is>
          <t>364757</t>
        </is>
      </c>
      <c r="AW164" t="inlineStr">
        <is>
          <t>991002506939702656</t>
        </is>
      </c>
      <c r="AX164" t="inlineStr">
        <is>
          <t>991002506939702656</t>
        </is>
      </c>
      <c r="AY164" t="inlineStr">
        <is>
          <t>2265533560002656</t>
        </is>
      </c>
      <c r="AZ164" t="inlineStr">
        <is>
          <t>BOOK</t>
        </is>
      </c>
      <c r="BC164" t="inlineStr">
        <is>
          <t>32285002341880</t>
        </is>
      </c>
      <c r="BD164" t="inlineStr">
        <is>
          <t>893704159</t>
        </is>
      </c>
    </row>
    <row r="165">
      <c r="A165" t="inlineStr">
        <is>
          <t>No</t>
        </is>
      </c>
      <c r="B165" t="inlineStr">
        <is>
          <t>DC146.D2 H35 1978</t>
        </is>
      </c>
      <c r="C165" t="inlineStr">
        <is>
          <t>0                      DC 0146000D  2                  H  35          1978</t>
        </is>
      </c>
      <c r="D165" t="inlineStr">
        <is>
          <t>Danton / Norman Hampson.</t>
        </is>
      </c>
      <c r="F165" t="inlineStr">
        <is>
          <t>No</t>
        </is>
      </c>
      <c r="G165" t="inlineStr">
        <is>
          <t>1</t>
        </is>
      </c>
      <c r="H165" t="inlineStr">
        <is>
          <t>No</t>
        </is>
      </c>
      <c r="I165" t="inlineStr">
        <is>
          <t>No</t>
        </is>
      </c>
      <c r="J165" t="inlineStr">
        <is>
          <t>0</t>
        </is>
      </c>
      <c r="K165" t="inlineStr">
        <is>
          <t>Hampson, Norman.</t>
        </is>
      </c>
      <c r="L165" t="inlineStr">
        <is>
          <t>New York : Holmes &amp; Meier Publishers, 1978.</t>
        </is>
      </c>
      <c r="M165" t="inlineStr">
        <is>
          <t>1978</t>
        </is>
      </c>
      <c r="O165" t="inlineStr">
        <is>
          <t>eng</t>
        </is>
      </c>
      <c r="P165" t="inlineStr">
        <is>
          <t>nyu</t>
        </is>
      </c>
      <c r="R165" t="inlineStr">
        <is>
          <t xml:space="preserve">DC </t>
        </is>
      </c>
      <c r="S165" t="n">
        <v>1</v>
      </c>
      <c r="T165" t="n">
        <v>1</v>
      </c>
      <c r="U165" t="inlineStr">
        <is>
          <t>2005-11-20</t>
        </is>
      </c>
      <c r="V165" t="inlineStr">
        <is>
          <t>2005-11-20</t>
        </is>
      </c>
      <c r="W165" t="inlineStr">
        <is>
          <t>1990-04-20</t>
        </is>
      </c>
      <c r="X165" t="inlineStr">
        <is>
          <t>1990-04-20</t>
        </is>
      </c>
      <c r="Y165" t="n">
        <v>398</v>
      </c>
      <c r="Z165" t="n">
        <v>362</v>
      </c>
      <c r="AA165" t="n">
        <v>512</v>
      </c>
      <c r="AB165" t="n">
        <v>2</v>
      </c>
      <c r="AC165" t="n">
        <v>4</v>
      </c>
      <c r="AD165" t="n">
        <v>24</v>
      </c>
      <c r="AE165" t="n">
        <v>30</v>
      </c>
      <c r="AF165" t="n">
        <v>11</v>
      </c>
      <c r="AG165" t="n">
        <v>13</v>
      </c>
      <c r="AH165" t="n">
        <v>8</v>
      </c>
      <c r="AI165" t="n">
        <v>8</v>
      </c>
      <c r="AJ165" t="n">
        <v>13</v>
      </c>
      <c r="AK165" t="n">
        <v>17</v>
      </c>
      <c r="AL165" t="n">
        <v>1</v>
      </c>
      <c r="AM165" t="n">
        <v>3</v>
      </c>
      <c r="AN165" t="n">
        <v>0</v>
      </c>
      <c r="AO165" t="n">
        <v>0</v>
      </c>
      <c r="AP165" t="inlineStr">
        <is>
          <t>No</t>
        </is>
      </c>
      <c r="AQ165" t="inlineStr">
        <is>
          <t>Yes</t>
        </is>
      </c>
      <c r="AR165">
        <f>HYPERLINK("http://catalog.hathitrust.org/Record/000174265","HathiTrust Record")</f>
        <v/>
      </c>
      <c r="AS165">
        <f>HYPERLINK("https://creighton-primo.hosted.exlibrisgroup.com/primo-explore/search?tab=default_tab&amp;search_scope=EVERYTHING&amp;vid=01CRU&amp;lang=en_US&amp;offset=0&amp;query=any,contains,991004546719702656","Catalog Record")</f>
        <v/>
      </c>
      <c r="AT165">
        <f>HYPERLINK("http://www.worldcat.org/oclc/3915507","WorldCat Record")</f>
        <v/>
      </c>
      <c r="AU165" t="inlineStr">
        <is>
          <t>3980078201:eng</t>
        </is>
      </c>
      <c r="AV165" t="inlineStr">
        <is>
          <t>3915507</t>
        </is>
      </c>
      <c r="AW165" t="inlineStr">
        <is>
          <t>991004546719702656</t>
        </is>
      </c>
      <c r="AX165" t="inlineStr">
        <is>
          <t>991004546719702656</t>
        </is>
      </c>
      <c r="AY165" t="inlineStr">
        <is>
          <t>2261766210002656</t>
        </is>
      </c>
      <c r="AZ165" t="inlineStr">
        <is>
          <t>BOOK</t>
        </is>
      </c>
      <c r="BB165" t="inlineStr">
        <is>
          <t>9780841904088</t>
        </is>
      </c>
      <c r="BC165" t="inlineStr">
        <is>
          <t>32285000123983</t>
        </is>
      </c>
      <c r="BD165" t="inlineStr">
        <is>
          <t>893901357</t>
        </is>
      </c>
    </row>
    <row r="166">
      <c r="A166" t="inlineStr">
        <is>
          <t>No</t>
        </is>
      </c>
      <c r="B166" t="inlineStr">
        <is>
          <t>DC146.R6 G3515 1970</t>
        </is>
      </c>
      <c r="C166" t="inlineStr">
        <is>
          <t>0                      DC 0146000R  6                  G  3515        1970</t>
        </is>
      </c>
      <c r="D166" t="inlineStr">
        <is>
          <t>Robespierre : die Geschichte einer grossen Einsamkeit / Max Gallo.</t>
        </is>
      </c>
      <c r="F166" t="inlineStr">
        <is>
          <t>No</t>
        </is>
      </c>
      <c r="G166" t="inlineStr">
        <is>
          <t>1</t>
        </is>
      </c>
      <c r="H166" t="inlineStr">
        <is>
          <t>No</t>
        </is>
      </c>
      <c r="I166" t="inlineStr">
        <is>
          <t>No</t>
        </is>
      </c>
      <c r="J166" t="inlineStr">
        <is>
          <t>0</t>
        </is>
      </c>
      <c r="K166" t="inlineStr">
        <is>
          <t>Gallo, Max, 1932-2017.</t>
        </is>
      </c>
      <c r="L166" t="inlineStr">
        <is>
          <t>[Oldenburg] : Stalling, [1970]</t>
        </is>
      </c>
      <c r="M166" t="inlineStr">
        <is>
          <t>1970</t>
        </is>
      </c>
      <c r="O166" t="inlineStr">
        <is>
          <t>ger</t>
        </is>
      </c>
      <c r="P166" t="inlineStr">
        <is>
          <t xml:space="preserve">gw </t>
        </is>
      </c>
      <c r="R166" t="inlineStr">
        <is>
          <t xml:space="preserve">DC </t>
        </is>
      </c>
      <c r="S166" t="n">
        <v>3</v>
      </c>
      <c r="T166" t="n">
        <v>3</v>
      </c>
      <c r="U166" t="inlineStr">
        <is>
          <t>2003-04-08</t>
        </is>
      </c>
      <c r="V166" t="inlineStr">
        <is>
          <t>2003-04-08</t>
        </is>
      </c>
      <c r="W166" t="inlineStr">
        <is>
          <t>1993-11-22</t>
        </is>
      </c>
      <c r="X166" t="inlineStr">
        <is>
          <t>1993-11-22</t>
        </is>
      </c>
      <c r="Y166" t="n">
        <v>6</v>
      </c>
      <c r="Z166" t="n">
        <v>5</v>
      </c>
      <c r="AA166" t="n">
        <v>5</v>
      </c>
      <c r="AB166" t="n">
        <v>1</v>
      </c>
      <c r="AC166" t="n">
        <v>1</v>
      </c>
      <c r="AD166" t="n">
        <v>0</v>
      </c>
      <c r="AE166" t="n">
        <v>0</v>
      </c>
      <c r="AF166" t="n">
        <v>0</v>
      </c>
      <c r="AG166" t="n">
        <v>0</v>
      </c>
      <c r="AH166" t="n">
        <v>0</v>
      </c>
      <c r="AI166" t="n">
        <v>0</v>
      </c>
      <c r="AJ166" t="n">
        <v>0</v>
      </c>
      <c r="AK166" t="n">
        <v>0</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HYPERLINK("https://creighton-primo.hosted.exlibrisgroup.com/primo-explore/search?tab=default_tab&amp;search_scope=EVERYTHING&amp;vid=01CRU&amp;lang=en_US&amp;offset=0&amp;query=any,contains,991001304019702656","Catalog Record")</f>
        <v/>
      </c>
      <c r="AT166">
        <f>HYPERLINK("http://www.worldcat.org/oclc/18091039","WorldCat Record")</f>
        <v/>
      </c>
      <c r="AU166" t="inlineStr">
        <is>
          <t>2452461657:ger</t>
        </is>
      </c>
      <c r="AV166" t="inlineStr">
        <is>
          <t>18091039</t>
        </is>
      </c>
      <c r="AW166" t="inlineStr">
        <is>
          <t>991001304019702656</t>
        </is>
      </c>
      <c r="AX166" t="inlineStr">
        <is>
          <t>991001304019702656</t>
        </is>
      </c>
      <c r="AY166" t="inlineStr">
        <is>
          <t>2263331020002656</t>
        </is>
      </c>
      <c r="AZ166" t="inlineStr">
        <is>
          <t>BOOK</t>
        </is>
      </c>
      <c r="BC166" t="inlineStr">
        <is>
          <t>32285001802536</t>
        </is>
      </c>
      <c r="BD166" t="inlineStr">
        <is>
          <t>893614966</t>
        </is>
      </c>
    </row>
    <row r="167">
      <c r="A167" t="inlineStr">
        <is>
          <t>No</t>
        </is>
      </c>
      <c r="B167" t="inlineStr">
        <is>
          <t>DC146.R7 A26</t>
        </is>
      </c>
      <c r="C167" t="inlineStr">
        <is>
          <t>0                      DC 0146000R  7                  A  26</t>
        </is>
      </c>
      <c r="D167" t="inlineStr">
        <is>
          <t>The private memoirs of Madame Roland; edited with an introduction by Edward Gilpin Johnson.</t>
        </is>
      </c>
      <c r="F167" t="inlineStr">
        <is>
          <t>No</t>
        </is>
      </c>
      <c r="G167" t="inlineStr">
        <is>
          <t>1</t>
        </is>
      </c>
      <c r="H167" t="inlineStr">
        <is>
          <t>No</t>
        </is>
      </c>
      <c r="I167" t="inlineStr">
        <is>
          <t>No</t>
        </is>
      </c>
      <c r="J167" t="inlineStr">
        <is>
          <t>0</t>
        </is>
      </c>
      <c r="K167" t="inlineStr">
        <is>
          <t>Roland, Madame, 1754-1793.</t>
        </is>
      </c>
      <c r="L167" t="inlineStr">
        <is>
          <t>Chicago, A. C. McClurg &amp; co. 1900.</t>
        </is>
      </c>
      <c r="M167" t="inlineStr">
        <is>
          <t>1900</t>
        </is>
      </c>
      <c r="O167" t="inlineStr">
        <is>
          <t>eng</t>
        </is>
      </c>
      <c r="P167" t="inlineStr">
        <is>
          <t>ilu</t>
        </is>
      </c>
      <c r="R167" t="inlineStr">
        <is>
          <t xml:space="preserve">DC </t>
        </is>
      </c>
      <c r="S167" t="n">
        <v>2</v>
      </c>
      <c r="T167" t="n">
        <v>2</v>
      </c>
      <c r="U167" t="inlineStr">
        <is>
          <t>2000-04-16</t>
        </is>
      </c>
      <c r="V167" t="inlineStr">
        <is>
          <t>2000-04-16</t>
        </is>
      </c>
      <c r="W167" t="inlineStr">
        <is>
          <t>1996-11-08</t>
        </is>
      </c>
      <c r="X167" t="inlineStr">
        <is>
          <t>1996-11-08</t>
        </is>
      </c>
      <c r="Y167" t="n">
        <v>118</v>
      </c>
      <c r="Z167" t="n">
        <v>118</v>
      </c>
      <c r="AA167" t="n">
        <v>435</v>
      </c>
      <c r="AB167" t="n">
        <v>2</v>
      </c>
      <c r="AC167" t="n">
        <v>3</v>
      </c>
      <c r="AD167" t="n">
        <v>5</v>
      </c>
      <c r="AE167" t="n">
        <v>23</v>
      </c>
      <c r="AF167" t="n">
        <v>1</v>
      </c>
      <c r="AG167" t="n">
        <v>6</v>
      </c>
      <c r="AH167" t="n">
        <v>1</v>
      </c>
      <c r="AI167" t="n">
        <v>7</v>
      </c>
      <c r="AJ167" t="n">
        <v>2</v>
      </c>
      <c r="AK167" t="n">
        <v>16</v>
      </c>
      <c r="AL167" t="n">
        <v>1</v>
      </c>
      <c r="AM167" t="n">
        <v>1</v>
      </c>
      <c r="AN167" t="n">
        <v>0</v>
      </c>
      <c r="AO167" t="n">
        <v>0</v>
      </c>
      <c r="AP167" t="inlineStr">
        <is>
          <t>Yes</t>
        </is>
      </c>
      <c r="AQ167" t="inlineStr">
        <is>
          <t>No</t>
        </is>
      </c>
      <c r="AR167">
        <f>HYPERLINK("http://catalog.hathitrust.org/Record/005895850","HathiTrust Record")</f>
        <v/>
      </c>
      <c r="AS167">
        <f>HYPERLINK("https://creighton-primo.hosted.exlibrisgroup.com/primo-explore/search?tab=default_tab&amp;search_scope=EVERYTHING&amp;vid=01CRU&amp;lang=en_US&amp;offset=0&amp;query=any,contains,991003487959702656","Catalog Record")</f>
        <v/>
      </c>
      <c r="AT167">
        <f>HYPERLINK("http://www.worldcat.org/oclc/1036119","WorldCat Record")</f>
        <v/>
      </c>
      <c r="AU167" t="inlineStr">
        <is>
          <t>4160598479:eng</t>
        </is>
      </c>
      <c r="AV167" t="inlineStr">
        <is>
          <t>1036119</t>
        </is>
      </c>
      <c r="AW167" t="inlineStr">
        <is>
          <t>991003487959702656</t>
        </is>
      </c>
      <c r="AX167" t="inlineStr">
        <is>
          <t>991003487959702656</t>
        </is>
      </c>
      <c r="AY167" t="inlineStr">
        <is>
          <t>2262700570002656</t>
        </is>
      </c>
      <c r="AZ167" t="inlineStr">
        <is>
          <t>BOOK</t>
        </is>
      </c>
      <c r="BC167" t="inlineStr">
        <is>
          <t>32285002342144</t>
        </is>
      </c>
      <c r="BD167" t="inlineStr">
        <is>
          <t>893787372</t>
        </is>
      </c>
    </row>
    <row r="168">
      <c r="A168" t="inlineStr">
        <is>
          <t>No</t>
        </is>
      </c>
      <c r="B168" t="inlineStr">
        <is>
          <t>DC146.R7 M32</t>
        </is>
      </c>
      <c r="C168" t="inlineStr">
        <is>
          <t>0                      DC 0146000R  7                  M  32</t>
        </is>
      </c>
      <c r="D168" t="inlineStr">
        <is>
          <t>Madame Roland and the age of Revolution.</t>
        </is>
      </c>
      <c r="F168" t="inlineStr">
        <is>
          <t>No</t>
        </is>
      </c>
      <c r="G168" t="inlineStr">
        <is>
          <t>1</t>
        </is>
      </c>
      <c r="H168" t="inlineStr">
        <is>
          <t>No</t>
        </is>
      </c>
      <c r="I168" t="inlineStr">
        <is>
          <t>No</t>
        </is>
      </c>
      <c r="J168" t="inlineStr">
        <is>
          <t>0</t>
        </is>
      </c>
      <c r="K168" t="inlineStr">
        <is>
          <t>May, Gita.</t>
        </is>
      </c>
      <c r="L168" t="inlineStr">
        <is>
          <t>New York, Columbia University Press, 1970.</t>
        </is>
      </c>
      <c r="M168" t="inlineStr">
        <is>
          <t>1970</t>
        </is>
      </c>
      <c r="O168" t="inlineStr">
        <is>
          <t>eng</t>
        </is>
      </c>
      <c r="P168" t="inlineStr">
        <is>
          <t>nyu</t>
        </is>
      </c>
      <c r="R168" t="inlineStr">
        <is>
          <t xml:space="preserve">DC </t>
        </is>
      </c>
      <c r="S168" t="n">
        <v>2</v>
      </c>
      <c r="T168" t="n">
        <v>2</v>
      </c>
      <c r="U168" t="inlineStr">
        <is>
          <t>2000-04-16</t>
        </is>
      </c>
      <c r="V168" t="inlineStr">
        <is>
          <t>2000-04-16</t>
        </is>
      </c>
      <c r="W168" t="inlineStr">
        <is>
          <t>1996-11-08</t>
        </is>
      </c>
      <c r="X168" t="inlineStr">
        <is>
          <t>1996-11-08</t>
        </is>
      </c>
      <c r="Y168" t="n">
        <v>854</v>
      </c>
      <c r="Z168" t="n">
        <v>737</v>
      </c>
      <c r="AA168" t="n">
        <v>743</v>
      </c>
      <c r="AB168" t="n">
        <v>7</v>
      </c>
      <c r="AC168" t="n">
        <v>7</v>
      </c>
      <c r="AD168" t="n">
        <v>35</v>
      </c>
      <c r="AE168" t="n">
        <v>35</v>
      </c>
      <c r="AF168" t="n">
        <v>14</v>
      </c>
      <c r="AG168" t="n">
        <v>14</v>
      </c>
      <c r="AH168" t="n">
        <v>9</v>
      </c>
      <c r="AI168" t="n">
        <v>9</v>
      </c>
      <c r="AJ168" t="n">
        <v>16</v>
      </c>
      <c r="AK168" t="n">
        <v>16</v>
      </c>
      <c r="AL168" t="n">
        <v>5</v>
      </c>
      <c r="AM168" t="n">
        <v>5</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HYPERLINK("https://creighton-primo.hosted.exlibrisgroup.com/primo-explore/search?tab=default_tab&amp;search_scope=EVERYTHING&amp;vid=01CRU&amp;lang=en_US&amp;offset=0&amp;query=any,contains,991000144009702656","Catalog Record")</f>
        <v/>
      </c>
      <c r="AT168">
        <f>HYPERLINK("http://www.worldcat.org/oclc/58527","WorldCat Record")</f>
        <v/>
      </c>
      <c r="AU168" t="inlineStr">
        <is>
          <t>419739:eng</t>
        </is>
      </c>
      <c r="AV168" t="inlineStr">
        <is>
          <t>58527</t>
        </is>
      </c>
      <c r="AW168" t="inlineStr">
        <is>
          <t>991000144009702656</t>
        </is>
      </c>
      <c r="AX168" t="inlineStr">
        <is>
          <t>991000144009702656</t>
        </is>
      </c>
      <c r="AY168" t="inlineStr">
        <is>
          <t>2260091180002656</t>
        </is>
      </c>
      <c r="AZ168" t="inlineStr">
        <is>
          <t>BOOK</t>
        </is>
      </c>
      <c r="BB168" t="inlineStr">
        <is>
          <t>9780231033794</t>
        </is>
      </c>
      <c r="BC168" t="inlineStr">
        <is>
          <t>32285002342177</t>
        </is>
      </c>
      <c r="BD168" t="inlineStr">
        <is>
          <t>893701876</t>
        </is>
      </c>
    </row>
    <row r="169">
      <c r="A169" t="inlineStr">
        <is>
          <t>No</t>
        </is>
      </c>
      <c r="B169" t="inlineStr">
        <is>
          <t>DC146.S135 B7</t>
        </is>
      </c>
      <c r="C169" t="inlineStr">
        <is>
          <t>0                      DC 0146000S  135                B  7</t>
        </is>
      </c>
      <c r="D169" t="inlineStr">
        <is>
          <t>Saint-Just, apostle of the terror, by Geoffrey Bruun ...</t>
        </is>
      </c>
      <c r="F169" t="inlineStr">
        <is>
          <t>No</t>
        </is>
      </c>
      <c r="G169" t="inlineStr">
        <is>
          <t>1</t>
        </is>
      </c>
      <c r="H169" t="inlineStr">
        <is>
          <t>No</t>
        </is>
      </c>
      <c r="I169" t="inlineStr">
        <is>
          <t>No</t>
        </is>
      </c>
      <c r="J169" t="inlineStr">
        <is>
          <t>0</t>
        </is>
      </c>
      <c r="K169" t="inlineStr">
        <is>
          <t>Bruun, Geoffrey, 1898-1988.</t>
        </is>
      </c>
      <c r="L169" t="inlineStr">
        <is>
          <t>Boston, New York, Houghton Mifflin Company, 1932.</t>
        </is>
      </c>
      <c r="M169" t="inlineStr">
        <is>
          <t>1932</t>
        </is>
      </c>
      <c r="O169" t="inlineStr">
        <is>
          <t>eng</t>
        </is>
      </c>
      <c r="P169" t="inlineStr">
        <is>
          <t>mau</t>
        </is>
      </c>
      <c r="R169" t="inlineStr">
        <is>
          <t xml:space="preserve">DC </t>
        </is>
      </c>
      <c r="S169" t="n">
        <v>2</v>
      </c>
      <c r="T169" t="n">
        <v>2</v>
      </c>
      <c r="U169" t="inlineStr">
        <is>
          <t>2003-04-08</t>
        </is>
      </c>
      <c r="V169" t="inlineStr">
        <is>
          <t>2003-04-08</t>
        </is>
      </c>
      <c r="W169" t="inlineStr">
        <is>
          <t>1996-11-08</t>
        </is>
      </c>
      <c r="X169" t="inlineStr">
        <is>
          <t>1996-11-08</t>
        </is>
      </c>
      <c r="Y169" t="n">
        <v>299</v>
      </c>
      <c r="Z169" t="n">
        <v>284</v>
      </c>
      <c r="AA169" t="n">
        <v>672</v>
      </c>
      <c r="AB169" t="n">
        <v>4</v>
      </c>
      <c r="AC169" t="n">
        <v>8</v>
      </c>
      <c r="AD169" t="n">
        <v>21</v>
      </c>
      <c r="AE169" t="n">
        <v>38</v>
      </c>
      <c r="AF169" t="n">
        <v>7</v>
      </c>
      <c r="AG169" t="n">
        <v>13</v>
      </c>
      <c r="AH169" t="n">
        <v>5</v>
      </c>
      <c r="AI169" t="n">
        <v>8</v>
      </c>
      <c r="AJ169" t="n">
        <v>11</v>
      </c>
      <c r="AK169" t="n">
        <v>18</v>
      </c>
      <c r="AL169" t="n">
        <v>3</v>
      </c>
      <c r="AM169" t="n">
        <v>7</v>
      </c>
      <c r="AN169" t="n">
        <v>0</v>
      </c>
      <c r="AO169" t="n">
        <v>0</v>
      </c>
      <c r="AP169" t="inlineStr">
        <is>
          <t>No</t>
        </is>
      </c>
      <c r="AQ169" t="inlineStr">
        <is>
          <t>Yes</t>
        </is>
      </c>
      <c r="AR169">
        <f>HYPERLINK("http://catalog.hathitrust.org/Record/000606770","HathiTrust Record")</f>
        <v/>
      </c>
      <c r="AS169">
        <f>HYPERLINK("https://creighton-primo.hosted.exlibrisgroup.com/primo-explore/search?tab=default_tab&amp;search_scope=EVERYTHING&amp;vid=01CRU&amp;lang=en_US&amp;offset=0&amp;query=any,contains,991001368669702656","Catalog Record")</f>
        <v/>
      </c>
      <c r="AT169">
        <f>HYPERLINK("http://www.worldcat.org/oclc/222843","WorldCat Record")</f>
        <v/>
      </c>
      <c r="AU169" t="inlineStr">
        <is>
          <t>376212034:eng</t>
        </is>
      </c>
      <c r="AV169" t="inlineStr">
        <is>
          <t>222843</t>
        </is>
      </c>
      <c r="AW169" t="inlineStr">
        <is>
          <t>991001368669702656</t>
        </is>
      </c>
      <c r="AX169" t="inlineStr">
        <is>
          <t>991001368669702656</t>
        </is>
      </c>
      <c r="AY169" t="inlineStr">
        <is>
          <t>2261905890002656</t>
        </is>
      </c>
      <c r="AZ169" t="inlineStr">
        <is>
          <t>BOOK</t>
        </is>
      </c>
      <c r="BC169" t="inlineStr">
        <is>
          <t>32285002342185</t>
        </is>
      </c>
      <c r="BD169" t="inlineStr">
        <is>
          <t>893346439</t>
        </is>
      </c>
    </row>
    <row r="170">
      <c r="A170" t="inlineStr">
        <is>
          <t>No</t>
        </is>
      </c>
      <c r="B170" t="inlineStr">
        <is>
          <t>DC146.S135 C8 1973</t>
        </is>
      </c>
      <c r="C170" t="inlineStr">
        <is>
          <t>0                      DC 0146000S  135                C  8           1973</t>
        </is>
      </c>
      <c r="D170" t="inlineStr">
        <is>
          <t>Saint-Just, colleague of Robespierre.</t>
        </is>
      </c>
      <c r="F170" t="inlineStr">
        <is>
          <t>No</t>
        </is>
      </c>
      <c r="G170" t="inlineStr">
        <is>
          <t>1</t>
        </is>
      </c>
      <c r="H170" t="inlineStr">
        <is>
          <t>No</t>
        </is>
      </c>
      <c r="I170" t="inlineStr">
        <is>
          <t>No</t>
        </is>
      </c>
      <c r="J170" t="inlineStr">
        <is>
          <t>0</t>
        </is>
      </c>
      <c r="K170" t="inlineStr">
        <is>
          <t>Curtis, Eugene Newton, 1880-1944.</t>
        </is>
      </c>
      <c r="L170" t="inlineStr">
        <is>
          <t>New York, Octagon Books, 1973 [c1935]</t>
        </is>
      </c>
      <c r="M170" t="inlineStr">
        <is>
          <t>1973</t>
        </is>
      </c>
      <c r="O170" t="inlineStr">
        <is>
          <t>eng</t>
        </is>
      </c>
      <c r="P170" t="inlineStr">
        <is>
          <t>nyu</t>
        </is>
      </c>
      <c r="R170" t="inlineStr">
        <is>
          <t xml:space="preserve">DC </t>
        </is>
      </c>
      <c r="S170" t="n">
        <v>2</v>
      </c>
      <c r="T170" t="n">
        <v>2</v>
      </c>
      <c r="U170" t="inlineStr">
        <is>
          <t>2003-04-08</t>
        </is>
      </c>
      <c r="V170" t="inlineStr">
        <is>
          <t>2003-04-08</t>
        </is>
      </c>
      <c r="W170" t="inlineStr">
        <is>
          <t>1996-11-08</t>
        </is>
      </c>
      <c r="X170" t="inlineStr">
        <is>
          <t>1996-11-08</t>
        </is>
      </c>
      <c r="Y170" t="n">
        <v>210</v>
      </c>
      <c r="Z170" t="n">
        <v>185</v>
      </c>
      <c r="AA170" t="n">
        <v>478</v>
      </c>
      <c r="AB170" t="n">
        <v>1</v>
      </c>
      <c r="AC170" t="n">
        <v>4</v>
      </c>
      <c r="AD170" t="n">
        <v>8</v>
      </c>
      <c r="AE170" t="n">
        <v>30</v>
      </c>
      <c r="AF170" t="n">
        <v>3</v>
      </c>
      <c r="AG170" t="n">
        <v>11</v>
      </c>
      <c r="AH170" t="n">
        <v>4</v>
      </c>
      <c r="AI170" t="n">
        <v>9</v>
      </c>
      <c r="AJ170" t="n">
        <v>5</v>
      </c>
      <c r="AK170" t="n">
        <v>17</v>
      </c>
      <c r="AL170" t="n">
        <v>0</v>
      </c>
      <c r="AM170" t="n">
        <v>3</v>
      </c>
      <c r="AN170" t="n">
        <v>0</v>
      </c>
      <c r="AO170" t="n">
        <v>0</v>
      </c>
      <c r="AP170" t="inlineStr">
        <is>
          <t>No</t>
        </is>
      </c>
      <c r="AQ170" t="inlineStr">
        <is>
          <t>Yes</t>
        </is>
      </c>
      <c r="AR170">
        <f>HYPERLINK("http://catalog.hathitrust.org/Record/004406183","HathiTrust Record")</f>
        <v/>
      </c>
      <c r="AS170">
        <f>HYPERLINK("https://creighton-primo.hosted.exlibrisgroup.com/primo-explore/search?tab=default_tab&amp;search_scope=EVERYTHING&amp;vid=01CRU&amp;lang=en_US&amp;offset=0&amp;query=any,contains,991003161959702656","Catalog Record")</f>
        <v/>
      </c>
      <c r="AT170">
        <f>HYPERLINK("http://www.worldcat.org/oclc/700781","WorldCat Record")</f>
        <v/>
      </c>
      <c r="AU170" t="inlineStr">
        <is>
          <t>451115:eng</t>
        </is>
      </c>
      <c r="AV170" t="inlineStr">
        <is>
          <t>700781</t>
        </is>
      </c>
      <c r="AW170" t="inlineStr">
        <is>
          <t>991003161959702656</t>
        </is>
      </c>
      <c r="AX170" t="inlineStr">
        <is>
          <t>991003161959702656</t>
        </is>
      </c>
      <c r="AY170" t="inlineStr">
        <is>
          <t>2255461420002656</t>
        </is>
      </c>
      <c r="AZ170" t="inlineStr">
        <is>
          <t>BOOK</t>
        </is>
      </c>
      <c r="BB170" t="inlineStr">
        <is>
          <t>9780374920104</t>
        </is>
      </c>
      <c r="BC170" t="inlineStr">
        <is>
          <t>32285002342201</t>
        </is>
      </c>
      <c r="BD170" t="inlineStr">
        <is>
          <t>893498995</t>
        </is>
      </c>
    </row>
    <row r="171">
      <c r="A171" t="inlineStr">
        <is>
          <t>No</t>
        </is>
      </c>
      <c r="B171" t="inlineStr">
        <is>
          <t>DC146.S135 H36 1991</t>
        </is>
      </c>
      <c r="C171" t="inlineStr">
        <is>
          <t>0                      DC 0146000S  135                H  36          1991</t>
        </is>
      </c>
      <c r="D171" t="inlineStr">
        <is>
          <t>Saint-Just / Norman Hampson.</t>
        </is>
      </c>
      <c r="F171" t="inlineStr">
        <is>
          <t>No</t>
        </is>
      </c>
      <c r="G171" t="inlineStr">
        <is>
          <t>1</t>
        </is>
      </c>
      <c r="H171" t="inlineStr">
        <is>
          <t>No</t>
        </is>
      </c>
      <c r="I171" t="inlineStr">
        <is>
          <t>No</t>
        </is>
      </c>
      <c r="J171" t="inlineStr">
        <is>
          <t>0</t>
        </is>
      </c>
      <c r="K171" t="inlineStr">
        <is>
          <t>Hampson, Norman.</t>
        </is>
      </c>
      <c r="L171" t="inlineStr">
        <is>
          <t>Oxford, UK ; Cambridge, Mass., USA : Blackwell, 1991.</t>
        </is>
      </c>
      <c r="M171" t="inlineStr">
        <is>
          <t>1991</t>
        </is>
      </c>
      <c r="O171" t="inlineStr">
        <is>
          <t>eng</t>
        </is>
      </c>
      <c r="P171" t="inlineStr">
        <is>
          <t>enk</t>
        </is>
      </c>
      <c r="R171" t="inlineStr">
        <is>
          <t xml:space="preserve">DC </t>
        </is>
      </c>
      <c r="S171" t="n">
        <v>3</v>
      </c>
      <c r="T171" t="n">
        <v>3</v>
      </c>
      <c r="U171" t="inlineStr">
        <is>
          <t>2003-04-08</t>
        </is>
      </c>
      <c r="V171" t="inlineStr">
        <is>
          <t>2003-04-08</t>
        </is>
      </c>
      <c r="W171" t="inlineStr">
        <is>
          <t>1991-05-01</t>
        </is>
      </c>
      <c r="X171" t="inlineStr">
        <is>
          <t>1991-05-01</t>
        </is>
      </c>
      <c r="Y171" t="n">
        <v>517</v>
      </c>
      <c r="Z171" t="n">
        <v>366</v>
      </c>
      <c r="AA171" t="n">
        <v>371</v>
      </c>
      <c r="AB171" t="n">
        <v>1</v>
      </c>
      <c r="AC171" t="n">
        <v>1</v>
      </c>
      <c r="AD171" t="n">
        <v>24</v>
      </c>
      <c r="AE171" t="n">
        <v>24</v>
      </c>
      <c r="AF171" t="n">
        <v>11</v>
      </c>
      <c r="AG171" t="n">
        <v>11</v>
      </c>
      <c r="AH171" t="n">
        <v>7</v>
      </c>
      <c r="AI171" t="n">
        <v>7</v>
      </c>
      <c r="AJ171" t="n">
        <v>15</v>
      </c>
      <c r="AK171" t="n">
        <v>15</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HYPERLINK("https://creighton-primo.hosted.exlibrisgroup.com/primo-explore/search?tab=default_tab&amp;search_scope=EVERYTHING&amp;vid=01CRU&amp;lang=en_US&amp;offset=0&amp;query=any,contains,991001726019702656","Catalog Record")</f>
        <v/>
      </c>
      <c r="AT171">
        <f>HYPERLINK("http://www.worldcat.org/oclc/21876375","WorldCat Record")</f>
        <v/>
      </c>
      <c r="AU171" t="inlineStr">
        <is>
          <t>3943506534:eng</t>
        </is>
      </c>
      <c r="AV171" t="inlineStr">
        <is>
          <t>21876375</t>
        </is>
      </c>
      <c r="AW171" t="inlineStr">
        <is>
          <t>991001726019702656</t>
        </is>
      </c>
      <c r="AX171" t="inlineStr">
        <is>
          <t>991001726019702656</t>
        </is>
      </c>
      <c r="AY171" t="inlineStr">
        <is>
          <t>2267390150002656</t>
        </is>
      </c>
      <c r="AZ171" t="inlineStr">
        <is>
          <t>BOOK</t>
        </is>
      </c>
      <c r="BB171" t="inlineStr">
        <is>
          <t>9780631162339</t>
        </is>
      </c>
      <c r="BC171" t="inlineStr">
        <is>
          <t>32285000570662</t>
        </is>
      </c>
      <c r="BD171" t="inlineStr">
        <is>
          <t>893226063</t>
        </is>
      </c>
    </row>
    <row r="172">
      <c r="A172" t="inlineStr">
        <is>
          <t>No</t>
        </is>
      </c>
      <c r="B172" t="inlineStr">
        <is>
          <t>DC147 .H57 1985</t>
        </is>
      </c>
      <c r="C172" t="inlineStr">
        <is>
          <t>0                      DC 0147000H  57          1985</t>
        </is>
      </c>
      <c r="D172" t="inlineStr">
        <is>
          <t>Historical dictionary of the French Revolution 1789-1799 / edited by Samuel F. Scott and Barry Rothaus.</t>
        </is>
      </c>
      <c r="E172" t="inlineStr">
        <is>
          <t>V.2</t>
        </is>
      </c>
      <c r="F172" t="inlineStr">
        <is>
          <t>Yes</t>
        </is>
      </c>
      <c r="G172" t="inlineStr">
        <is>
          <t>1</t>
        </is>
      </c>
      <c r="H172" t="inlineStr">
        <is>
          <t>No</t>
        </is>
      </c>
      <c r="I172" t="inlineStr">
        <is>
          <t>No</t>
        </is>
      </c>
      <c r="J172" t="inlineStr">
        <is>
          <t>0</t>
        </is>
      </c>
      <c r="L172" t="inlineStr">
        <is>
          <t>Westport, Conn. : Greenwood Press, c1985.</t>
        </is>
      </c>
      <c r="M172" t="inlineStr">
        <is>
          <t>1984</t>
        </is>
      </c>
      <c r="O172" t="inlineStr">
        <is>
          <t>eng</t>
        </is>
      </c>
      <c r="P172" t="inlineStr">
        <is>
          <t>ctu</t>
        </is>
      </c>
      <c r="R172" t="inlineStr">
        <is>
          <t xml:space="preserve">DC </t>
        </is>
      </c>
      <c r="S172" t="n">
        <v>2</v>
      </c>
      <c r="T172" t="n">
        <v>4</v>
      </c>
      <c r="V172" t="inlineStr">
        <is>
          <t>1994-03-13</t>
        </is>
      </c>
      <c r="W172" t="inlineStr">
        <is>
          <t>1990-04-25</t>
        </is>
      </c>
      <c r="X172" t="inlineStr">
        <is>
          <t>1990-04-25</t>
        </is>
      </c>
      <c r="Y172" t="n">
        <v>675</v>
      </c>
      <c r="Z172" t="n">
        <v>570</v>
      </c>
      <c r="AA172" t="n">
        <v>599</v>
      </c>
      <c r="AB172" t="n">
        <v>4</v>
      </c>
      <c r="AC172" t="n">
        <v>4</v>
      </c>
      <c r="AD172" t="n">
        <v>30</v>
      </c>
      <c r="AE172" t="n">
        <v>30</v>
      </c>
      <c r="AF172" t="n">
        <v>11</v>
      </c>
      <c r="AG172" t="n">
        <v>11</v>
      </c>
      <c r="AH172" t="n">
        <v>9</v>
      </c>
      <c r="AI172" t="n">
        <v>9</v>
      </c>
      <c r="AJ172" t="n">
        <v>16</v>
      </c>
      <c r="AK172" t="n">
        <v>16</v>
      </c>
      <c r="AL172" t="n">
        <v>2</v>
      </c>
      <c r="AM172" t="n">
        <v>2</v>
      </c>
      <c r="AN172" t="n">
        <v>0</v>
      </c>
      <c r="AO172" t="n">
        <v>0</v>
      </c>
      <c r="AP172" t="inlineStr">
        <is>
          <t>No</t>
        </is>
      </c>
      <c r="AQ172" t="inlineStr">
        <is>
          <t>Yes</t>
        </is>
      </c>
      <c r="AR172">
        <f>HYPERLINK("http://catalog.hathitrust.org/Record/000610870","HathiTrust Record")</f>
        <v/>
      </c>
      <c r="AS172">
        <f>HYPERLINK("https://creighton-primo.hosted.exlibrisgroup.com/primo-explore/search?tab=default_tab&amp;search_scope=EVERYTHING&amp;vid=01CRU&amp;lang=en_US&amp;offset=0&amp;query=any,contains,991000285719702656","Catalog Record")</f>
        <v/>
      </c>
      <c r="AT172">
        <f>HYPERLINK("http://www.worldcat.org/oclc/9943733","WorldCat Record")</f>
        <v/>
      </c>
      <c r="AU172" t="inlineStr">
        <is>
          <t>365138173:eng</t>
        </is>
      </c>
      <c r="AV172" t="inlineStr">
        <is>
          <t>9943733</t>
        </is>
      </c>
      <c r="AW172" t="inlineStr">
        <is>
          <t>991000285719702656</t>
        </is>
      </c>
      <c r="AX172" t="inlineStr">
        <is>
          <t>991000285719702656</t>
        </is>
      </c>
      <c r="AY172" t="inlineStr">
        <is>
          <t>2260814820002656</t>
        </is>
      </c>
      <c r="AZ172" t="inlineStr">
        <is>
          <t>BOOK</t>
        </is>
      </c>
      <c r="BB172" t="inlineStr">
        <is>
          <t>9780313248054</t>
        </is>
      </c>
      <c r="BC172" t="inlineStr">
        <is>
          <t>32285000132463</t>
        </is>
      </c>
      <c r="BD172" t="inlineStr">
        <is>
          <t>893224881</t>
        </is>
      </c>
    </row>
    <row r="173">
      <c r="A173" t="inlineStr">
        <is>
          <t>No</t>
        </is>
      </c>
      <c r="B173" t="inlineStr">
        <is>
          <t>DC147 .H57 1985</t>
        </is>
      </c>
      <c r="C173" t="inlineStr">
        <is>
          <t>0                      DC 0147000H  57          1985</t>
        </is>
      </c>
      <c r="D173" t="inlineStr">
        <is>
          <t>Historical dictionary of the French Revolution 1789-1799 / edited by Samuel F. Scott and Barry Rothaus.</t>
        </is>
      </c>
      <c r="E173" t="inlineStr">
        <is>
          <t>V.1</t>
        </is>
      </c>
      <c r="F173" t="inlineStr">
        <is>
          <t>Yes</t>
        </is>
      </c>
      <c r="G173" t="inlineStr">
        <is>
          <t>1</t>
        </is>
      </c>
      <c r="H173" t="inlineStr">
        <is>
          <t>No</t>
        </is>
      </c>
      <c r="I173" t="inlineStr">
        <is>
          <t>No</t>
        </is>
      </c>
      <c r="J173" t="inlineStr">
        <is>
          <t>0</t>
        </is>
      </c>
      <c r="L173" t="inlineStr">
        <is>
          <t>Westport, Conn. : Greenwood Press, c1985.</t>
        </is>
      </c>
      <c r="M173" t="inlineStr">
        <is>
          <t>1984</t>
        </is>
      </c>
      <c r="O173" t="inlineStr">
        <is>
          <t>eng</t>
        </is>
      </c>
      <c r="P173" t="inlineStr">
        <is>
          <t>ctu</t>
        </is>
      </c>
      <c r="R173" t="inlineStr">
        <is>
          <t xml:space="preserve">DC </t>
        </is>
      </c>
      <c r="S173" t="n">
        <v>2</v>
      </c>
      <c r="T173" t="n">
        <v>4</v>
      </c>
      <c r="U173" t="inlineStr">
        <is>
          <t>1994-03-13</t>
        </is>
      </c>
      <c r="V173" t="inlineStr">
        <is>
          <t>1994-03-13</t>
        </is>
      </c>
      <c r="W173" t="inlineStr">
        <is>
          <t>1990-03-21</t>
        </is>
      </c>
      <c r="X173" t="inlineStr">
        <is>
          <t>1990-04-25</t>
        </is>
      </c>
      <c r="Y173" t="n">
        <v>675</v>
      </c>
      <c r="Z173" t="n">
        <v>570</v>
      </c>
      <c r="AA173" t="n">
        <v>599</v>
      </c>
      <c r="AB173" t="n">
        <v>4</v>
      </c>
      <c r="AC173" t="n">
        <v>4</v>
      </c>
      <c r="AD173" t="n">
        <v>30</v>
      </c>
      <c r="AE173" t="n">
        <v>30</v>
      </c>
      <c r="AF173" t="n">
        <v>11</v>
      </c>
      <c r="AG173" t="n">
        <v>11</v>
      </c>
      <c r="AH173" t="n">
        <v>9</v>
      </c>
      <c r="AI173" t="n">
        <v>9</v>
      </c>
      <c r="AJ173" t="n">
        <v>16</v>
      </c>
      <c r="AK173" t="n">
        <v>16</v>
      </c>
      <c r="AL173" t="n">
        <v>2</v>
      </c>
      <c r="AM173" t="n">
        <v>2</v>
      </c>
      <c r="AN173" t="n">
        <v>0</v>
      </c>
      <c r="AO173" t="n">
        <v>0</v>
      </c>
      <c r="AP173" t="inlineStr">
        <is>
          <t>No</t>
        </is>
      </c>
      <c r="AQ173" t="inlineStr">
        <is>
          <t>Yes</t>
        </is>
      </c>
      <c r="AR173">
        <f>HYPERLINK("http://catalog.hathitrust.org/Record/000610870","HathiTrust Record")</f>
        <v/>
      </c>
      <c r="AS173">
        <f>HYPERLINK("https://creighton-primo.hosted.exlibrisgroup.com/primo-explore/search?tab=default_tab&amp;search_scope=EVERYTHING&amp;vid=01CRU&amp;lang=en_US&amp;offset=0&amp;query=any,contains,991000285719702656","Catalog Record")</f>
        <v/>
      </c>
      <c r="AT173">
        <f>HYPERLINK("http://www.worldcat.org/oclc/9943733","WorldCat Record")</f>
        <v/>
      </c>
      <c r="AU173" t="inlineStr">
        <is>
          <t>365138173:eng</t>
        </is>
      </c>
      <c r="AV173" t="inlineStr">
        <is>
          <t>9943733</t>
        </is>
      </c>
      <c r="AW173" t="inlineStr">
        <is>
          <t>991000285719702656</t>
        </is>
      </c>
      <c r="AX173" t="inlineStr">
        <is>
          <t>991000285719702656</t>
        </is>
      </c>
      <c r="AY173" t="inlineStr">
        <is>
          <t>2260814820002656</t>
        </is>
      </c>
      <c r="AZ173" t="inlineStr">
        <is>
          <t>BOOK</t>
        </is>
      </c>
      <c r="BB173" t="inlineStr">
        <is>
          <t>9780313248054</t>
        </is>
      </c>
      <c r="BC173" t="inlineStr">
        <is>
          <t>32285000089341</t>
        </is>
      </c>
      <c r="BD173" t="inlineStr">
        <is>
          <t>893224882</t>
        </is>
      </c>
    </row>
    <row r="174">
      <c r="A174" t="inlineStr">
        <is>
          <t>No</t>
        </is>
      </c>
      <c r="B174" t="inlineStr">
        <is>
          <t>DC148 .B55</t>
        </is>
      </c>
      <c r="C174" t="inlineStr">
        <is>
          <t>0                      DC 0148000B  55</t>
        </is>
      </c>
      <c r="D174" t="inlineStr">
        <is>
          <t>The story of the French revolution / by Alice Birkhead ; with sixteen illustrations.</t>
        </is>
      </c>
      <c r="F174" t="inlineStr">
        <is>
          <t>No</t>
        </is>
      </c>
      <c r="G174" t="inlineStr">
        <is>
          <t>1</t>
        </is>
      </c>
      <c r="H174" t="inlineStr">
        <is>
          <t>No</t>
        </is>
      </c>
      <c r="I174" t="inlineStr">
        <is>
          <t>No</t>
        </is>
      </c>
      <c r="J174" t="inlineStr">
        <is>
          <t>0</t>
        </is>
      </c>
      <c r="K174" t="inlineStr">
        <is>
          <t>Birkhead, Alice.</t>
        </is>
      </c>
      <c r="M174" t="inlineStr">
        <is>
          <t>1913</t>
        </is>
      </c>
      <c r="O174" t="inlineStr">
        <is>
          <t>eng</t>
        </is>
      </c>
      <c r="P174" t="inlineStr">
        <is>
          <t>nyu</t>
        </is>
      </c>
      <c r="R174" t="inlineStr">
        <is>
          <t xml:space="preserve">DC </t>
        </is>
      </c>
      <c r="S174" t="n">
        <v>7</v>
      </c>
      <c r="T174" t="n">
        <v>7</v>
      </c>
      <c r="U174" t="inlineStr">
        <is>
          <t>2008-10-15</t>
        </is>
      </c>
      <c r="V174" t="inlineStr">
        <is>
          <t>2008-10-15</t>
        </is>
      </c>
      <c r="W174" t="inlineStr">
        <is>
          <t>1991-02-28</t>
        </is>
      </c>
      <c r="X174" t="inlineStr">
        <is>
          <t>1991-02-28</t>
        </is>
      </c>
      <c r="Y174" t="n">
        <v>11</v>
      </c>
      <c r="Z174" t="n">
        <v>6</v>
      </c>
      <c r="AA174" t="n">
        <v>39</v>
      </c>
      <c r="AB174" t="n">
        <v>1</v>
      </c>
      <c r="AC174" t="n">
        <v>1</v>
      </c>
      <c r="AD174" t="n">
        <v>0</v>
      </c>
      <c r="AE174" t="n">
        <v>0</v>
      </c>
      <c r="AF174" t="n">
        <v>0</v>
      </c>
      <c r="AG174" t="n">
        <v>0</v>
      </c>
      <c r="AH174" t="n">
        <v>0</v>
      </c>
      <c r="AI174" t="n">
        <v>0</v>
      </c>
      <c r="AJ174" t="n">
        <v>0</v>
      </c>
      <c r="AK174" t="n">
        <v>0</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HYPERLINK("https://creighton-primo.hosted.exlibrisgroup.com/primo-explore/search?tab=default_tab&amp;search_scope=EVERYTHING&amp;vid=01CRU&amp;lang=en_US&amp;offset=0&amp;query=any,contains,991004016329702656","Catalog Record")</f>
        <v/>
      </c>
      <c r="AT174">
        <f>HYPERLINK("http://www.worldcat.org/oclc/2110155","WorldCat Record")</f>
        <v/>
      </c>
      <c r="AU174" t="inlineStr">
        <is>
          <t>3726464:eng</t>
        </is>
      </c>
      <c r="AV174" t="inlineStr">
        <is>
          <t>2110155</t>
        </is>
      </c>
      <c r="AW174" t="inlineStr">
        <is>
          <t>991004016329702656</t>
        </is>
      </c>
      <c r="AX174" t="inlineStr">
        <is>
          <t>991004016329702656</t>
        </is>
      </c>
      <c r="AY174" t="inlineStr">
        <is>
          <t>2271902690002656</t>
        </is>
      </c>
      <c r="AZ174" t="inlineStr">
        <is>
          <t>BOOK</t>
        </is>
      </c>
      <c r="BC174" t="inlineStr">
        <is>
          <t>32285000494616</t>
        </is>
      </c>
      <c r="BD174" t="inlineStr">
        <is>
          <t>893253139</t>
        </is>
      </c>
    </row>
    <row r="175">
      <c r="A175" t="inlineStr">
        <is>
          <t>No</t>
        </is>
      </c>
      <c r="B175" t="inlineStr">
        <is>
          <t>DC148 .F87213 1996</t>
        </is>
      </c>
      <c r="C175" t="inlineStr">
        <is>
          <t>0                      DC 0148000F  87213       1996</t>
        </is>
      </c>
      <c r="D175" t="inlineStr">
        <is>
          <t>The French Revolution, 1770-1814 / François Furet ; translated by Antonia Nevill.</t>
        </is>
      </c>
      <c r="F175" t="inlineStr">
        <is>
          <t>No</t>
        </is>
      </c>
      <c r="G175" t="inlineStr">
        <is>
          <t>1</t>
        </is>
      </c>
      <c r="H175" t="inlineStr">
        <is>
          <t>No</t>
        </is>
      </c>
      <c r="I175" t="inlineStr">
        <is>
          <t>No</t>
        </is>
      </c>
      <c r="J175" t="inlineStr">
        <is>
          <t>0</t>
        </is>
      </c>
      <c r="K175" t="inlineStr">
        <is>
          <t>Furet, François, 1927-1997.</t>
        </is>
      </c>
      <c r="L175" t="inlineStr">
        <is>
          <t>Oxford, UK ; Cambridge, Mass., USA : Blackwell, 1996.</t>
        </is>
      </c>
      <c r="M175" t="inlineStr">
        <is>
          <t>1996</t>
        </is>
      </c>
      <c r="O175" t="inlineStr">
        <is>
          <t>eng</t>
        </is>
      </c>
      <c r="P175" t="inlineStr">
        <is>
          <t>enk</t>
        </is>
      </c>
      <c r="Q175" t="inlineStr">
        <is>
          <t>History of France</t>
        </is>
      </c>
      <c r="R175" t="inlineStr">
        <is>
          <t xml:space="preserve">DC </t>
        </is>
      </c>
      <c r="S175" t="n">
        <v>3</v>
      </c>
      <c r="T175" t="n">
        <v>3</v>
      </c>
      <c r="U175" t="inlineStr">
        <is>
          <t>2008-12-11</t>
        </is>
      </c>
      <c r="V175" t="inlineStr">
        <is>
          <t>2008-12-11</t>
        </is>
      </c>
      <c r="W175" t="inlineStr">
        <is>
          <t>2008-12-11</t>
        </is>
      </c>
      <c r="X175" t="inlineStr">
        <is>
          <t>2008-12-11</t>
        </is>
      </c>
      <c r="Y175" t="n">
        <v>301</v>
      </c>
      <c r="Z175" t="n">
        <v>176</v>
      </c>
      <c r="AA175" t="n">
        <v>184</v>
      </c>
      <c r="AB175" t="n">
        <v>2</v>
      </c>
      <c r="AC175" t="n">
        <v>2</v>
      </c>
      <c r="AD175" t="n">
        <v>9</v>
      </c>
      <c r="AE175" t="n">
        <v>9</v>
      </c>
      <c r="AF175" t="n">
        <v>4</v>
      </c>
      <c r="AG175" t="n">
        <v>4</v>
      </c>
      <c r="AH175" t="n">
        <v>3</v>
      </c>
      <c r="AI175" t="n">
        <v>3</v>
      </c>
      <c r="AJ175" t="n">
        <v>5</v>
      </c>
      <c r="AK175" t="n">
        <v>5</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HYPERLINK("https://creighton-primo.hosted.exlibrisgroup.com/primo-explore/search?tab=default_tab&amp;search_scope=EVERYTHING&amp;vid=01CRU&amp;lang=en_US&amp;offset=0&amp;query=any,contains,991005283089702656","Catalog Record")</f>
        <v/>
      </c>
      <c r="AT175">
        <f>HYPERLINK("http://www.worldcat.org/oclc/34824467","WorldCat Record")</f>
        <v/>
      </c>
      <c r="AU175" t="inlineStr">
        <is>
          <t>3769299969:eng</t>
        </is>
      </c>
      <c r="AV175" t="inlineStr">
        <is>
          <t>34824467</t>
        </is>
      </c>
      <c r="AW175" t="inlineStr">
        <is>
          <t>991005283089702656</t>
        </is>
      </c>
      <c r="AX175" t="inlineStr">
        <is>
          <t>991005283089702656</t>
        </is>
      </c>
      <c r="AY175" t="inlineStr">
        <is>
          <t>2262000240002656</t>
        </is>
      </c>
      <c r="AZ175" t="inlineStr">
        <is>
          <t>BOOK</t>
        </is>
      </c>
      <c r="BB175" t="inlineStr">
        <is>
          <t>9780631202998</t>
        </is>
      </c>
      <c r="BC175" t="inlineStr">
        <is>
          <t>32285005472872</t>
        </is>
      </c>
      <c r="BD175" t="inlineStr">
        <is>
          <t>893431171</t>
        </is>
      </c>
    </row>
    <row r="176">
      <c r="A176" t="inlineStr">
        <is>
          <t>No</t>
        </is>
      </c>
      <c r="B176" t="inlineStr">
        <is>
          <t>DC148 .G4</t>
        </is>
      </c>
      <c r="C176" t="inlineStr">
        <is>
          <t>0                      DC 0148000G  4</t>
        </is>
      </c>
      <c r="D176" t="inlineStr">
        <is>
          <t>The French revolution and Napoleon / by Leo Gershoy.</t>
        </is>
      </c>
      <c r="F176" t="inlineStr">
        <is>
          <t>No</t>
        </is>
      </c>
      <c r="G176" t="inlineStr">
        <is>
          <t>1</t>
        </is>
      </c>
      <c r="H176" t="inlineStr">
        <is>
          <t>No</t>
        </is>
      </c>
      <c r="I176" t="inlineStr">
        <is>
          <t>No</t>
        </is>
      </c>
      <c r="J176" t="inlineStr">
        <is>
          <t>0</t>
        </is>
      </c>
      <c r="K176" t="inlineStr">
        <is>
          <t>Gershoy, Leo, 1897-1975.</t>
        </is>
      </c>
      <c r="L176" t="inlineStr">
        <is>
          <t>New York : F. S. Crofts &amp; Co., 1933.</t>
        </is>
      </c>
      <c r="M176" t="inlineStr">
        <is>
          <t>1933</t>
        </is>
      </c>
      <c r="O176" t="inlineStr">
        <is>
          <t>eng</t>
        </is>
      </c>
      <c r="P176" t="inlineStr">
        <is>
          <t>nyu</t>
        </is>
      </c>
      <c r="R176" t="inlineStr">
        <is>
          <t xml:space="preserve">DC </t>
        </is>
      </c>
      <c r="S176" t="n">
        <v>5</v>
      </c>
      <c r="T176" t="n">
        <v>5</v>
      </c>
      <c r="U176" t="inlineStr">
        <is>
          <t>1994-03-15</t>
        </is>
      </c>
      <c r="V176" t="inlineStr">
        <is>
          <t>1994-03-15</t>
        </is>
      </c>
      <c r="W176" t="inlineStr">
        <is>
          <t>1990-03-13</t>
        </is>
      </c>
      <c r="X176" t="inlineStr">
        <is>
          <t>1990-03-13</t>
        </is>
      </c>
      <c r="Y176" t="n">
        <v>580</v>
      </c>
      <c r="Z176" t="n">
        <v>543</v>
      </c>
      <c r="AA176" t="n">
        <v>766</v>
      </c>
      <c r="AB176" t="n">
        <v>6</v>
      </c>
      <c r="AC176" t="n">
        <v>8</v>
      </c>
      <c r="AD176" t="n">
        <v>25</v>
      </c>
      <c r="AE176" t="n">
        <v>34</v>
      </c>
      <c r="AF176" t="n">
        <v>10</v>
      </c>
      <c r="AG176" t="n">
        <v>14</v>
      </c>
      <c r="AH176" t="n">
        <v>7</v>
      </c>
      <c r="AI176" t="n">
        <v>8</v>
      </c>
      <c r="AJ176" t="n">
        <v>8</v>
      </c>
      <c r="AK176" t="n">
        <v>13</v>
      </c>
      <c r="AL176" t="n">
        <v>5</v>
      </c>
      <c r="AM176" t="n">
        <v>6</v>
      </c>
      <c r="AN176" t="n">
        <v>0</v>
      </c>
      <c r="AO176" t="n">
        <v>0</v>
      </c>
      <c r="AP176" t="inlineStr">
        <is>
          <t>No</t>
        </is>
      </c>
      <c r="AQ176" t="inlineStr">
        <is>
          <t>Yes</t>
        </is>
      </c>
      <c r="AR176">
        <f>HYPERLINK("http://catalog.hathitrust.org/Record/002518025","HathiTrust Record")</f>
        <v/>
      </c>
      <c r="AS176">
        <f>HYPERLINK("https://creighton-primo.hosted.exlibrisgroup.com/primo-explore/search?tab=default_tab&amp;search_scope=EVERYTHING&amp;vid=01CRU&amp;lang=en_US&amp;offset=0&amp;query=any,contains,991003461089702656","Catalog Record")</f>
        <v/>
      </c>
      <c r="AT176">
        <f>HYPERLINK("http://www.worldcat.org/oclc/1002777","WorldCat Record")</f>
        <v/>
      </c>
      <c r="AU176" t="inlineStr">
        <is>
          <t>5090398781:eng</t>
        </is>
      </c>
      <c r="AV176" t="inlineStr">
        <is>
          <t>1002777</t>
        </is>
      </c>
      <c r="AW176" t="inlineStr">
        <is>
          <t>991003461089702656</t>
        </is>
      </c>
      <c r="AX176" t="inlineStr">
        <is>
          <t>991003461089702656</t>
        </is>
      </c>
      <c r="AY176" t="inlineStr">
        <is>
          <t>2257226180002656</t>
        </is>
      </c>
      <c r="AZ176" t="inlineStr">
        <is>
          <t>BOOK</t>
        </is>
      </c>
      <c r="BC176" t="inlineStr">
        <is>
          <t>32285000082775</t>
        </is>
      </c>
      <c r="BD176" t="inlineStr">
        <is>
          <t>893428814</t>
        </is>
      </c>
    </row>
    <row r="177">
      <c r="A177" t="inlineStr">
        <is>
          <t>No</t>
        </is>
      </c>
      <c r="B177" t="inlineStr">
        <is>
          <t>DC148 .H26</t>
        </is>
      </c>
      <c r="C177" t="inlineStr">
        <is>
          <t>0                      DC 0148000H  26</t>
        </is>
      </c>
      <c r="D177" t="inlineStr">
        <is>
          <t>A social history of the French Revolution.</t>
        </is>
      </c>
      <c r="F177" t="inlineStr">
        <is>
          <t>No</t>
        </is>
      </c>
      <c r="G177" t="inlineStr">
        <is>
          <t>1</t>
        </is>
      </c>
      <c r="H177" t="inlineStr">
        <is>
          <t>No</t>
        </is>
      </c>
      <c r="I177" t="inlineStr">
        <is>
          <t>No</t>
        </is>
      </c>
      <c r="J177" t="inlineStr">
        <is>
          <t>0</t>
        </is>
      </c>
      <c r="K177" t="inlineStr">
        <is>
          <t>Hampson, Norman.</t>
        </is>
      </c>
      <c r="L177" t="inlineStr">
        <is>
          <t>London, Routledge and K. Paul [1963]</t>
        </is>
      </c>
      <c r="M177" t="inlineStr">
        <is>
          <t>1963</t>
        </is>
      </c>
      <c r="O177" t="inlineStr">
        <is>
          <t>eng</t>
        </is>
      </c>
      <c r="P177" t="inlineStr">
        <is>
          <t>enk</t>
        </is>
      </c>
      <c r="Q177" t="inlineStr">
        <is>
          <t>Studies in social history</t>
        </is>
      </c>
      <c r="R177" t="inlineStr">
        <is>
          <t xml:space="preserve">DC </t>
        </is>
      </c>
      <c r="S177" t="n">
        <v>9</v>
      </c>
      <c r="T177" t="n">
        <v>9</v>
      </c>
      <c r="U177" t="inlineStr">
        <is>
          <t>2000-04-24</t>
        </is>
      </c>
      <c r="V177" t="inlineStr">
        <is>
          <t>2000-04-24</t>
        </is>
      </c>
      <c r="W177" t="inlineStr">
        <is>
          <t>1996-05-14</t>
        </is>
      </c>
      <c r="X177" t="inlineStr">
        <is>
          <t>1996-05-14</t>
        </is>
      </c>
      <c r="Y177" t="n">
        <v>839</v>
      </c>
      <c r="Z177" t="n">
        <v>606</v>
      </c>
      <c r="AA177" t="n">
        <v>934</v>
      </c>
      <c r="AB177" t="n">
        <v>4</v>
      </c>
      <c r="AC177" t="n">
        <v>7</v>
      </c>
      <c r="AD177" t="n">
        <v>27</v>
      </c>
      <c r="AE177" t="n">
        <v>43</v>
      </c>
      <c r="AF177" t="n">
        <v>9</v>
      </c>
      <c r="AG177" t="n">
        <v>17</v>
      </c>
      <c r="AH177" t="n">
        <v>7</v>
      </c>
      <c r="AI177" t="n">
        <v>9</v>
      </c>
      <c r="AJ177" t="n">
        <v>18</v>
      </c>
      <c r="AK177" t="n">
        <v>24</v>
      </c>
      <c r="AL177" t="n">
        <v>3</v>
      </c>
      <c r="AM177" t="n">
        <v>6</v>
      </c>
      <c r="AN177" t="n">
        <v>0</v>
      </c>
      <c r="AO177" t="n">
        <v>0</v>
      </c>
      <c r="AP177" t="inlineStr">
        <is>
          <t>No</t>
        </is>
      </c>
      <c r="AQ177" t="inlineStr">
        <is>
          <t>Yes</t>
        </is>
      </c>
      <c r="AR177">
        <f>HYPERLINK("http://catalog.hathitrust.org/Record/000602156","HathiTrust Record")</f>
        <v/>
      </c>
      <c r="AS177">
        <f>HYPERLINK("https://creighton-primo.hosted.exlibrisgroup.com/primo-explore/search?tab=default_tab&amp;search_scope=EVERYTHING&amp;vid=01CRU&amp;lang=en_US&amp;offset=0&amp;query=any,contains,991002700109702656","Catalog Record")</f>
        <v/>
      </c>
      <c r="AT177">
        <f>HYPERLINK("http://www.worldcat.org/oclc/405237","WorldCat Record")</f>
        <v/>
      </c>
      <c r="AU177" t="inlineStr">
        <is>
          <t>445542:eng</t>
        </is>
      </c>
      <c r="AV177" t="inlineStr">
        <is>
          <t>405237</t>
        </is>
      </c>
      <c r="AW177" t="inlineStr">
        <is>
          <t>991002700109702656</t>
        </is>
      </c>
      <c r="AX177" t="inlineStr">
        <is>
          <t>991002700109702656</t>
        </is>
      </c>
      <c r="AY177" t="inlineStr">
        <is>
          <t>2260579020002656</t>
        </is>
      </c>
      <c r="AZ177" t="inlineStr">
        <is>
          <t>BOOK</t>
        </is>
      </c>
      <c r="BC177" t="inlineStr">
        <is>
          <t>32285002163714</t>
        </is>
      </c>
      <c r="BD177" t="inlineStr">
        <is>
          <t>893880280</t>
        </is>
      </c>
    </row>
    <row r="178">
      <c r="A178" t="inlineStr">
        <is>
          <t>No</t>
        </is>
      </c>
      <c r="B178" t="inlineStr">
        <is>
          <t>DC148 .P67 1995</t>
        </is>
      </c>
      <c r="C178" t="inlineStr">
        <is>
          <t>0                      DC 0148000P  67          1995</t>
        </is>
      </c>
      <c r="D178" t="inlineStr">
        <is>
          <t>A short history of the French Revolution / Jeremy D. Popkin.</t>
        </is>
      </c>
      <c r="F178" t="inlineStr">
        <is>
          <t>No</t>
        </is>
      </c>
      <c r="G178" t="inlineStr">
        <is>
          <t>1</t>
        </is>
      </c>
      <c r="H178" t="inlineStr">
        <is>
          <t>No</t>
        </is>
      </c>
      <c r="I178" t="inlineStr">
        <is>
          <t>Yes</t>
        </is>
      </c>
      <c r="J178" t="inlineStr">
        <is>
          <t>0</t>
        </is>
      </c>
      <c r="K178" t="inlineStr">
        <is>
          <t>Popkin, Jeremy D., 1948-</t>
        </is>
      </c>
      <c r="L178" t="inlineStr">
        <is>
          <t>Englewood Cliffs : Prentice Hall, 1995.</t>
        </is>
      </c>
      <c r="M178" t="inlineStr">
        <is>
          <t>1995</t>
        </is>
      </c>
      <c r="O178" t="inlineStr">
        <is>
          <t>eng</t>
        </is>
      </c>
      <c r="P178" t="inlineStr">
        <is>
          <t>nju</t>
        </is>
      </c>
      <c r="R178" t="inlineStr">
        <is>
          <t xml:space="preserve">DC </t>
        </is>
      </c>
      <c r="S178" t="n">
        <v>19</v>
      </c>
      <c r="T178" t="n">
        <v>19</v>
      </c>
      <c r="U178" t="inlineStr">
        <is>
          <t>2009-09-15</t>
        </is>
      </c>
      <c r="V178" t="inlineStr">
        <is>
          <t>2009-09-15</t>
        </is>
      </c>
      <c r="W178" t="inlineStr">
        <is>
          <t>1995-03-29</t>
        </is>
      </c>
      <c r="X178" t="inlineStr">
        <is>
          <t>1995-03-29</t>
        </is>
      </c>
      <c r="Y178" t="n">
        <v>158</v>
      </c>
      <c r="Z178" t="n">
        <v>137</v>
      </c>
      <c r="AA178" t="n">
        <v>540</v>
      </c>
      <c r="AB178" t="n">
        <v>2</v>
      </c>
      <c r="AC178" t="n">
        <v>2</v>
      </c>
      <c r="AD178" t="n">
        <v>4</v>
      </c>
      <c r="AE178" t="n">
        <v>21</v>
      </c>
      <c r="AF178" t="n">
        <v>1</v>
      </c>
      <c r="AG178" t="n">
        <v>9</v>
      </c>
      <c r="AH178" t="n">
        <v>0</v>
      </c>
      <c r="AI178" t="n">
        <v>7</v>
      </c>
      <c r="AJ178" t="n">
        <v>3</v>
      </c>
      <c r="AK178" t="n">
        <v>11</v>
      </c>
      <c r="AL178" t="n">
        <v>1</v>
      </c>
      <c r="AM178" t="n">
        <v>1</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HYPERLINK("https://creighton-primo.hosted.exlibrisgroup.com/primo-explore/search?tab=default_tab&amp;search_scope=EVERYTHING&amp;vid=01CRU&amp;lang=en_US&amp;offset=0&amp;query=any,contains,991002396149702656","Catalog Record")</f>
        <v/>
      </c>
      <c r="AT178">
        <f>HYPERLINK("http://www.worldcat.org/oclc/31132424","WorldCat Record")</f>
        <v/>
      </c>
      <c r="AU178" t="inlineStr">
        <is>
          <t>33220062:eng</t>
        </is>
      </c>
      <c r="AV178" t="inlineStr">
        <is>
          <t>31132424</t>
        </is>
      </c>
      <c r="AW178" t="inlineStr">
        <is>
          <t>991002396149702656</t>
        </is>
      </c>
      <c r="AX178" t="inlineStr">
        <is>
          <t>991002396149702656</t>
        </is>
      </c>
      <c r="AY178" t="inlineStr">
        <is>
          <t>2271192960002656</t>
        </is>
      </c>
      <c r="AZ178" t="inlineStr">
        <is>
          <t>BOOK</t>
        </is>
      </c>
      <c r="BB178" t="inlineStr">
        <is>
          <t>9780132884242</t>
        </is>
      </c>
      <c r="BC178" t="inlineStr">
        <is>
          <t>32285002015120</t>
        </is>
      </c>
      <c r="BD178" t="inlineStr">
        <is>
          <t>893335250</t>
        </is>
      </c>
    </row>
    <row r="179">
      <c r="A179" t="inlineStr">
        <is>
          <t>No</t>
        </is>
      </c>
      <c r="B179" t="inlineStr">
        <is>
          <t>DC148 .S62 1977</t>
        </is>
      </c>
      <c r="C179" t="inlineStr">
        <is>
          <t>0                      DC 0148000S  62          1977</t>
        </is>
      </c>
      <c r="D179" t="inlineStr">
        <is>
          <t>A short history of the French Revolution, 1789-1799 / Albert Soboul ; translated by Geoffrey Symcox.</t>
        </is>
      </c>
      <c r="F179" t="inlineStr">
        <is>
          <t>No</t>
        </is>
      </c>
      <c r="G179" t="inlineStr">
        <is>
          <t>1</t>
        </is>
      </c>
      <c r="H179" t="inlineStr">
        <is>
          <t>No</t>
        </is>
      </c>
      <c r="I179" t="inlineStr">
        <is>
          <t>No</t>
        </is>
      </c>
      <c r="J179" t="inlineStr">
        <is>
          <t>0</t>
        </is>
      </c>
      <c r="K179" t="inlineStr">
        <is>
          <t>Soboul, Albert.</t>
        </is>
      </c>
      <c r="L179" t="inlineStr">
        <is>
          <t>Berkeley : University of California Press, c1977.</t>
        </is>
      </c>
      <c r="M179" t="inlineStr">
        <is>
          <t>1977</t>
        </is>
      </c>
      <c r="O179" t="inlineStr">
        <is>
          <t>eng</t>
        </is>
      </c>
      <c r="P179" t="inlineStr">
        <is>
          <t>cau</t>
        </is>
      </c>
      <c r="R179" t="inlineStr">
        <is>
          <t xml:space="preserve">DC </t>
        </is>
      </c>
      <c r="S179" t="n">
        <v>8</v>
      </c>
      <c r="T179" t="n">
        <v>8</v>
      </c>
      <c r="U179" t="inlineStr">
        <is>
          <t>2002-12-02</t>
        </is>
      </c>
      <c r="V179" t="inlineStr">
        <is>
          <t>2002-12-02</t>
        </is>
      </c>
      <c r="W179" t="inlineStr">
        <is>
          <t>1992-12-02</t>
        </is>
      </c>
      <c r="X179" t="inlineStr">
        <is>
          <t>1992-12-02</t>
        </is>
      </c>
      <c r="Y179" t="n">
        <v>922</v>
      </c>
      <c r="Z179" t="n">
        <v>778</v>
      </c>
      <c r="AA179" t="n">
        <v>804</v>
      </c>
      <c r="AB179" t="n">
        <v>6</v>
      </c>
      <c r="AC179" t="n">
        <v>6</v>
      </c>
      <c r="AD179" t="n">
        <v>30</v>
      </c>
      <c r="AE179" t="n">
        <v>32</v>
      </c>
      <c r="AF179" t="n">
        <v>12</v>
      </c>
      <c r="AG179" t="n">
        <v>13</v>
      </c>
      <c r="AH179" t="n">
        <v>6</v>
      </c>
      <c r="AI179" t="n">
        <v>7</v>
      </c>
      <c r="AJ179" t="n">
        <v>14</v>
      </c>
      <c r="AK179" t="n">
        <v>15</v>
      </c>
      <c r="AL179" t="n">
        <v>5</v>
      </c>
      <c r="AM179" t="n">
        <v>5</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HYPERLINK("https://creighton-primo.hosted.exlibrisgroup.com/primo-explore/search?tab=default_tab&amp;search_scope=EVERYTHING&amp;vid=01CRU&amp;lang=en_US&amp;offset=0&amp;query=any,contains,991004399189702656","Catalog Record")</f>
        <v/>
      </c>
      <c r="AT179">
        <f>HYPERLINK("http://www.worldcat.org/oclc/3293821","WorldCat Record")</f>
        <v/>
      </c>
      <c r="AU179" t="inlineStr">
        <is>
          <t>501559:eng</t>
        </is>
      </c>
      <c r="AV179" t="inlineStr">
        <is>
          <t>3293821</t>
        </is>
      </c>
      <c r="AW179" t="inlineStr">
        <is>
          <t>991004399189702656</t>
        </is>
      </c>
      <c r="AX179" t="inlineStr">
        <is>
          <t>991004399189702656</t>
        </is>
      </c>
      <c r="AY179" t="inlineStr">
        <is>
          <t>2268835630002656</t>
        </is>
      </c>
      <c r="AZ179" t="inlineStr">
        <is>
          <t>BOOK</t>
        </is>
      </c>
      <c r="BB179" t="inlineStr">
        <is>
          <t>9780520028555</t>
        </is>
      </c>
      <c r="BC179" t="inlineStr">
        <is>
          <t>32285001411536</t>
        </is>
      </c>
      <c r="BD179" t="inlineStr">
        <is>
          <t>893612308</t>
        </is>
      </c>
    </row>
    <row r="180">
      <c r="A180" t="inlineStr">
        <is>
          <t>No</t>
        </is>
      </c>
      <c r="B180" t="inlineStr">
        <is>
          <t>DC148 .S6713 1989</t>
        </is>
      </c>
      <c r="C180" t="inlineStr">
        <is>
          <t>0                      DC 0148000S  6713        1989</t>
        </is>
      </c>
      <c r="D180" t="inlineStr">
        <is>
          <t>Questions of the French Revolution : a historical overview / Jacques Solé ; incorporating work by Donald M.G. Sutherland ; translated from the French by Shelley Temchin ; with a foreword by Eugen Weber.</t>
        </is>
      </c>
      <c r="F180" t="inlineStr">
        <is>
          <t>No</t>
        </is>
      </c>
      <c r="G180" t="inlineStr">
        <is>
          <t>1</t>
        </is>
      </c>
      <c r="H180" t="inlineStr">
        <is>
          <t>No</t>
        </is>
      </c>
      <c r="I180" t="inlineStr">
        <is>
          <t>No</t>
        </is>
      </c>
      <c r="J180" t="inlineStr">
        <is>
          <t>0</t>
        </is>
      </c>
      <c r="K180" t="inlineStr">
        <is>
          <t>Solé, Jacques.</t>
        </is>
      </c>
      <c r="L180" t="inlineStr">
        <is>
          <t>New York : Pantheon Books, c1989.</t>
        </is>
      </c>
      <c r="M180" t="inlineStr">
        <is>
          <t>1989</t>
        </is>
      </c>
      <c r="N180" t="inlineStr">
        <is>
          <t>1st American ed.</t>
        </is>
      </c>
      <c r="O180" t="inlineStr">
        <is>
          <t>eng</t>
        </is>
      </c>
      <c r="P180" t="inlineStr">
        <is>
          <t>nyu</t>
        </is>
      </c>
      <c r="R180" t="inlineStr">
        <is>
          <t xml:space="preserve">DC </t>
        </is>
      </c>
      <c r="S180" t="n">
        <v>3</v>
      </c>
      <c r="T180" t="n">
        <v>3</v>
      </c>
      <c r="U180" t="inlineStr">
        <is>
          <t>2003-02-13</t>
        </is>
      </c>
      <c r="V180" t="inlineStr">
        <is>
          <t>2003-02-13</t>
        </is>
      </c>
      <c r="W180" t="inlineStr">
        <is>
          <t>2003-02-13</t>
        </is>
      </c>
      <c r="X180" t="inlineStr">
        <is>
          <t>2003-02-13</t>
        </is>
      </c>
      <c r="Y180" t="n">
        <v>651</v>
      </c>
      <c r="Z180" t="n">
        <v>587</v>
      </c>
      <c r="AA180" t="n">
        <v>589</v>
      </c>
      <c r="AB180" t="n">
        <v>4</v>
      </c>
      <c r="AC180" t="n">
        <v>4</v>
      </c>
      <c r="AD180" t="n">
        <v>23</v>
      </c>
      <c r="AE180" t="n">
        <v>23</v>
      </c>
      <c r="AF180" t="n">
        <v>6</v>
      </c>
      <c r="AG180" t="n">
        <v>6</v>
      </c>
      <c r="AH180" t="n">
        <v>5</v>
      </c>
      <c r="AI180" t="n">
        <v>5</v>
      </c>
      <c r="AJ180" t="n">
        <v>15</v>
      </c>
      <c r="AK180" t="n">
        <v>15</v>
      </c>
      <c r="AL180" t="n">
        <v>3</v>
      </c>
      <c r="AM180" t="n">
        <v>3</v>
      </c>
      <c r="AN180" t="n">
        <v>0</v>
      </c>
      <c r="AO180" t="n">
        <v>0</v>
      </c>
      <c r="AP180" t="inlineStr">
        <is>
          <t>No</t>
        </is>
      </c>
      <c r="AQ180" t="inlineStr">
        <is>
          <t>Yes</t>
        </is>
      </c>
      <c r="AR180">
        <f>HYPERLINK("http://catalog.hathitrust.org/Record/001839399","HathiTrust Record")</f>
        <v/>
      </c>
      <c r="AS180">
        <f>HYPERLINK("https://creighton-primo.hosted.exlibrisgroup.com/primo-explore/search?tab=default_tab&amp;search_scope=EVERYTHING&amp;vid=01CRU&amp;lang=en_US&amp;offset=0&amp;query=any,contains,991003995289702656","Catalog Record")</f>
        <v/>
      </c>
      <c r="AT180">
        <f>HYPERLINK("http://www.worldcat.org/oclc/19455826","WorldCat Record")</f>
        <v/>
      </c>
      <c r="AU180" t="inlineStr">
        <is>
          <t>21183705:eng</t>
        </is>
      </c>
      <c r="AV180" t="inlineStr">
        <is>
          <t>19455826</t>
        </is>
      </c>
      <c r="AW180" t="inlineStr">
        <is>
          <t>991003995289702656</t>
        </is>
      </c>
      <c r="AX180" t="inlineStr">
        <is>
          <t>991003995289702656</t>
        </is>
      </c>
      <c r="AY180" t="inlineStr">
        <is>
          <t>2270590020002656</t>
        </is>
      </c>
      <c r="AZ180" t="inlineStr">
        <is>
          <t>BOOK</t>
        </is>
      </c>
      <c r="BB180" t="inlineStr">
        <is>
          <t>9780394580012</t>
        </is>
      </c>
      <c r="BC180" t="inlineStr">
        <is>
          <t>32285004699145</t>
        </is>
      </c>
      <c r="BD180" t="inlineStr">
        <is>
          <t>893343337</t>
        </is>
      </c>
    </row>
    <row r="181">
      <c r="A181" t="inlineStr">
        <is>
          <t>No</t>
        </is>
      </c>
      <c r="B181" t="inlineStr">
        <is>
          <t>DC149 .B46</t>
        </is>
      </c>
      <c r="C181" t="inlineStr">
        <is>
          <t>0                      DC 0149000B  46</t>
        </is>
      </c>
      <c r="D181" t="inlineStr">
        <is>
          <t>The French Revolution / by Hilaire Belloc.</t>
        </is>
      </c>
      <c r="F181" t="inlineStr">
        <is>
          <t>No</t>
        </is>
      </c>
      <c r="G181" t="inlineStr">
        <is>
          <t>1</t>
        </is>
      </c>
      <c r="H181" t="inlineStr">
        <is>
          <t>No</t>
        </is>
      </c>
      <c r="I181" t="inlineStr">
        <is>
          <t>No</t>
        </is>
      </c>
      <c r="J181" t="inlineStr">
        <is>
          <t>0</t>
        </is>
      </c>
      <c r="K181" t="inlineStr">
        <is>
          <t>Belloc, Hilaire, 1870-1953.</t>
        </is>
      </c>
      <c r="L181" t="inlineStr">
        <is>
          <t>New York : H. Holt and Company, c1911.</t>
        </is>
      </c>
      <c r="M181" t="inlineStr">
        <is>
          <t>1911</t>
        </is>
      </c>
      <c r="O181" t="inlineStr">
        <is>
          <t>eng</t>
        </is>
      </c>
      <c r="P181" t="inlineStr">
        <is>
          <t>nyu</t>
        </is>
      </c>
      <c r="Q181" t="inlineStr">
        <is>
          <t>Home university library of modern knowledge ; no. 3</t>
        </is>
      </c>
      <c r="R181" t="inlineStr">
        <is>
          <t xml:space="preserve">DC </t>
        </is>
      </c>
      <c r="S181" t="n">
        <v>3</v>
      </c>
      <c r="T181" t="n">
        <v>3</v>
      </c>
      <c r="U181" t="inlineStr">
        <is>
          <t>2002-11-08</t>
        </is>
      </c>
      <c r="V181" t="inlineStr">
        <is>
          <t>2002-11-08</t>
        </is>
      </c>
      <c r="W181" t="inlineStr">
        <is>
          <t>1991-02-14</t>
        </is>
      </c>
      <c r="X181" t="inlineStr">
        <is>
          <t>1991-02-14</t>
        </is>
      </c>
      <c r="Y181" t="n">
        <v>366</v>
      </c>
      <c r="Z181" t="n">
        <v>343</v>
      </c>
      <c r="AA181" t="n">
        <v>817</v>
      </c>
      <c r="AB181" t="n">
        <v>5</v>
      </c>
      <c r="AC181" t="n">
        <v>10</v>
      </c>
      <c r="AD181" t="n">
        <v>26</v>
      </c>
      <c r="AE181" t="n">
        <v>39</v>
      </c>
      <c r="AF181" t="n">
        <v>6</v>
      </c>
      <c r="AG181" t="n">
        <v>14</v>
      </c>
      <c r="AH181" t="n">
        <v>6</v>
      </c>
      <c r="AI181" t="n">
        <v>7</v>
      </c>
      <c r="AJ181" t="n">
        <v>18</v>
      </c>
      <c r="AK181" t="n">
        <v>23</v>
      </c>
      <c r="AL181" t="n">
        <v>3</v>
      </c>
      <c r="AM181" t="n">
        <v>6</v>
      </c>
      <c r="AN181" t="n">
        <v>0</v>
      </c>
      <c r="AO181" t="n">
        <v>0</v>
      </c>
      <c r="AP181" t="inlineStr">
        <is>
          <t>Yes</t>
        </is>
      </c>
      <c r="AQ181" t="inlineStr">
        <is>
          <t>No</t>
        </is>
      </c>
      <c r="AR181">
        <f>HYPERLINK("http://catalog.hathitrust.org/Record/000607047","HathiTrust Record")</f>
        <v/>
      </c>
      <c r="AS181">
        <f>HYPERLINK("https://creighton-primo.hosted.exlibrisgroup.com/primo-explore/search?tab=default_tab&amp;search_scope=EVERYTHING&amp;vid=01CRU&amp;lang=en_US&amp;offset=0&amp;query=any,contains,991003485669702656","Catalog Record")</f>
        <v/>
      </c>
      <c r="AT181">
        <f>HYPERLINK("http://www.worldcat.org/oclc/35633610","WorldCat Record")</f>
        <v/>
      </c>
      <c r="AU181" t="inlineStr">
        <is>
          <t>1862285545:eng</t>
        </is>
      </c>
      <c r="AV181" t="inlineStr">
        <is>
          <t>35633610</t>
        </is>
      </c>
      <c r="AW181" t="inlineStr">
        <is>
          <t>991003485669702656</t>
        </is>
      </c>
      <c r="AX181" t="inlineStr">
        <is>
          <t>991003485669702656</t>
        </is>
      </c>
      <c r="AY181" t="inlineStr">
        <is>
          <t>2268071700002656</t>
        </is>
      </c>
      <c r="AZ181" t="inlineStr">
        <is>
          <t>BOOK</t>
        </is>
      </c>
      <c r="BC181" t="inlineStr">
        <is>
          <t>32285000510056</t>
        </is>
      </c>
      <c r="BD181" t="inlineStr">
        <is>
          <t>893809999</t>
        </is>
      </c>
    </row>
    <row r="182">
      <c r="A182" t="inlineStr">
        <is>
          <t>No</t>
        </is>
      </c>
      <c r="B182" t="inlineStr">
        <is>
          <t>DC149 .G4</t>
        </is>
      </c>
      <c r="C182" t="inlineStr">
        <is>
          <t>0                      DC 0149000G  4</t>
        </is>
      </c>
      <c r="D182" t="inlineStr">
        <is>
          <t>The French revolution : a historical sketch / by Walter Geer.</t>
        </is>
      </c>
      <c r="F182" t="inlineStr">
        <is>
          <t>No</t>
        </is>
      </c>
      <c r="G182" t="inlineStr">
        <is>
          <t>1</t>
        </is>
      </c>
      <c r="H182" t="inlineStr">
        <is>
          <t>No</t>
        </is>
      </c>
      <c r="I182" t="inlineStr">
        <is>
          <t>No</t>
        </is>
      </c>
      <c r="J182" t="inlineStr">
        <is>
          <t>0</t>
        </is>
      </c>
      <c r="K182" t="inlineStr">
        <is>
          <t>Geer, Walter, 1857-1937.</t>
        </is>
      </c>
      <c r="L182" t="inlineStr">
        <is>
          <t>New York : Brentano's, 1922.</t>
        </is>
      </c>
      <c r="M182" t="inlineStr">
        <is>
          <t>1922</t>
        </is>
      </c>
      <c r="O182" t="inlineStr">
        <is>
          <t>eng</t>
        </is>
      </c>
      <c r="P182" t="inlineStr">
        <is>
          <t xml:space="preserve">xx </t>
        </is>
      </c>
      <c r="R182" t="inlineStr">
        <is>
          <t xml:space="preserve">DC </t>
        </is>
      </c>
      <c r="S182" t="n">
        <v>5</v>
      </c>
      <c r="T182" t="n">
        <v>5</v>
      </c>
      <c r="U182" t="inlineStr">
        <is>
          <t>2004-12-11</t>
        </is>
      </c>
      <c r="V182" t="inlineStr">
        <is>
          <t>2004-12-11</t>
        </is>
      </c>
      <c r="W182" t="inlineStr">
        <is>
          <t>1991-02-14</t>
        </is>
      </c>
      <c r="X182" t="inlineStr">
        <is>
          <t>1991-02-14</t>
        </is>
      </c>
      <c r="Y182" t="n">
        <v>113</v>
      </c>
      <c r="Z182" t="n">
        <v>100</v>
      </c>
      <c r="AA182" t="n">
        <v>112</v>
      </c>
      <c r="AB182" t="n">
        <v>2</v>
      </c>
      <c r="AC182" t="n">
        <v>2</v>
      </c>
      <c r="AD182" t="n">
        <v>6</v>
      </c>
      <c r="AE182" t="n">
        <v>6</v>
      </c>
      <c r="AF182" t="n">
        <v>1</v>
      </c>
      <c r="AG182" t="n">
        <v>1</v>
      </c>
      <c r="AH182" t="n">
        <v>1</v>
      </c>
      <c r="AI182" t="n">
        <v>1</v>
      </c>
      <c r="AJ182" t="n">
        <v>4</v>
      </c>
      <c r="AK182" t="n">
        <v>4</v>
      </c>
      <c r="AL182" t="n">
        <v>1</v>
      </c>
      <c r="AM182" t="n">
        <v>1</v>
      </c>
      <c r="AN182" t="n">
        <v>0</v>
      </c>
      <c r="AO182" t="n">
        <v>0</v>
      </c>
      <c r="AP182" t="inlineStr">
        <is>
          <t>Yes</t>
        </is>
      </c>
      <c r="AQ182" t="inlineStr">
        <is>
          <t>No</t>
        </is>
      </c>
      <c r="AR182">
        <f>HYPERLINK("http://catalog.hathitrust.org/Record/008646827","HathiTrust Record")</f>
        <v/>
      </c>
      <c r="AS182">
        <f>HYPERLINK("https://creighton-primo.hosted.exlibrisgroup.com/primo-explore/search?tab=default_tab&amp;search_scope=EVERYTHING&amp;vid=01CRU&amp;lang=en_US&amp;offset=0&amp;query=any,contains,991003809149702656","Catalog Record")</f>
        <v/>
      </c>
      <c r="AT182">
        <f>HYPERLINK("http://www.worldcat.org/oclc/1533471","WorldCat Record")</f>
        <v/>
      </c>
      <c r="AU182" t="inlineStr">
        <is>
          <t>365924432:eng</t>
        </is>
      </c>
      <c r="AV182" t="inlineStr">
        <is>
          <t>1533471</t>
        </is>
      </c>
      <c r="AW182" t="inlineStr">
        <is>
          <t>991003809149702656</t>
        </is>
      </c>
      <c r="AX182" t="inlineStr">
        <is>
          <t>991003809149702656</t>
        </is>
      </c>
      <c r="AY182" t="inlineStr">
        <is>
          <t>2270991210002656</t>
        </is>
      </c>
      <c r="AZ182" t="inlineStr">
        <is>
          <t>BOOK</t>
        </is>
      </c>
      <c r="BC182" t="inlineStr">
        <is>
          <t>32285000510064</t>
        </is>
      </c>
      <c r="BD182" t="inlineStr">
        <is>
          <t>893868900</t>
        </is>
      </c>
    </row>
    <row r="183">
      <c r="A183" t="inlineStr">
        <is>
          <t>No</t>
        </is>
      </c>
      <c r="B183" t="inlineStr">
        <is>
          <t>DC149 .L32</t>
        </is>
      </c>
      <c r="C183" t="inlineStr">
        <is>
          <t>0                      DC 0149000L  32</t>
        </is>
      </c>
      <c r="D183" t="inlineStr">
        <is>
          <t>The psychology of revolution, by Gustave Le Bon. Tr. by Bernard Miall.</t>
        </is>
      </c>
      <c r="F183" t="inlineStr">
        <is>
          <t>No</t>
        </is>
      </c>
      <c r="G183" t="inlineStr">
        <is>
          <t>1</t>
        </is>
      </c>
      <c r="H183" t="inlineStr">
        <is>
          <t>No</t>
        </is>
      </c>
      <c r="I183" t="inlineStr">
        <is>
          <t>No</t>
        </is>
      </c>
      <c r="J183" t="inlineStr">
        <is>
          <t>0</t>
        </is>
      </c>
      <c r="K183" t="inlineStr">
        <is>
          <t>Le Bon, Gustave, 1841-1931.</t>
        </is>
      </c>
      <c r="L183" t="inlineStr">
        <is>
          <t>London [etc.] T. F. Unwin [1913]</t>
        </is>
      </c>
      <c r="M183" t="inlineStr">
        <is>
          <t>1913</t>
        </is>
      </c>
      <c r="O183" t="inlineStr">
        <is>
          <t>eng</t>
        </is>
      </c>
      <c r="P183" t="inlineStr">
        <is>
          <t>enk</t>
        </is>
      </c>
      <c r="R183" t="inlineStr">
        <is>
          <t xml:space="preserve">DC </t>
        </is>
      </c>
      <c r="S183" t="n">
        <v>6</v>
      </c>
      <c r="T183" t="n">
        <v>6</v>
      </c>
      <c r="U183" t="inlineStr">
        <is>
          <t>1998-11-20</t>
        </is>
      </c>
      <c r="V183" t="inlineStr">
        <is>
          <t>1998-11-20</t>
        </is>
      </c>
      <c r="W183" t="inlineStr">
        <is>
          <t>1996-05-14</t>
        </is>
      </c>
      <c r="X183" t="inlineStr">
        <is>
          <t>1996-05-14</t>
        </is>
      </c>
      <c r="Y183" t="n">
        <v>110</v>
      </c>
      <c r="Z183" t="n">
        <v>63</v>
      </c>
      <c r="AA183" t="n">
        <v>1862</v>
      </c>
      <c r="AB183" t="n">
        <v>1</v>
      </c>
      <c r="AC183" t="n">
        <v>22</v>
      </c>
      <c r="AD183" t="n">
        <v>2</v>
      </c>
      <c r="AE183" t="n">
        <v>55</v>
      </c>
      <c r="AF183" t="n">
        <v>0</v>
      </c>
      <c r="AG183" t="n">
        <v>18</v>
      </c>
      <c r="AH183" t="n">
        <v>0</v>
      </c>
      <c r="AI183" t="n">
        <v>10</v>
      </c>
      <c r="AJ183" t="n">
        <v>2</v>
      </c>
      <c r="AK183" t="n">
        <v>19</v>
      </c>
      <c r="AL183" t="n">
        <v>0</v>
      </c>
      <c r="AM183" t="n">
        <v>15</v>
      </c>
      <c r="AN183" t="n">
        <v>0</v>
      </c>
      <c r="AO183" t="n">
        <v>1</v>
      </c>
      <c r="AP183" t="inlineStr">
        <is>
          <t>Yes</t>
        </is>
      </c>
      <c r="AQ183" t="inlineStr">
        <is>
          <t>No</t>
        </is>
      </c>
      <c r="AR183">
        <f>HYPERLINK("http://catalog.hathitrust.org/Record/000643410","HathiTrust Record")</f>
        <v/>
      </c>
      <c r="AS183">
        <f>HYPERLINK("https://creighton-primo.hosted.exlibrisgroup.com/primo-explore/search?tab=default_tab&amp;search_scope=EVERYTHING&amp;vid=01CRU&amp;lang=en_US&amp;offset=0&amp;query=any,contains,991003934199702656","Catalog Record")</f>
        <v/>
      </c>
      <c r="AT183">
        <f>HYPERLINK("http://www.worldcat.org/oclc/1907801","WorldCat Record")</f>
        <v/>
      </c>
      <c r="AU183" t="inlineStr">
        <is>
          <t>538266:eng</t>
        </is>
      </c>
      <c r="AV183" t="inlineStr">
        <is>
          <t>1907801</t>
        </is>
      </c>
      <c r="AW183" t="inlineStr">
        <is>
          <t>991003934199702656</t>
        </is>
      </c>
      <c r="AX183" t="inlineStr">
        <is>
          <t>991003934199702656</t>
        </is>
      </c>
      <c r="AY183" t="inlineStr">
        <is>
          <t>2267255530002656</t>
        </is>
      </c>
      <c r="AZ183" t="inlineStr">
        <is>
          <t>BOOK</t>
        </is>
      </c>
      <c r="BC183" t="inlineStr">
        <is>
          <t>32285002163722</t>
        </is>
      </c>
      <c r="BD183" t="inlineStr">
        <is>
          <t>893331005</t>
        </is>
      </c>
    </row>
    <row r="184">
      <c r="A184" t="inlineStr">
        <is>
          <t>No</t>
        </is>
      </c>
      <c r="B184" t="inlineStr">
        <is>
          <t>DC149 .M265</t>
        </is>
      </c>
      <c r="C184" t="inlineStr">
        <is>
          <t>0                      DC 0149000M  265</t>
        </is>
      </c>
      <c r="D184" t="inlineStr">
        <is>
          <t>The French revolution / by Charles Edward Mallet.</t>
        </is>
      </c>
      <c r="F184" t="inlineStr">
        <is>
          <t>No</t>
        </is>
      </c>
      <c r="G184" t="inlineStr">
        <is>
          <t>1</t>
        </is>
      </c>
      <c r="H184" t="inlineStr">
        <is>
          <t>No</t>
        </is>
      </c>
      <c r="I184" t="inlineStr">
        <is>
          <t>No</t>
        </is>
      </c>
      <c r="J184" t="inlineStr">
        <is>
          <t>0</t>
        </is>
      </c>
      <c r="K184" t="inlineStr">
        <is>
          <t>Mallet, Charles Edward, Sir, 1862-1947.</t>
        </is>
      </c>
      <c r="L184" t="inlineStr">
        <is>
          <t>New York : C. Scribner's sons, 1906.</t>
        </is>
      </c>
      <c r="M184" t="inlineStr">
        <is>
          <t>1906</t>
        </is>
      </c>
      <c r="O184" t="inlineStr">
        <is>
          <t>eng</t>
        </is>
      </c>
      <c r="P184" t="inlineStr">
        <is>
          <t xml:space="preserve">xx </t>
        </is>
      </c>
      <c r="Q184" t="inlineStr">
        <is>
          <t>University extension manuals, ed. by Professor Knight</t>
        </is>
      </c>
      <c r="R184" t="inlineStr">
        <is>
          <t xml:space="preserve">DC </t>
        </is>
      </c>
      <c r="S184" t="n">
        <v>2</v>
      </c>
      <c r="T184" t="n">
        <v>2</v>
      </c>
      <c r="U184" t="inlineStr">
        <is>
          <t>1997-10-28</t>
        </is>
      </c>
      <c r="V184" t="inlineStr">
        <is>
          <t>1997-10-28</t>
        </is>
      </c>
      <c r="W184" t="inlineStr">
        <is>
          <t>1991-02-28</t>
        </is>
      </c>
      <c r="X184" t="inlineStr">
        <is>
          <t>1991-02-28</t>
        </is>
      </c>
      <c r="Y184" t="n">
        <v>44</v>
      </c>
      <c r="Z184" t="n">
        <v>43</v>
      </c>
      <c r="AA184" t="n">
        <v>150</v>
      </c>
      <c r="AB184" t="n">
        <v>2</v>
      </c>
      <c r="AC184" t="n">
        <v>4</v>
      </c>
      <c r="AD184" t="n">
        <v>1</v>
      </c>
      <c r="AE184" t="n">
        <v>5</v>
      </c>
      <c r="AF184" t="n">
        <v>0</v>
      </c>
      <c r="AG184" t="n">
        <v>0</v>
      </c>
      <c r="AH184" t="n">
        <v>0</v>
      </c>
      <c r="AI184" t="n">
        <v>1</v>
      </c>
      <c r="AJ184" t="n">
        <v>0</v>
      </c>
      <c r="AK184" t="n">
        <v>2</v>
      </c>
      <c r="AL184" t="n">
        <v>1</v>
      </c>
      <c r="AM184" t="n">
        <v>3</v>
      </c>
      <c r="AN184" t="n">
        <v>0</v>
      </c>
      <c r="AO184" t="n">
        <v>0</v>
      </c>
      <c r="AP184" t="inlineStr">
        <is>
          <t>Yes</t>
        </is>
      </c>
      <c r="AQ184" t="inlineStr">
        <is>
          <t>No</t>
        </is>
      </c>
      <c r="AR184">
        <f>HYPERLINK("http://catalog.hathitrust.org/Record/100725788","HathiTrust Record")</f>
        <v/>
      </c>
      <c r="AS184">
        <f>HYPERLINK("https://creighton-primo.hosted.exlibrisgroup.com/primo-explore/search?tab=default_tab&amp;search_scope=EVERYTHING&amp;vid=01CRU&amp;lang=en_US&amp;offset=0&amp;query=any,contains,991003029409702656","Catalog Record")</f>
        <v/>
      </c>
      <c r="AT184">
        <f>HYPERLINK("http://www.worldcat.org/oclc/592650","WorldCat Record")</f>
        <v/>
      </c>
      <c r="AU184" t="inlineStr">
        <is>
          <t>1789504:eng</t>
        </is>
      </c>
      <c r="AV184" t="inlineStr">
        <is>
          <t>592650</t>
        </is>
      </c>
      <c r="AW184" t="inlineStr">
        <is>
          <t>991003029409702656</t>
        </is>
      </c>
      <c r="AX184" t="inlineStr">
        <is>
          <t>991003029409702656</t>
        </is>
      </c>
      <c r="AY184" t="inlineStr">
        <is>
          <t>2264341730002656</t>
        </is>
      </c>
      <c r="AZ184" t="inlineStr">
        <is>
          <t>BOOK</t>
        </is>
      </c>
      <c r="BC184" t="inlineStr">
        <is>
          <t>32285000494632</t>
        </is>
      </c>
      <c r="BD184" t="inlineStr">
        <is>
          <t>893422097</t>
        </is>
      </c>
    </row>
    <row r="185">
      <c r="A185" t="inlineStr">
        <is>
          <t>No</t>
        </is>
      </c>
      <c r="B185" t="inlineStr">
        <is>
          <t>DC149 .S84</t>
        </is>
      </c>
      <c r="C185" t="inlineStr">
        <is>
          <t>0                      DC 0149000S  84</t>
        </is>
      </c>
      <c r="D185" t="inlineStr">
        <is>
          <t>A history of the French revolution, by H. Morse Stephens ... In three volumes. Vol. I-II.</t>
        </is>
      </c>
      <c r="E185" t="inlineStr">
        <is>
          <t>V.1</t>
        </is>
      </c>
      <c r="F185" t="inlineStr">
        <is>
          <t>Yes</t>
        </is>
      </c>
      <c r="G185" t="inlineStr">
        <is>
          <t>1</t>
        </is>
      </c>
      <c r="H185" t="inlineStr">
        <is>
          <t>No</t>
        </is>
      </c>
      <c r="I185" t="inlineStr">
        <is>
          <t>No</t>
        </is>
      </c>
      <c r="J185" t="inlineStr">
        <is>
          <t>0</t>
        </is>
      </c>
      <c r="K185" t="inlineStr">
        <is>
          <t>Stephens, H. Morse (Henry Morse), 1857-1919.</t>
        </is>
      </c>
      <c r="L185" t="inlineStr">
        <is>
          <t>New York, C. Scribner's sons, 1902.</t>
        </is>
      </c>
      <c r="M185" t="inlineStr">
        <is>
          <t>1902</t>
        </is>
      </c>
      <c r="O185" t="inlineStr">
        <is>
          <t>eng</t>
        </is>
      </c>
      <c r="P185" t="inlineStr">
        <is>
          <t xml:space="preserve">xx </t>
        </is>
      </c>
      <c r="R185" t="inlineStr">
        <is>
          <t xml:space="preserve">DC </t>
        </is>
      </c>
      <c r="S185" t="n">
        <v>2</v>
      </c>
      <c r="T185" t="n">
        <v>2</v>
      </c>
      <c r="U185" t="inlineStr">
        <is>
          <t>2005-11-03</t>
        </is>
      </c>
      <c r="V185" t="inlineStr">
        <is>
          <t>2005-11-03</t>
        </is>
      </c>
      <c r="W185" t="inlineStr">
        <is>
          <t>1996-11-08</t>
        </is>
      </c>
      <c r="X185" t="inlineStr">
        <is>
          <t>1996-11-08</t>
        </is>
      </c>
      <c r="Y185" t="n">
        <v>66</v>
      </c>
      <c r="Z185" t="n">
        <v>64</v>
      </c>
      <c r="AA185" t="n">
        <v>310</v>
      </c>
      <c r="AB185" t="n">
        <v>2</v>
      </c>
      <c r="AC185" t="n">
        <v>5</v>
      </c>
      <c r="AD185" t="n">
        <v>2</v>
      </c>
      <c r="AE185" t="n">
        <v>14</v>
      </c>
      <c r="AF185" t="n">
        <v>0</v>
      </c>
      <c r="AG185" t="n">
        <v>5</v>
      </c>
      <c r="AH185" t="n">
        <v>0</v>
      </c>
      <c r="AI185" t="n">
        <v>3</v>
      </c>
      <c r="AJ185" t="n">
        <v>1</v>
      </c>
      <c r="AK185" t="n">
        <v>4</v>
      </c>
      <c r="AL185" t="n">
        <v>1</v>
      </c>
      <c r="AM185" t="n">
        <v>4</v>
      </c>
      <c r="AN185" t="n">
        <v>0</v>
      </c>
      <c r="AO185" t="n">
        <v>0</v>
      </c>
      <c r="AP185" t="inlineStr">
        <is>
          <t>Yes</t>
        </is>
      </c>
      <c r="AQ185" t="inlineStr">
        <is>
          <t>No</t>
        </is>
      </c>
      <c r="AR185">
        <f>HYPERLINK("http://catalog.hathitrust.org/Record/007692641","HathiTrust Record")</f>
        <v/>
      </c>
      <c r="AS185">
        <f>HYPERLINK("https://creighton-primo.hosted.exlibrisgroup.com/primo-explore/search?tab=default_tab&amp;search_scope=EVERYTHING&amp;vid=01CRU&amp;lang=en_US&amp;offset=0&amp;query=any,contains,991004619659702656","Catalog Record")</f>
        <v/>
      </c>
      <c r="AT185">
        <f>HYPERLINK("http://www.worldcat.org/oclc/4283619","WorldCat Record")</f>
        <v/>
      </c>
      <c r="AU185" t="inlineStr">
        <is>
          <t>829679:eng</t>
        </is>
      </c>
      <c r="AV185" t="inlineStr">
        <is>
          <t>4283619</t>
        </is>
      </c>
      <c r="AW185" t="inlineStr">
        <is>
          <t>991004619659702656</t>
        </is>
      </c>
      <c r="AX185" t="inlineStr">
        <is>
          <t>991004619659702656</t>
        </is>
      </c>
      <c r="AY185" t="inlineStr">
        <is>
          <t>2255826400002656</t>
        </is>
      </c>
      <c r="AZ185" t="inlineStr">
        <is>
          <t>BOOK</t>
        </is>
      </c>
      <c r="BC185" t="inlineStr">
        <is>
          <t>32285002342391</t>
        </is>
      </c>
      <c r="BD185" t="inlineStr">
        <is>
          <t>893593912</t>
        </is>
      </c>
    </row>
    <row r="186">
      <c r="A186" t="inlineStr">
        <is>
          <t>No</t>
        </is>
      </c>
      <c r="B186" t="inlineStr">
        <is>
          <t>DC149 .S84</t>
        </is>
      </c>
      <c r="C186" t="inlineStr">
        <is>
          <t>0                      DC 0149000S  84</t>
        </is>
      </c>
      <c r="D186" t="inlineStr">
        <is>
          <t>A history of the French revolution, by H. Morse Stephens ... In three volumes. Vol. I-II.</t>
        </is>
      </c>
      <c r="E186" t="inlineStr">
        <is>
          <t>V.2</t>
        </is>
      </c>
      <c r="F186" t="inlineStr">
        <is>
          <t>Yes</t>
        </is>
      </c>
      <c r="G186" t="inlineStr">
        <is>
          <t>1</t>
        </is>
      </c>
      <c r="H186" t="inlineStr">
        <is>
          <t>No</t>
        </is>
      </c>
      <c r="I186" t="inlineStr">
        <is>
          <t>No</t>
        </is>
      </c>
      <c r="J186" t="inlineStr">
        <is>
          <t>0</t>
        </is>
      </c>
      <c r="K186" t="inlineStr">
        <is>
          <t>Stephens, H. Morse (Henry Morse), 1857-1919.</t>
        </is>
      </c>
      <c r="L186" t="inlineStr">
        <is>
          <t>New York, C. Scribner's sons, 1902.</t>
        </is>
      </c>
      <c r="M186" t="inlineStr">
        <is>
          <t>1902</t>
        </is>
      </c>
      <c r="O186" t="inlineStr">
        <is>
          <t>eng</t>
        </is>
      </c>
      <c r="P186" t="inlineStr">
        <is>
          <t xml:space="preserve">xx </t>
        </is>
      </c>
      <c r="R186" t="inlineStr">
        <is>
          <t xml:space="preserve">DC </t>
        </is>
      </c>
      <c r="S186" t="n">
        <v>0</v>
      </c>
      <c r="T186" t="n">
        <v>2</v>
      </c>
      <c r="V186" t="inlineStr">
        <is>
          <t>2005-11-03</t>
        </is>
      </c>
      <c r="W186" t="inlineStr">
        <is>
          <t>1996-11-08</t>
        </is>
      </c>
      <c r="X186" t="inlineStr">
        <is>
          <t>1996-11-08</t>
        </is>
      </c>
      <c r="Y186" t="n">
        <v>66</v>
      </c>
      <c r="Z186" t="n">
        <v>64</v>
      </c>
      <c r="AA186" t="n">
        <v>310</v>
      </c>
      <c r="AB186" t="n">
        <v>2</v>
      </c>
      <c r="AC186" t="n">
        <v>5</v>
      </c>
      <c r="AD186" t="n">
        <v>2</v>
      </c>
      <c r="AE186" t="n">
        <v>14</v>
      </c>
      <c r="AF186" t="n">
        <v>0</v>
      </c>
      <c r="AG186" t="n">
        <v>5</v>
      </c>
      <c r="AH186" t="n">
        <v>0</v>
      </c>
      <c r="AI186" t="n">
        <v>3</v>
      </c>
      <c r="AJ186" t="n">
        <v>1</v>
      </c>
      <c r="AK186" t="n">
        <v>4</v>
      </c>
      <c r="AL186" t="n">
        <v>1</v>
      </c>
      <c r="AM186" t="n">
        <v>4</v>
      </c>
      <c r="AN186" t="n">
        <v>0</v>
      </c>
      <c r="AO186" t="n">
        <v>0</v>
      </c>
      <c r="AP186" t="inlineStr">
        <is>
          <t>Yes</t>
        </is>
      </c>
      <c r="AQ186" t="inlineStr">
        <is>
          <t>No</t>
        </is>
      </c>
      <c r="AR186">
        <f>HYPERLINK("http://catalog.hathitrust.org/Record/007692641","HathiTrust Record")</f>
        <v/>
      </c>
      <c r="AS186">
        <f>HYPERLINK("https://creighton-primo.hosted.exlibrisgroup.com/primo-explore/search?tab=default_tab&amp;search_scope=EVERYTHING&amp;vid=01CRU&amp;lang=en_US&amp;offset=0&amp;query=any,contains,991004619659702656","Catalog Record")</f>
        <v/>
      </c>
      <c r="AT186">
        <f>HYPERLINK("http://www.worldcat.org/oclc/4283619","WorldCat Record")</f>
        <v/>
      </c>
      <c r="AU186" t="inlineStr">
        <is>
          <t>829679:eng</t>
        </is>
      </c>
      <c r="AV186" t="inlineStr">
        <is>
          <t>4283619</t>
        </is>
      </c>
      <c r="AW186" t="inlineStr">
        <is>
          <t>991004619659702656</t>
        </is>
      </c>
      <c r="AX186" t="inlineStr">
        <is>
          <t>991004619659702656</t>
        </is>
      </c>
      <c r="AY186" t="inlineStr">
        <is>
          <t>2255826400002656</t>
        </is>
      </c>
      <c r="AZ186" t="inlineStr">
        <is>
          <t>BOOK</t>
        </is>
      </c>
      <c r="BC186" t="inlineStr">
        <is>
          <t>32285002342409</t>
        </is>
      </c>
      <c r="BD186" t="inlineStr">
        <is>
          <t>893593911</t>
        </is>
      </c>
    </row>
    <row r="187">
      <c r="A187" t="inlineStr">
        <is>
          <t>No</t>
        </is>
      </c>
      <c r="B187" t="inlineStr">
        <is>
          <t>DC150 .D3</t>
        </is>
      </c>
      <c r="C187" t="inlineStr">
        <is>
          <t>0                      DC 0150000D  3</t>
        </is>
      </c>
      <c r="D187" t="inlineStr">
        <is>
          <t>The French revolution as told in fiction, by William Stearns Davis.</t>
        </is>
      </c>
      <c r="F187" t="inlineStr">
        <is>
          <t>No</t>
        </is>
      </c>
      <c r="G187" t="inlineStr">
        <is>
          <t>1</t>
        </is>
      </c>
      <c r="H187" t="inlineStr">
        <is>
          <t>No</t>
        </is>
      </c>
      <c r="I187" t="inlineStr">
        <is>
          <t>No</t>
        </is>
      </c>
      <c r="J187" t="inlineStr">
        <is>
          <t>0</t>
        </is>
      </c>
      <c r="K187" t="inlineStr">
        <is>
          <t>Davis, William Stearns, 1877-1930.</t>
        </is>
      </c>
      <c r="L187" t="inlineStr">
        <is>
          <t>Chicago, American Library Association, 1927.</t>
        </is>
      </c>
      <c r="M187" t="inlineStr">
        <is>
          <t>1927</t>
        </is>
      </c>
      <c r="O187" t="inlineStr">
        <is>
          <t>eng</t>
        </is>
      </c>
      <c r="P187" t="inlineStr">
        <is>
          <t>ilu</t>
        </is>
      </c>
      <c r="Q187" t="inlineStr">
        <is>
          <t>Reading with a purpose ; 26</t>
        </is>
      </c>
      <c r="R187" t="inlineStr">
        <is>
          <t xml:space="preserve">DC </t>
        </is>
      </c>
      <c r="S187" t="n">
        <v>1</v>
      </c>
      <c r="T187" t="n">
        <v>1</v>
      </c>
      <c r="U187" t="inlineStr">
        <is>
          <t>2001-11-27</t>
        </is>
      </c>
      <c r="V187" t="inlineStr">
        <is>
          <t>2001-11-27</t>
        </is>
      </c>
      <c r="W187" t="inlineStr">
        <is>
          <t>1996-11-08</t>
        </is>
      </c>
      <c r="X187" t="inlineStr">
        <is>
          <t>1996-11-08</t>
        </is>
      </c>
      <c r="Y187" t="n">
        <v>115</v>
      </c>
      <c r="Z187" t="n">
        <v>110</v>
      </c>
      <c r="AA187" t="n">
        <v>117</v>
      </c>
      <c r="AB187" t="n">
        <v>2</v>
      </c>
      <c r="AC187" t="n">
        <v>2</v>
      </c>
      <c r="AD187" t="n">
        <v>2</v>
      </c>
      <c r="AE187" t="n">
        <v>2</v>
      </c>
      <c r="AF187" t="n">
        <v>1</v>
      </c>
      <c r="AG187" t="n">
        <v>1</v>
      </c>
      <c r="AH187" t="n">
        <v>0</v>
      </c>
      <c r="AI187" t="n">
        <v>0</v>
      </c>
      <c r="AJ187" t="n">
        <v>1</v>
      </c>
      <c r="AK187" t="n">
        <v>1</v>
      </c>
      <c r="AL187" t="n">
        <v>1</v>
      </c>
      <c r="AM187" t="n">
        <v>1</v>
      </c>
      <c r="AN187" t="n">
        <v>0</v>
      </c>
      <c r="AO187" t="n">
        <v>0</v>
      </c>
      <c r="AP187" t="inlineStr">
        <is>
          <t>Yes</t>
        </is>
      </c>
      <c r="AQ187" t="inlineStr">
        <is>
          <t>No</t>
        </is>
      </c>
      <c r="AR187">
        <f>HYPERLINK("http://catalog.hathitrust.org/Record/001167225","HathiTrust Record")</f>
        <v/>
      </c>
      <c r="AS187">
        <f>HYPERLINK("https://creighton-primo.hosted.exlibrisgroup.com/primo-explore/search?tab=default_tab&amp;search_scope=EVERYTHING&amp;vid=01CRU&amp;lang=en_US&amp;offset=0&amp;query=any,contains,991003740199702656","Catalog Record")</f>
        <v/>
      </c>
      <c r="AT187">
        <f>HYPERLINK("http://www.worldcat.org/oclc/1403013","WorldCat Record")</f>
        <v/>
      </c>
      <c r="AU187" t="inlineStr">
        <is>
          <t>2254949:eng</t>
        </is>
      </c>
      <c r="AV187" t="inlineStr">
        <is>
          <t>1403013</t>
        </is>
      </c>
      <c r="AW187" t="inlineStr">
        <is>
          <t>991003740199702656</t>
        </is>
      </c>
      <c r="AX187" t="inlineStr">
        <is>
          <t>991003740199702656</t>
        </is>
      </c>
      <c r="AY187" t="inlineStr">
        <is>
          <t>2260451590002656</t>
        </is>
      </c>
      <c r="AZ187" t="inlineStr">
        <is>
          <t>BOOK</t>
        </is>
      </c>
      <c r="BC187" t="inlineStr">
        <is>
          <t>32285002342417</t>
        </is>
      </c>
      <c r="BD187" t="inlineStr">
        <is>
          <t>893592841</t>
        </is>
      </c>
    </row>
    <row r="188">
      <c r="A188" t="inlineStr">
        <is>
          <t>No</t>
        </is>
      </c>
      <c r="B188" t="inlineStr">
        <is>
          <t>DC151 .M25 1934</t>
        </is>
      </c>
      <c r="C188" t="inlineStr">
        <is>
          <t>0                      DC 0151000M  25          1934</t>
        </is>
      </c>
      <c r="D188" t="inlineStr">
        <is>
          <t>Napoleon and his marshals / by A.G. Macdonell.</t>
        </is>
      </c>
      <c r="F188" t="inlineStr">
        <is>
          <t>No</t>
        </is>
      </c>
      <c r="G188" t="inlineStr">
        <is>
          <t>1</t>
        </is>
      </c>
      <c r="H188" t="inlineStr">
        <is>
          <t>No</t>
        </is>
      </c>
      <c r="I188" t="inlineStr">
        <is>
          <t>No</t>
        </is>
      </c>
      <c r="J188" t="inlineStr">
        <is>
          <t>0</t>
        </is>
      </c>
      <c r="K188" t="inlineStr">
        <is>
          <t>Macdonell, A. G. (Archibald Gordon), 1895-1941.</t>
        </is>
      </c>
      <c r="L188" t="inlineStr">
        <is>
          <t>New York : Macmillan, 1934.</t>
        </is>
      </c>
      <c r="M188" t="inlineStr">
        <is>
          <t>1934</t>
        </is>
      </c>
      <c r="O188" t="inlineStr">
        <is>
          <t>eng</t>
        </is>
      </c>
      <c r="P188" t="inlineStr">
        <is>
          <t>nyu</t>
        </is>
      </c>
      <c r="R188" t="inlineStr">
        <is>
          <t xml:space="preserve">DC </t>
        </is>
      </c>
      <c r="S188" t="n">
        <v>2</v>
      </c>
      <c r="T188" t="n">
        <v>2</v>
      </c>
      <c r="U188" t="inlineStr">
        <is>
          <t>2004-07-27</t>
        </is>
      </c>
      <c r="V188" t="inlineStr">
        <is>
          <t>2004-07-27</t>
        </is>
      </c>
      <c r="W188" t="inlineStr">
        <is>
          <t>1995-04-03</t>
        </is>
      </c>
      <c r="X188" t="inlineStr">
        <is>
          <t>1995-04-03</t>
        </is>
      </c>
      <c r="Y188" t="n">
        <v>234</v>
      </c>
      <c r="Z188" t="n">
        <v>223</v>
      </c>
      <c r="AA188" t="n">
        <v>342</v>
      </c>
      <c r="AB188" t="n">
        <v>2</v>
      </c>
      <c r="AC188" t="n">
        <v>2</v>
      </c>
      <c r="AD188" t="n">
        <v>13</v>
      </c>
      <c r="AE188" t="n">
        <v>16</v>
      </c>
      <c r="AF188" t="n">
        <v>4</v>
      </c>
      <c r="AG188" t="n">
        <v>6</v>
      </c>
      <c r="AH188" t="n">
        <v>4</v>
      </c>
      <c r="AI188" t="n">
        <v>5</v>
      </c>
      <c r="AJ188" t="n">
        <v>6</v>
      </c>
      <c r="AK188" t="n">
        <v>8</v>
      </c>
      <c r="AL188" t="n">
        <v>1</v>
      </c>
      <c r="AM188" t="n">
        <v>1</v>
      </c>
      <c r="AN188" t="n">
        <v>1</v>
      </c>
      <c r="AO188" t="n">
        <v>1</v>
      </c>
      <c r="AP188" t="inlineStr">
        <is>
          <t>No</t>
        </is>
      </c>
      <c r="AQ188" t="inlineStr">
        <is>
          <t>Yes</t>
        </is>
      </c>
      <c r="AR188">
        <f>HYPERLINK("http://catalog.hathitrust.org/Record/006300456","HathiTrust Record")</f>
        <v/>
      </c>
      <c r="AS188">
        <f>HYPERLINK("https://creighton-primo.hosted.exlibrisgroup.com/primo-explore/search?tab=default_tab&amp;search_scope=EVERYTHING&amp;vid=01CRU&amp;lang=en_US&amp;offset=0&amp;query=any,contains,991004035889702656","Catalog Record")</f>
        <v/>
      </c>
      <c r="AT188">
        <f>HYPERLINK("http://www.worldcat.org/oclc/2169926","WorldCat Record")</f>
        <v/>
      </c>
      <c r="AU188" t="inlineStr">
        <is>
          <t>875201:eng</t>
        </is>
      </c>
      <c r="AV188" t="inlineStr">
        <is>
          <t>2169926</t>
        </is>
      </c>
      <c r="AW188" t="inlineStr">
        <is>
          <t>991004035889702656</t>
        </is>
      </c>
      <c r="AX188" t="inlineStr">
        <is>
          <t>991004035889702656</t>
        </is>
      </c>
      <c r="AY188" t="inlineStr">
        <is>
          <t>2267159620002656</t>
        </is>
      </c>
      <c r="AZ188" t="inlineStr">
        <is>
          <t>BOOK</t>
        </is>
      </c>
      <c r="BC188" t="inlineStr">
        <is>
          <t>32285002025780</t>
        </is>
      </c>
      <c r="BD188" t="inlineStr">
        <is>
          <t>893693442</t>
        </is>
      </c>
    </row>
    <row r="189">
      <c r="A189" t="inlineStr">
        <is>
          <t>No</t>
        </is>
      </c>
      <c r="B189" t="inlineStr">
        <is>
          <t>DC155 .C76 1998</t>
        </is>
      </c>
      <c r="C189" t="inlineStr">
        <is>
          <t>0                      DC 0155000C  76          1998</t>
        </is>
      </c>
      <c r="D189" t="inlineStr">
        <is>
          <t>Napoleon comes to power : democracy and dictatorship in revolutionary France, 1795-1804 / Malcolm Crook.</t>
        </is>
      </c>
      <c r="F189" t="inlineStr">
        <is>
          <t>No</t>
        </is>
      </c>
      <c r="G189" t="inlineStr">
        <is>
          <t>1</t>
        </is>
      </c>
      <c r="H189" t="inlineStr">
        <is>
          <t>No</t>
        </is>
      </c>
      <c r="I189" t="inlineStr">
        <is>
          <t>No</t>
        </is>
      </c>
      <c r="J189" t="inlineStr">
        <is>
          <t>0</t>
        </is>
      </c>
      <c r="K189" t="inlineStr">
        <is>
          <t>Crook, Malcolm, 1948-</t>
        </is>
      </c>
      <c r="L189" t="inlineStr">
        <is>
          <t>Cardiff : University of Wales Press, 1998.</t>
        </is>
      </c>
      <c r="M189" t="inlineStr">
        <is>
          <t>1998</t>
        </is>
      </c>
      <c r="O189" t="inlineStr">
        <is>
          <t>eng</t>
        </is>
      </c>
      <c r="P189" t="inlineStr">
        <is>
          <t>wlk</t>
        </is>
      </c>
      <c r="Q189" t="inlineStr">
        <is>
          <t>The past in perspective</t>
        </is>
      </c>
      <c r="R189" t="inlineStr">
        <is>
          <t xml:space="preserve">DC </t>
        </is>
      </c>
      <c r="S189" t="n">
        <v>5</v>
      </c>
      <c r="T189" t="n">
        <v>5</v>
      </c>
      <c r="U189" t="inlineStr">
        <is>
          <t>2010-04-09</t>
        </is>
      </c>
      <c r="V189" t="inlineStr">
        <is>
          <t>2010-04-09</t>
        </is>
      </c>
      <c r="W189" t="inlineStr">
        <is>
          <t>1998-09-24</t>
        </is>
      </c>
      <c r="X189" t="inlineStr">
        <is>
          <t>1998-09-24</t>
        </is>
      </c>
      <c r="Y189" t="n">
        <v>227</v>
      </c>
      <c r="Z189" t="n">
        <v>136</v>
      </c>
      <c r="AA189" t="n">
        <v>639</v>
      </c>
      <c r="AB189" t="n">
        <v>1</v>
      </c>
      <c r="AC189" t="n">
        <v>2</v>
      </c>
      <c r="AD189" t="n">
        <v>10</v>
      </c>
      <c r="AE189" t="n">
        <v>23</v>
      </c>
      <c r="AF189" t="n">
        <v>2</v>
      </c>
      <c r="AG189" t="n">
        <v>12</v>
      </c>
      <c r="AH189" t="n">
        <v>5</v>
      </c>
      <c r="AI189" t="n">
        <v>7</v>
      </c>
      <c r="AJ189" t="n">
        <v>8</v>
      </c>
      <c r="AK189" t="n">
        <v>12</v>
      </c>
      <c r="AL189" t="n">
        <v>0</v>
      </c>
      <c r="AM189" t="n">
        <v>1</v>
      </c>
      <c r="AN189" t="n">
        <v>0</v>
      </c>
      <c r="AO189" t="n">
        <v>0</v>
      </c>
      <c r="AP189" t="inlineStr">
        <is>
          <t>No</t>
        </is>
      </c>
      <c r="AQ189" t="inlineStr">
        <is>
          <t>Yes</t>
        </is>
      </c>
      <c r="AR189">
        <f>HYPERLINK("http://catalog.hathitrust.org/Record/003996166","HathiTrust Record")</f>
        <v/>
      </c>
      <c r="AS189">
        <f>HYPERLINK("https://creighton-primo.hosted.exlibrisgroup.com/primo-explore/search?tab=default_tab&amp;search_scope=EVERYTHING&amp;vid=01CRU&amp;lang=en_US&amp;offset=0&amp;query=any,contains,991002939999702656","Catalog Record")</f>
        <v/>
      </c>
      <c r="AT189">
        <f>HYPERLINK("http://www.worldcat.org/oclc/39119039","WorldCat Record")</f>
        <v/>
      </c>
      <c r="AU189" t="inlineStr">
        <is>
          <t>797092407:eng</t>
        </is>
      </c>
      <c r="AV189" t="inlineStr">
        <is>
          <t>39119039</t>
        </is>
      </c>
      <c r="AW189" t="inlineStr">
        <is>
          <t>991002939999702656</t>
        </is>
      </c>
      <c r="AX189" t="inlineStr">
        <is>
          <t>991002939999702656</t>
        </is>
      </c>
      <c r="AY189" t="inlineStr">
        <is>
          <t>2260113420002656</t>
        </is>
      </c>
      <c r="AZ189" t="inlineStr">
        <is>
          <t>BOOK</t>
        </is>
      </c>
      <c r="BB189" t="inlineStr">
        <is>
          <t>9780708314012</t>
        </is>
      </c>
      <c r="BC189" t="inlineStr">
        <is>
          <t>32285003470787</t>
        </is>
      </c>
      <c r="BD189" t="inlineStr">
        <is>
          <t>893867899</t>
        </is>
      </c>
    </row>
    <row r="190">
      <c r="A190" t="inlineStr">
        <is>
          <t>No</t>
        </is>
      </c>
      <c r="B190" t="inlineStr">
        <is>
          <t>DC155 .F74 1987, v...</t>
        </is>
      </c>
      <c r="C190" t="inlineStr">
        <is>
          <t>0                      DC 0155000F  74          1987                                        v...</t>
        </is>
      </c>
      <c r="D190" t="inlineStr">
        <is>
          <t>The French Revolution and the creation of modern political culture / edited by Keith Michael Baker.</t>
        </is>
      </c>
      <c r="E190" t="inlineStr">
        <is>
          <t>V.3</t>
        </is>
      </c>
      <c r="F190" t="inlineStr">
        <is>
          <t>Yes</t>
        </is>
      </c>
      <c r="G190" t="inlineStr">
        <is>
          <t>1</t>
        </is>
      </c>
      <c r="H190" t="inlineStr">
        <is>
          <t>No</t>
        </is>
      </c>
      <c r="I190" t="inlineStr">
        <is>
          <t>No</t>
        </is>
      </c>
      <c r="J190" t="inlineStr">
        <is>
          <t>0</t>
        </is>
      </c>
      <c r="L190" t="inlineStr">
        <is>
          <t>Oxford ; New York : Pergamon Press, 1987-1989.</t>
        </is>
      </c>
      <c r="M190" t="inlineStr">
        <is>
          <t>1987</t>
        </is>
      </c>
      <c r="N190" t="inlineStr">
        <is>
          <t>1st ed.</t>
        </is>
      </c>
      <c r="O190" t="inlineStr">
        <is>
          <t>eng</t>
        </is>
      </c>
      <c r="P190" t="inlineStr">
        <is>
          <t>enk</t>
        </is>
      </c>
      <c r="R190" t="inlineStr">
        <is>
          <t xml:space="preserve">DC </t>
        </is>
      </c>
      <c r="S190" t="n">
        <v>2</v>
      </c>
      <c r="T190" t="n">
        <v>2</v>
      </c>
      <c r="U190" t="inlineStr">
        <is>
          <t>1998-03-25</t>
        </is>
      </c>
      <c r="V190" t="inlineStr">
        <is>
          <t>1998-03-25</t>
        </is>
      </c>
      <c r="W190" t="inlineStr">
        <is>
          <t>1990-11-26</t>
        </is>
      </c>
      <c r="X190" t="inlineStr">
        <is>
          <t>1990-11-26</t>
        </is>
      </c>
      <c r="Y190" t="n">
        <v>492</v>
      </c>
      <c r="Z190" t="n">
        <v>386</v>
      </c>
      <c r="AA190" t="n">
        <v>390</v>
      </c>
      <c r="AB190" t="n">
        <v>3</v>
      </c>
      <c r="AC190" t="n">
        <v>3</v>
      </c>
      <c r="AD190" t="n">
        <v>28</v>
      </c>
      <c r="AE190" t="n">
        <v>28</v>
      </c>
      <c r="AF190" t="n">
        <v>12</v>
      </c>
      <c r="AG190" t="n">
        <v>12</v>
      </c>
      <c r="AH190" t="n">
        <v>6</v>
      </c>
      <c r="AI190" t="n">
        <v>6</v>
      </c>
      <c r="AJ190" t="n">
        <v>18</v>
      </c>
      <c r="AK190" t="n">
        <v>18</v>
      </c>
      <c r="AL190" t="n">
        <v>2</v>
      </c>
      <c r="AM190" t="n">
        <v>2</v>
      </c>
      <c r="AN190" t="n">
        <v>0</v>
      </c>
      <c r="AO190" t="n">
        <v>0</v>
      </c>
      <c r="AP190" t="inlineStr">
        <is>
          <t>No</t>
        </is>
      </c>
      <c r="AQ190" t="inlineStr">
        <is>
          <t>Yes</t>
        </is>
      </c>
      <c r="AR190">
        <f>HYPERLINK("http://catalog.hathitrust.org/Record/000881173","HathiTrust Record")</f>
        <v/>
      </c>
      <c r="AS190">
        <f>HYPERLINK("https://creighton-primo.hosted.exlibrisgroup.com/primo-explore/search?tab=default_tab&amp;search_scope=EVERYTHING&amp;vid=01CRU&amp;lang=en_US&amp;offset=0&amp;query=any,contains,991001085889702656","Catalog Record")</f>
        <v/>
      </c>
      <c r="AT190">
        <f>HYPERLINK("http://www.worldcat.org/oclc/16128903","WorldCat Record")</f>
        <v/>
      </c>
      <c r="AU190" t="inlineStr">
        <is>
          <t>4915621820:eng</t>
        </is>
      </c>
      <c r="AV190" t="inlineStr">
        <is>
          <t>16128903</t>
        </is>
      </c>
      <c r="AW190" t="inlineStr">
        <is>
          <t>991001085889702656</t>
        </is>
      </c>
      <c r="AX190" t="inlineStr">
        <is>
          <t>991001085889702656</t>
        </is>
      </c>
      <c r="AY190" t="inlineStr">
        <is>
          <t>2269661490002656</t>
        </is>
      </c>
      <c r="AZ190" t="inlineStr">
        <is>
          <t>BOOK</t>
        </is>
      </c>
      <c r="BB190" t="inlineStr">
        <is>
          <t>9780080342580</t>
        </is>
      </c>
      <c r="BC190" t="inlineStr">
        <is>
          <t>32285000356807</t>
        </is>
      </c>
      <c r="BD190" t="inlineStr">
        <is>
          <t>893891288</t>
        </is>
      </c>
    </row>
    <row r="191">
      <c r="A191" t="inlineStr">
        <is>
          <t>No</t>
        </is>
      </c>
      <c r="B191" t="inlineStr">
        <is>
          <t>DC155 .I56 1989</t>
        </is>
      </c>
      <c r="C191" t="inlineStr">
        <is>
          <t>0                      DC 0155000I  56          1989</t>
        </is>
      </c>
      <c r="D191" t="inlineStr">
        <is>
          <t>The Impact of the French Revolution on European consciousness / edited by H.T. Mason and W. Doyle.</t>
        </is>
      </c>
      <c r="F191" t="inlineStr">
        <is>
          <t>No</t>
        </is>
      </c>
      <c r="G191" t="inlineStr">
        <is>
          <t>1</t>
        </is>
      </c>
      <c r="H191" t="inlineStr">
        <is>
          <t>No</t>
        </is>
      </c>
      <c r="I191" t="inlineStr">
        <is>
          <t>No</t>
        </is>
      </c>
      <c r="J191" t="inlineStr">
        <is>
          <t>0</t>
        </is>
      </c>
      <c r="L191" t="inlineStr">
        <is>
          <t>Gloucester : Sutton, 1989.</t>
        </is>
      </c>
      <c r="M191" t="inlineStr">
        <is>
          <t>1989</t>
        </is>
      </c>
      <c r="O191" t="inlineStr">
        <is>
          <t>eng</t>
        </is>
      </c>
      <c r="P191" t="inlineStr">
        <is>
          <t>enk</t>
        </is>
      </c>
      <c r="R191" t="inlineStr">
        <is>
          <t xml:space="preserve">DC </t>
        </is>
      </c>
      <c r="S191" t="n">
        <v>14</v>
      </c>
      <c r="T191" t="n">
        <v>14</v>
      </c>
      <c r="U191" t="inlineStr">
        <is>
          <t>2002-10-29</t>
        </is>
      </c>
      <c r="V191" t="inlineStr">
        <is>
          <t>2002-10-29</t>
        </is>
      </c>
      <c r="W191" t="inlineStr">
        <is>
          <t>1989-11-07</t>
        </is>
      </c>
      <c r="X191" t="inlineStr">
        <is>
          <t>1989-11-07</t>
        </is>
      </c>
      <c r="Y191" t="n">
        <v>278</v>
      </c>
      <c r="Z191" t="n">
        <v>138</v>
      </c>
      <c r="AA191" t="n">
        <v>140</v>
      </c>
      <c r="AB191" t="n">
        <v>2</v>
      </c>
      <c r="AC191" t="n">
        <v>2</v>
      </c>
      <c r="AD191" t="n">
        <v>6</v>
      </c>
      <c r="AE191" t="n">
        <v>6</v>
      </c>
      <c r="AF191" t="n">
        <v>0</v>
      </c>
      <c r="AG191" t="n">
        <v>0</v>
      </c>
      <c r="AH191" t="n">
        <v>2</v>
      </c>
      <c r="AI191" t="n">
        <v>2</v>
      </c>
      <c r="AJ191" t="n">
        <v>5</v>
      </c>
      <c r="AK191" t="n">
        <v>5</v>
      </c>
      <c r="AL191" t="n">
        <v>1</v>
      </c>
      <c r="AM191" t="n">
        <v>1</v>
      </c>
      <c r="AN191" t="n">
        <v>0</v>
      </c>
      <c r="AO191" t="n">
        <v>0</v>
      </c>
      <c r="AP191" t="inlineStr">
        <is>
          <t>No</t>
        </is>
      </c>
      <c r="AQ191" t="inlineStr">
        <is>
          <t>Yes</t>
        </is>
      </c>
      <c r="AR191">
        <f>HYPERLINK("http://catalog.hathitrust.org/Record/001819436","HathiTrust Record")</f>
        <v/>
      </c>
      <c r="AS191">
        <f>HYPERLINK("https://creighton-primo.hosted.exlibrisgroup.com/primo-explore/search?tab=default_tab&amp;search_scope=EVERYTHING&amp;vid=01CRU&amp;lang=en_US&amp;offset=0&amp;query=any,contains,991001457669702656","Catalog Record")</f>
        <v/>
      </c>
      <c r="AT191">
        <f>HYPERLINK("http://www.worldcat.org/oclc/19390571","WorldCat Record")</f>
        <v/>
      </c>
      <c r="AU191" t="inlineStr">
        <is>
          <t>438350775:eng</t>
        </is>
      </c>
      <c r="AV191" t="inlineStr">
        <is>
          <t>19390571</t>
        </is>
      </c>
      <c r="AW191" t="inlineStr">
        <is>
          <t>991001457669702656</t>
        </is>
      </c>
      <c r="AX191" t="inlineStr">
        <is>
          <t>991001457669702656</t>
        </is>
      </c>
      <c r="AY191" t="inlineStr">
        <is>
          <t>2257544720002656</t>
        </is>
      </c>
      <c r="AZ191" t="inlineStr">
        <is>
          <t>BOOK</t>
        </is>
      </c>
      <c r="BB191" t="inlineStr">
        <is>
          <t>9780862994839</t>
        </is>
      </c>
      <c r="BC191" t="inlineStr">
        <is>
          <t>32285000011956</t>
        </is>
      </c>
      <c r="BD191" t="inlineStr">
        <is>
          <t>893232005</t>
        </is>
      </c>
    </row>
    <row r="192">
      <c r="A192" t="inlineStr">
        <is>
          <t>No</t>
        </is>
      </c>
      <c r="B192" t="inlineStr">
        <is>
          <t>DC155 .J37 1989</t>
        </is>
      </c>
      <c r="C192" t="inlineStr">
        <is>
          <t>0                      DC 0155000J  37          1989</t>
        </is>
      </c>
      <c r="D192" t="inlineStr">
        <is>
          <t>Three faces of revolution : Paris, London and New York in 1789 / Derek Jarrett.</t>
        </is>
      </c>
      <c r="F192" t="inlineStr">
        <is>
          <t>No</t>
        </is>
      </c>
      <c r="G192" t="inlineStr">
        <is>
          <t>1</t>
        </is>
      </c>
      <c r="H192" t="inlineStr">
        <is>
          <t>No</t>
        </is>
      </c>
      <c r="I192" t="inlineStr">
        <is>
          <t>No</t>
        </is>
      </c>
      <c r="J192" t="inlineStr">
        <is>
          <t>0</t>
        </is>
      </c>
      <c r="K192" t="inlineStr">
        <is>
          <t>Jarrett, Derek, 1928-2004</t>
        </is>
      </c>
      <c r="L192" t="inlineStr">
        <is>
          <t>London : Philip, 1989.</t>
        </is>
      </c>
      <c r="M192" t="inlineStr">
        <is>
          <t>1989</t>
        </is>
      </c>
      <c r="O192" t="inlineStr">
        <is>
          <t>eng</t>
        </is>
      </c>
      <c r="P192" t="inlineStr">
        <is>
          <t>enk</t>
        </is>
      </c>
      <c r="R192" t="inlineStr">
        <is>
          <t xml:space="preserve">DC </t>
        </is>
      </c>
      <c r="S192" t="n">
        <v>2</v>
      </c>
      <c r="T192" t="n">
        <v>2</v>
      </c>
      <c r="U192" t="inlineStr">
        <is>
          <t>1998-04-01</t>
        </is>
      </c>
      <c r="V192" t="inlineStr">
        <is>
          <t>1998-04-01</t>
        </is>
      </c>
      <c r="W192" t="inlineStr">
        <is>
          <t>1989-10-24</t>
        </is>
      </c>
      <c r="X192" t="inlineStr">
        <is>
          <t>1989-10-24</t>
        </is>
      </c>
      <c r="Y192" t="n">
        <v>162</v>
      </c>
      <c r="Z192" t="n">
        <v>81</v>
      </c>
      <c r="AA192" t="n">
        <v>81</v>
      </c>
      <c r="AB192" t="n">
        <v>2</v>
      </c>
      <c r="AC192" t="n">
        <v>2</v>
      </c>
      <c r="AD192" t="n">
        <v>3</v>
      </c>
      <c r="AE192" t="n">
        <v>3</v>
      </c>
      <c r="AF192" t="n">
        <v>0</v>
      </c>
      <c r="AG192" t="n">
        <v>0</v>
      </c>
      <c r="AH192" t="n">
        <v>2</v>
      </c>
      <c r="AI192" t="n">
        <v>2</v>
      </c>
      <c r="AJ192" t="n">
        <v>2</v>
      </c>
      <c r="AK192" t="n">
        <v>2</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HYPERLINK("https://creighton-primo.hosted.exlibrisgroup.com/primo-explore/search?tab=default_tab&amp;search_scope=EVERYTHING&amp;vid=01CRU&amp;lang=en_US&amp;offset=0&amp;query=any,contains,991001407999702656","Catalog Record")</f>
        <v/>
      </c>
      <c r="AT192">
        <f>HYPERLINK("http://www.worldcat.org/oclc/33208970","WorldCat Record")</f>
        <v/>
      </c>
      <c r="AU192" t="inlineStr">
        <is>
          <t>254787709:eng</t>
        </is>
      </c>
      <c r="AV192" t="inlineStr">
        <is>
          <t>33208970</t>
        </is>
      </c>
      <c r="AW192" t="inlineStr">
        <is>
          <t>991001407999702656</t>
        </is>
      </c>
      <c r="AX192" t="inlineStr">
        <is>
          <t>991001407999702656</t>
        </is>
      </c>
      <c r="AY192" t="inlineStr">
        <is>
          <t>2272031710002656</t>
        </is>
      </c>
      <c r="AZ192" t="inlineStr">
        <is>
          <t>BOOK</t>
        </is>
      </c>
      <c r="BB192" t="inlineStr">
        <is>
          <t>9780540011865</t>
        </is>
      </c>
      <c r="BC192" t="inlineStr">
        <is>
          <t>32285000010362</t>
        </is>
      </c>
      <c r="BD192" t="inlineStr">
        <is>
          <t>893866213</t>
        </is>
      </c>
    </row>
    <row r="193">
      <c r="A193" t="inlineStr">
        <is>
          <t>No</t>
        </is>
      </c>
      <c r="B193" t="inlineStr">
        <is>
          <t>DC158.2 .M3</t>
        </is>
      </c>
      <c r="C193" t="inlineStr">
        <is>
          <t>0                      DC 0158200M  3</t>
        </is>
      </c>
      <c r="D193" t="inlineStr">
        <is>
          <t>The French Revolution and the Church.</t>
        </is>
      </c>
      <c r="F193" t="inlineStr">
        <is>
          <t>No</t>
        </is>
      </c>
      <c r="G193" t="inlineStr">
        <is>
          <t>1</t>
        </is>
      </c>
      <c r="H193" t="inlineStr">
        <is>
          <t>No</t>
        </is>
      </c>
      <c r="I193" t="inlineStr">
        <is>
          <t>No</t>
        </is>
      </c>
      <c r="J193" t="inlineStr">
        <is>
          <t>0</t>
        </is>
      </c>
      <c r="K193" t="inlineStr">
        <is>
          <t>McManners, John.</t>
        </is>
      </c>
      <c r="L193" t="inlineStr">
        <is>
          <t>London, S.P.C.K. for the Church Historical Society, 1969.</t>
        </is>
      </c>
      <c r="M193" t="inlineStr">
        <is>
          <t>1969</t>
        </is>
      </c>
      <c r="O193" t="inlineStr">
        <is>
          <t>eng</t>
        </is>
      </c>
      <c r="P193" t="inlineStr">
        <is>
          <t>enk</t>
        </is>
      </c>
      <c r="Q193" t="inlineStr">
        <is>
          <t>Church history outlines ; 4</t>
        </is>
      </c>
      <c r="R193" t="inlineStr">
        <is>
          <t xml:space="preserve">DC </t>
        </is>
      </c>
      <c r="S193" t="n">
        <v>8</v>
      </c>
      <c r="T193" t="n">
        <v>8</v>
      </c>
      <c r="U193" t="inlineStr">
        <is>
          <t>2002-10-29</t>
        </is>
      </c>
      <c r="V193" t="inlineStr">
        <is>
          <t>2002-10-29</t>
        </is>
      </c>
      <c r="W193" t="inlineStr">
        <is>
          <t>1996-11-08</t>
        </is>
      </c>
      <c r="X193" t="inlineStr">
        <is>
          <t>1996-11-08</t>
        </is>
      </c>
      <c r="Y193" t="n">
        <v>365</v>
      </c>
      <c r="Z193" t="n">
        <v>224</v>
      </c>
      <c r="AA193" t="n">
        <v>226</v>
      </c>
      <c r="AB193" t="n">
        <v>2</v>
      </c>
      <c r="AC193" t="n">
        <v>2</v>
      </c>
      <c r="AD193" t="n">
        <v>10</v>
      </c>
      <c r="AE193" t="n">
        <v>10</v>
      </c>
      <c r="AF193" t="n">
        <v>2</v>
      </c>
      <c r="AG193" t="n">
        <v>2</v>
      </c>
      <c r="AH193" t="n">
        <v>3</v>
      </c>
      <c r="AI193" t="n">
        <v>3</v>
      </c>
      <c r="AJ193" t="n">
        <v>6</v>
      </c>
      <c r="AK193" t="n">
        <v>6</v>
      </c>
      <c r="AL193" t="n">
        <v>1</v>
      </c>
      <c r="AM193" t="n">
        <v>1</v>
      </c>
      <c r="AN193" t="n">
        <v>0</v>
      </c>
      <c r="AO193" t="n">
        <v>0</v>
      </c>
      <c r="AP193" t="inlineStr">
        <is>
          <t>No</t>
        </is>
      </c>
      <c r="AQ193" t="inlineStr">
        <is>
          <t>Yes</t>
        </is>
      </c>
      <c r="AR193">
        <f>HYPERLINK("http://catalog.hathitrust.org/Record/000564246","HathiTrust Record")</f>
        <v/>
      </c>
      <c r="AS193">
        <f>HYPERLINK("https://creighton-primo.hosted.exlibrisgroup.com/primo-explore/search?tab=default_tab&amp;search_scope=EVERYTHING&amp;vid=01CRU&amp;lang=en_US&amp;offset=0&amp;query=any,contains,991000457739702656","Catalog Record")</f>
        <v/>
      </c>
      <c r="AT193">
        <f>HYPERLINK("http://www.worldcat.org/oclc/78352","WorldCat Record")</f>
        <v/>
      </c>
      <c r="AU193" t="inlineStr">
        <is>
          <t>9566546346:eng</t>
        </is>
      </c>
      <c r="AV193" t="inlineStr">
        <is>
          <t>78352</t>
        </is>
      </c>
      <c r="AW193" t="inlineStr">
        <is>
          <t>991000457739702656</t>
        </is>
      </c>
      <c r="AX193" t="inlineStr">
        <is>
          <t>991000457739702656</t>
        </is>
      </c>
      <c r="AY193" t="inlineStr">
        <is>
          <t>2254938930002656</t>
        </is>
      </c>
      <c r="AZ193" t="inlineStr">
        <is>
          <t>BOOK</t>
        </is>
      </c>
      <c r="BB193" t="inlineStr">
        <is>
          <t>9780281023356</t>
        </is>
      </c>
      <c r="BC193" t="inlineStr">
        <is>
          <t>32285002342599</t>
        </is>
      </c>
      <c r="BD193" t="inlineStr">
        <is>
          <t>893249365</t>
        </is>
      </c>
    </row>
    <row r="194">
      <c r="A194" t="inlineStr">
        <is>
          <t>No</t>
        </is>
      </c>
      <c r="B194" t="inlineStr">
        <is>
          <t>DC158.2 .S63</t>
        </is>
      </c>
      <c r="C194" t="inlineStr">
        <is>
          <t>0                      DC 0158200S  63</t>
        </is>
      </c>
      <c r="D194" t="inlineStr">
        <is>
          <t>The French revolution and religious reform : an account of ecclesiastical legislation and its influence on affairs in France from 1789 to 1804 / by William Milligan Sloane. Based on the Morse lectures for 1900 before the Union theological seminary.</t>
        </is>
      </c>
      <c r="F194" t="inlineStr">
        <is>
          <t>No</t>
        </is>
      </c>
      <c r="G194" t="inlineStr">
        <is>
          <t>1</t>
        </is>
      </c>
      <c r="H194" t="inlineStr">
        <is>
          <t>No</t>
        </is>
      </c>
      <c r="I194" t="inlineStr">
        <is>
          <t>No</t>
        </is>
      </c>
      <c r="J194" t="inlineStr">
        <is>
          <t>0</t>
        </is>
      </c>
      <c r="K194" t="inlineStr">
        <is>
          <t>Sloane, William Milligan, 1850-1928.</t>
        </is>
      </c>
      <c r="L194" t="inlineStr">
        <is>
          <t>New York : C. Scribner's Sons, 1901.</t>
        </is>
      </c>
      <c r="M194" t="inlineStr">
        <is>
          <t>1901</t>
        </is>
      </c>
      <c r="O194" t="inlineStr">
        <is>
          <t>eng</t>
        </is>
      </c>
      <c r="P194" t="inlineStr">
        <is>
          <t>nyu</t>
        </is>
      </c>
      <c r="R194" t="inlineStr">
        <is>
          <t xml:space="preserve">DC </t>
        </is>
      </c>
      <c r="S194" t="n">
        <v>5</v>
      </c>
      <c r="T194" t="n">
        <v>5</v>
      </c>
      <c r="U194" t="inlineStr">
        <is>
          <t>2002-10-29</t>
        </is>
      </c>
      <c r="V194" t="inlineStr">
        <is>
          <t>2002-10-29</t>
        </is>
      </c>
      <c r="W194" t="inlineStr">
        <is>
          <t>1992-03-16</t>
        </is>
      </c>
      <c r="X194" t="inlineStr">
        <is>
          <t>1992-03-16</t>
        </is>
      </c>
      <c r="Y194" t="n">
        <v>214</v>
      </c>
      <c r="Z194" t="n">
        <v>204</v>
      </c>
      <c r="AA194" t="n">
        <v>406</v>
      </c>
      <c r="AB194" t="n">
        <v>3</v>
      </c>
      <c r="AC194" t="n">
        <v>6</v>
      </c>
      <c r="AD194" t="n">
        <v>8</v>
      </c>
      <c r="AE194" t="n">
        <v>28</v>
      </c>
      <c r="AF194" t="n">
        <v>3</v>
      </c>
      <c r="AG194" t="n">
        <v>8</v>
      </c>
      <c r="AH194" t="n">
        <v>3</v>
      </c>
      <c r="AI194" t="n">
        <v>4</v>
      </c>
      <c r="AJ194" t="n">
        <v>3</v>
      </c>
      <c r="AK194" t="n">
        <v>10</v>
      </c>
      <c r="AL194" t="n">
        <v>2</v>
      </c>
      <c r="AM194" t="n">
        <v>4</v>
      </c>
      <c r="AN194" t="n">
        <v>0</v>
      </c>
      <c r="AO194" t="n">
        <v>6</v>
      </c>
      <c r="AP194" t="inlineStr">
        <is>
          <t>Yes</t>
        </is>
      </c>
      <c r="AQ194" t="inlineStr">
        <is>
          <t>No</t>
        </is>
      </c>
      <c r="AR194">
        <f>HYPERLINK("http://catalog.hathitrust.org/Record/007703086","HathiTrust Record")</f>
        <v/>
      </c>
      <c r="AS194">
        <f>HYPERLINK("https://creighton-primo.hosted.exlibrisgroup.com/primo-explore/search?tab=default_tab&amp;search_scope=EVERYTHING&amp;vid=01CRU&amp;lang=en_US&amp;offset=0&amp;query=any,contains,991003799309702656","Catalog Record")</f>
        <v/>
      </c>
      <c r="AT194">
        <f>HYPERLINK("http://www.worldcat.org/oclc/1525360","WorldCat Record")</f>
        <v/>
      </c>
      <c r="AU194" t="inlineStr">
        <is>
          <t>2374815:eng</t>
        </is>
      </c>
      <c r="AV194" t="inlineStr">
        <is>
          <t>1525360</t>
        </is>
      </c>
      <c r="AW194" t="inlineStr">
        <is>
          <t>991003799309702656</t>
        </is>
      </c>
      <c r="AX194" t="inlineStr">
        <is>
          <t>991003799309702656</t>
        </is>
      </c>
      <c r="AY194" t="inlineStr">
        <is>
          <t>2259303730002656</t>
        </is>
      </c>
      <c r="AZ194" t="inlineStr">
        <is>
          <t>BOOK</t>
        </is>
      </c>
      <c r="BC194" t="inlineStr">
        <is>
          <t>32285001021053</t>
        </is>
      </c>
      <c r="BD194" t="inlineStr">
        <is>
          <t>893718086</t>
        </is>
      </c>
    </row>
    <row r="195">
      <c r="A195" t="inlineStr">
        <is>
          <t>No</t>
        </is>
      </c>
      <c r="B195" t="inlineStr">
        <is>
          <t>DC158.8 .C6</t>
        </is>
      </c>
      <c r="C195" t="inlineStr">
        <is>
          <t>0                      DC 0158800C  6</t>
        </is>
      </c>
      <c r="D195" t="inlineStr">
        <is>
          <t>The social interpretation of the French Revolution.</t>
        </is>
      </c>
      <c r="F195" t="inlineStr">
        <is>
          <t>No</t>
        </is>
      </c>
      <c r="G195" t="inlineStr">
        <is>
          <t>1</t>
        </is>
      </c>
      <c r="H195" t="inlineStr">
        <is>
          <t>No</t>
        </is>
      </c>
      <c r="I195" t="inlineStr">
        <is>
          <t>No</t>
        </is>
      </c>
      <c r="J195" t="inlineStr">
        <is>
          <t>0</t>
        </is>
      </c>
      <c r="K195" t="inlineStr">
        <is>
          <t>Cobban, Alfred.</t>
        </is>
      </c>
      <c r="L195" t="inlineStr">
        <is>
          <t>Cambridge, University Press, 1964.</t>
        </is>
      </c>
      <c r="M195" t="inlineStr">
        <is>
          <t>1964</t>
        </is>
      </c>
      <c r="O195" t="inlineStr">
        <is>
          <t>eng</t>
        </is>
      </c>
      <c r="P195" t="inlineStr">
        <is>
          <t>enk</t>
        </is>
      </c>
      <c r="Q195" t="inlineStr">
        <is>
          <t>The Wiles lectures, 1962</t>
        </is>
      </c>
      <c r="R195" t="inlineStr">
        <is>
          <t xml:space="preserve">DC </t>
        </is>
      </c>
      <c r="S195" t="n">
        <v>8</v>
      </c>
      <c r="T195" t="n">
        <v>8</v>
      </c>
      <c r="U195" t="inlineStr">
        <is>
          <t>2008-12-08</t>
        </is>
      </c>
      <c r="V195" t="inlineStr">
        <is>
          <t>2008-12-08</t>
        </is>
      </c>
      <c r="W195" t="inlineStr">
        <is>
          <t>1996-11-08</t>
        </is>
      </c>
      <c r="X195" t="inlineStr">
        <is>
          <t>1996-11-08</t>
        </is>
      </c>
      <c r="Y195" t="n">
        <v>894</v>
      </c>
      <c r="Z195" t="n">
        <v>703</v>
      </c>
      <c r="AA195" t="n">
        <v>1088</v>
      </c>
      <c r="AB195" t="n">
        <v>4</v>
      </c>
      <c r="AC195" t="n">
        <v>8</v>
      </c>
      <c r="AD195" t="n">
        <v>30</v>
      </c>
      <c r="AE195" t="n">
        <v>49</v>
      </c>
      <c r="AF195" t="n">
        <v>9</v>
      </c>
      <c r="AG195" t="n">
        <v>20</v>
      </c>
      <c r="AH195" t="n">
        <v>8</v>
      </c>
      <c r="AI195" t="n">
        <v>11</v>
      </c>
      <c r="AJ195" t="n">
        <v>18</v>
      </c>
      <c r="AK195" t="n">
        <v>24</v>
      </c>
      <c r="AL195" t="n">
        <v>3</v>
      </c>
      <c r="AM195" t="n">
        <v>7</v>
      </c>
      <c r="AN195" t="n">
        <v>0</v>
      </c>
      <c r="AO195" t="n">
        <v>0</v>
      </c>
      <c r="AP195" t="inlineStr">
        <is>
          <t>No</t>
        </is>
      </c>
      <c r="AQ195" t="inlineStr">
        <is>
          <t>Yes</t>
        </is>
      </c>
      <c r="AR195">
        <f>HYPERLINK("http://catalog.hathitrust.org/Record/000608001","HathiTrust Record")</f>
        <v/>
      </c>
      <c r="AS195">
        <f>HYPERLINK("https://creighton-primo.hosted.exlibrisgroup.com/primo-explore/search?tab=default_tab&amp;search_scope=EVERYTHING&amp;vid=01CRU&amp;lang=en_US&amp;offset=0&amp;query=any,contains,991002700039702656","Catalog Record")</f>
        <v/>
      </c>
      <c r="AT195">
        <f>HYPERLINK("http://www.worldcat.org/oclc/405228","WorldCat Record")</f>
        <v/>
      </c>
      <c r="AU195" t="inlineStr">
        <is>
          <t>503179:eng</t>
        </is>
      </c>
      <c r="AV195" t="inlineStr">
        <is>
          <t>405228</t>
        </is>
      </c>
      <c r="AW195" t="inlineStr">
        <is>
          <t>991002700039702656</t>
        </is>
      </c>
      <c r="AX195" t="inlineStr">
        <is>
          <t>991002700039702656</t>
        </is>
      </c>
      <c r="AY195" t="inlineStr">
        <is>
          <t>2260575490002656</t>
        </is>
      </c>
      <c r="AZ195" t="inlineStr">
        <is>
          <t>BOOK</t>
        </is>
      </c>
      <c r="BC195" t="inlineStr">
        <is>
          <t>32285002342615</t>
        </is>
      </c>
      <c r="BD195" t="inlineStr">
        <is>
          <t>893245528</t>
        </is>
      </c>
    </row>
    <row r="196">
      <c r="A196" t="inlineStr">
        <is>
          <t>No</t>
        </is>
      </c>
      <c r="B196" t="inlineStr">
        <is>
          <t>DC158.8 .D37 1990</t>
        </is>
      </c>
      <c r="C196" t="inlineStr">
        <is>
          <t>0                      DC 0158800D  37          1990</t>
        </is>
      </c>
      <c r="D196" t="inlineStr">
        <is>
          <t>The kiss of Lamourette : reflections in cultural history / Robert Darnton.</t>
        </is>
      </c>
      <c r="F196" t="inlineStr">
        <is>
          <t>No</t>
        </is>
      </c>
      <c r="G196" t="inlineStr">
        <is>
          <t>1</t>
        </is>
      </c>
      <c r="H196" t="inlineStr">
        <is>
          <t>No</t>
        </is>
      </c>
      <c r="I196" t="inlineStr">
        <is>
          <t>No</t>
        </is>
      </c>
      <c r="J196" t="inlineStr">
        <is>
          <t>0</t>
        </is>
      </c>
      <c r="K196" t="inlineStr">
        <is>
          <t>Darnton, Robert.</t>
        </is>
      </c>
      <c r="L196" t="inlineStr">
        <is>
          <t>New York : Norton, c1990.</t>
        </is>
      </c>
      <c r="M196" t="inlineStr">
        <is>
          <t>1990</t>
        </is>
      </c>
      <c r="N196" t="inlineStr">
        <is>
          <t>1st ed.</t>
        </is>
      </c>
      <c r="O196" t="inlineStr">
        <is>
          <t>eng</t>
        </is>
      </c>
      <c r="P196" t="inlineStr">
        <is>
          <t>nyu</t>
        </is>
      </c>
      <c r="R196" t="inlineStr">
        <is>
          <t xml:space="preserve">DC </t>
        </is>
      </c>
      <c r="S196" t="n">
        <v>5</v>
      </c>
      <c r="T196" t="n">
        <v>5</v>
      </c>
      <c r="U196" t="inlineStr">
        <is>
          <t>2009-10-12</t>
        </is>
      </c>
      <c r="V196" t="inlineStr">
        <is>
          <t>2009-10-12</t>
        </is>
      </c>
      <c r="W196" t="inlineStr">
        <is>
          <t>2001-07-23</t>
        </is>
      </c>
      <c r="X196" t="inlineStr">
        <is>
          <t>2001-07-23</t>
        </is>
      </c>
      <c r="Y196" t="n">
        <v>991</v>
      </c>
      <c r="Z196" t="n">
        <v>857</v>
      </c>
      <c r="AA196" t="n">
        <v>864</v>
      </c>
      <c r="AB196" t="n">
        <v>5</v>
      </c>
      <c r="AC196" t="n">
        <v>5</v>
      </c>
      <c r="AD196" t="n">
        <v>36</v>
      </c>
      <c r="AE196" t="n">
        <v>36</v>
      </c>
      <c r="AF196" t="n">
        <v>13</v>
      </c>
      <c r="AG196" t="n">
        <v>13</v>
      </c>
      <c r="AH196" t="n">
        <v>10</v>
      </c>
      <c r="AI196" t="n">
        <v>10</v>
      </c>
      <c r="AJ196" t="n">
        <v>20</v>
      </c>
      <c r="AK196" t="n">
        <v>20</v>
      </c>
      <c r="AL196" t="n">
        <v>4</v>
      </c>
      <c r="AM196" t="n">
        <v>4</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HYPERLINK("https://creighton-primo.hosted.exlibrisgroup.com/primo-explore/search?tab=default_tab&amp;search_scope=EVERYTHING&amp;vid=01CRU&amp;lang=en_US&amp;offset=0&amp;query=any,contains,991003587709702656","Catalog Record")</f>
        <v/>
      </c>
      <c r="AT196">
        <f>HYPERLINK("http://www.worldcat.org/oclc/19669663","WorldCat Record")</f>
        <v/>
      </c>
      <c r="AU196" t="inlineStr">
        <is>
          <t>838348652:eng</t>
        </is>
      </c>
      <c r="AV196" t="inlineStr">
        <is>
          <t>19669663</t>
        </is>
      </c>
      <c r="AW196" t="inlineStr">
        <is>
          <t>991003587709702656</t>
        </is>
      </c>
      <c r="AX196" t="inlineStr">
        <is>
          <t>991003587709702656</t>
        </is>
      </c>
      <c r="AY196" t="inlineStr">
        <is>
          <t>2262004050002656</t>
        </is>
      </c>
      <c r="AZ196" t="inlineStr">
        <is>
          <t>BOOK</t>
        </is>
      </c>
      <c r="BB196" t="inlineStr">
        <is>
          <t>9780393027532</t>
        </is>
      </c>
      <c r="BC196" t="inlineStr">
        <is>
          <t>32285004334495</t>
        </is>
      </c>
      <c r="BD196" t="inlineStr">
        <is>
          <t>893240378</t>
        </is>
      </c>
    </row>
    <row r="197">
      <c r="A197" t="inlineStr">
        <is>
          <t>No</t>
        </is>
      </c>
      <c r="B197" t="inlineStr">
        <is>
          <t>DC158.8 .E57 1998</t>
        </is>
      </c>
      <c r="C197" t="inlineStr">
        <is>
          <t>0                      DC 0158800E  57          1998</t>
        </is>
      </c>
      <c r="D197" t="inlineStr">
        <is>
          <t>Out of the shadows : women and politics in the French Revolution, 1789-95 / Shirley Elson Roessler.</t>
        </is>
      </c>
      <c r="F197" t="inlineStr">
        <is>
          <t>No</t>
        </is>
      </c>
      <c r="G197" t="inlineStr">
        <is>
          <t>1</t>
        </is>
      </c>
      <c r="H197" t="inlineStr">
        <is>
          <t>No</t>
        </is>
      </c>
      <c r="I197" t="inlineStr">
        <is>
          <t>No</t>
        </is>
      </c>
      <c r="J197" t="inlineStr">
        <is>
          <t>0</t>
        </is>
      </c>
      <c r="K197" t="inlineStr">
        <is>
          <t>Elson Roessler, Shirley, 1942-</t>
        </is>
      </c>
      <c r="L197" t="inlineStr">
        <is>
          <t>New York : P. Lang, c1998.</t>
        </is>
      </c>
      <c r="M197" t="inlineStr">
        <is>
          <t>1998</t>
        </is>
      </c>
      <c r="O197" t="inlineStr">
        <is>
          <t>eng</t>
        </is>
      </c>
      <c r="P197" t="inlineStr">
        <is>
          <t>nyu</t>
        </is>
      </c>
      <c r="Q197" t="inlineStr">
        <is>
          <t>Studies in modern European history ; v. 14</t>
        </is>
      </c>
      <c r="R197" t="inlineStr">
        <is>
          <t xml:space="preserve">DC </t>
        </is>
      </c>
      <c r="S197" t="n">
        <v>12</v>
      </c>
      <c r="T197" t="n">
        <v>12</v>
      </c>
      <c r="U197" t="inlineStr">
        <is>
          <t>2005-11-18</t>
        </is>
      </c>
      <c r="V197" t="inlineStr">
        <is>
          <t>2005-11-18</t>
        </is>
      </c>
      <c r="W197" t="inlineStr">
        <is>
          <t>1998-06-16</t>
        </is>
      </c>
      <c r="X197" t="inlineStr">
        <is>
          <t>1998-06-16</t>
        </is>
      </c>
      <c r="Y197" t="n">
        <v>164</v>
      </c>
      <c r="Z197" t="n">
        <v>128</v>
      </c>
      <c r="AA197" t="n">
        <v>437</v>
      </c>
      <c r="AB197" t="n">
        <v>1</v>
      </c>
      <c r="AC197" t="n">
        <v>3</v>
      </c>
      <c r="AD197" t="n">
        <v>11</v>
      </c>
      <c r="AE197" t="n">
        <v>32</v>
      </c>
      <c r="AF197" t="n">
        <v>6</v>
      </c>
      <c r="AG197" t="n">
        <v>11</v>
      </c>
      <c r="AH197" t="n">
        <v>3</v>
      </c>
      <c r="AI197" t="n">
        <v>11</v>
      </c>
      <c r="AJ197" t="n">
        <v>5</v>
      </c>
      <c r="AK197" t="n">
        <v>20</v>
      </c>
      <c r="AL197" t="n">
        <v>0</v>
      </c>
      <c r="AM197" t="n">
        <v>2</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HYPERLINK("https://creighton-primo.hosted.exlibrisgroup.com/primo-explore/search?tab=default_tab&amp;search_scope=EVERYTHING&amp;vid=01CRU&amp;lang=en_US&amp;offset=0&amp;query=any,contains,991002926819702656","Catalog Record")</f>
        <v/>
      </c>
      <c r="AT197">
        <f>HYPERLINK("http://www.worldcat.org/oclc/38857794","WorldCat Record")</f>
        <v/>
      </c>
      <c r="AU197" t="inlineStr">
        <is>
          <t>33261010:eng</t>
        </is>
      </c>
      <c r="AV197" t="inlineStr">
        <is>
          <t>38857794</t>
        </is>
      </c>
      <c r="AW197" t="inlineStr">
        <is>
          <t>991002926819702656</t>
        </is>
      </c>
      <c r="AX197" t="inlineStr">
        <is>
          <t>991002926819702656</t>
        </is>
      </c>
      <c r="AY197" t="inlineStr">
        <is>
          <t>2262225130002656</t>
        </is>
      </c>
      <c r="AZ197" t="inlineStr">
        <is>
          <t>BOOK</t>
        </is>
      </c>
      <c r="BB197" t="inlineStr">
        <is>
          <t>9780820425658</t>
        </is>
      </c>
      <c r="BC197" t="inlineStr">
        <is>
          <t>32285003421368</t>
        </is>
      </c>
      <c r="BD197" t="inlineStr">
        <is>
          <t>893805223</t>
        </is>
      </c>
    </row>
    <row r="198">
      <c r="A198" t="inlineStr">
        <is>
          <t>No</t>
        </is>
      </c>
      <c r="B198" t="inlineStr">
        <is>
          <t>DC158.8 .H3</t>
        </is>
      </c>
      <c r="C198" t="inlineStr">
        <is>
          <t>0                      DC 0158800H  3</t>
        </is>
      </c>
      <c r="D198" t="inlineStr">
        <is>
          <t>Contemporary American opinion of the French Revolution.</t>
        </is>
      </c>
      <c r="F198" t="inlineStr">
        <is>
          <t>No</t>
        </is>
      </c>
      <c r="G198" t="inlineStr">
        <is>
          <t>1</t>
        </is>
      </c>
      <c r="H198" t="inlineStr">
        <is>
          <t>No</t>
        </is>
      </c>
      <c r="I198" t="inlineStr">
        <is>
          <t>No</t>
        </is>
      </c>
      <c r="J198" t="inlineStr">
        <is>
          <t>0</t>
        </is>
      </c>
      <c r="K198" t="inlineStr">
        <is>
          <t>Hazen, Charles Downer, 1868-1941.</t>
        </is>
      </c>
      <c r="L198" t="inlineStr">
        <is>
          <t>Baltimore, Johns Hopkins Press, 1897.</t>
        </is>
      </c>
      <c r="M198" t="inlineStr">
        <is>
          <t>1897</t>
        </is>
      </c>
      <c r="O198" t="inlineStr">
        <is>
          <t>eng</t>
        </is>
      </c>
      <c r="P198" t="inlineStr">
        <is>
          <t xml:space="preserve">xx </t>
        </is>
      </c>
      <c r="Q198" t="inlineStr">
        <is>
          <t>Johns Hopkins University studies in historical and political science. Extra volumes ; 16</t>
        </is>
      </c>
      <c r="R198" t="inlineStr">
        <is>
          <t xml:space="preserve">DC </t>
        </is>
      </c>
      <c r="S198" t="n">
        <v>1</v>
      </c>
      <c r="T198" t="n">
        <v>1</v>
      </c>
      <c r="U198" t="inlineStr">
        <is>
          <t>2002-11-04</t>
        </is>
      </c>
      <c r="V198" t="inlineStr">
        <is>
          <t>2002-11-04</t>
        </is>
      </c>
      <c r="W198" t="inlineStr">
        <is>
          <t>1996-05-14</t>
        </is>
      </c>
      <c r="X198" t="inlineStr">
        <is>
          <t>1996-05-14</t>
        </is>
      </c>
      <c r="Y198" t="n">
        <v>226</v>
      </c>
      <c r="Z198" t="n">
        <v>186</v>
      </c>
      <c r="AA198" t="n">
        <v>200</v>
      </c>
      <c r="AB198" t="n">
        <v>3</v>
      </c>
      <c r="AC198" t="n">
        <v>3</v>
      </c>
      <c r="AD198" t="n">
        <v>9</v>
      </c>
      <c r="AE198" t="n">
        <v>9</v>
      </c>
      <c r="AF198" t="n">
        <v>2</v>
      </c>
      <c r="AG198" t="n">
        <v>2</v>
      </c>
      <c r="AH198" t="n">
        <v>1</v>
      </c>
      <c r="AI198" t="n">
        <v>1</v>
      </c>
      <c r="AJ198" t="n">
        <v>5</v>
      </c>
      <c r="AK198" t="n">
        <v>5</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HYPERLINK("https://creighton-primo.hosted.exlibrisgroup.com/primo-explore/search?tab=default_tab&amp;search_scope=EVERYTHING&amp;vid=01CRU&amp;lang=en_US&amp;offset=0&amp;query=any,contains,991003573429702656","Catalog Record")</f>
        <v/>
      </c>
      <c r="AT198">
        <f>HYPERLINK("http://www.worldcat.org/oclc/1149141","WorldCat Record")</f>
        <v/>
      </c>
      <c r="AU198" t="inlineStr">
        <is>
          <t>10596203253:eng</t>
        </is>
      </c>
      <c r="AV198" t="inlineStr">
        <is>
          <t>1149141</t>
        </is>
      </c>
      <c r="AW198" t="inlineStr">
        <is>
          <t>991003573429702656</t>
        </is>
      </c>
      <c r="AX198" t="inlineStr">
        <is>
          <t>991003573429702656</t>
        </is>
      </c>
      <c r="AY198" t="inlineStr">
        <is>
          <t>2261688180002656</t>
        </is>
      </c>
      <c r="AZ198" t="inlineStr">
        <is>
          <t>BOOK</t>
        </is>
      </c>
      <c r="BC198" t="inlineStr">
        <is>
          <t>32285002163730</t>
        </is>
      </c>
      <c r="BD198" t="inlineStr">
        <is>
          <t>893868575</t>
        </is>
      </c>
    </row>
    <row r="199">
      <c r="A199" t="inlineStr">
        <is>
          <t>No</t>
        </is>
      </c>
      <c r="B199" t="inlineStr">
        <is>
          <t>DC158.8 .O98 1989</t>
        </is>
      </c>
      <c r="C199" t="inlineStr">
        <is>
          <t>0                      DC 0158800O  98          1989</t>
        </is>
      </c>
      <c r="D199" t="inlineStr">
        <is>
          <t>The body and the French Revolution : sex, class and political culture / Dorinda Outram.</t>
        </is>
      </c>
      <c r="F199" t="inlineStr">
        <is>
          <t>No</t>
        </is>
      </c>
      <c r="G199" t="inlineStr">
        <is>
          <t>1</t>
        </is>
      </c>
      <c r="H199" t="inlineStr">
        <is>
          <t>No</t>
        </is>
      </c>
      <c r="I199" t="inlineStr">
        <is>
          <t>No</t>
        </is>
      </c>
      <c r="J199" t="inlineStr">
        <is>
          <t>0</t>
        </is>
      </c>
      <c r="K199" t="inlineStr">
        <is>
          <t>Outram, Dorinda.</t>
        </is>
      </c>
      <c r="L199" t="inlineStr">
        <is>
          <t>New Haven, Conn. : Yale University Press, 1989.</t>
        </is>
      </c>
      <c r="M199" t="inlineStr">
        <is>
          <t>1989</t>
        </is>
      </c>
      <c r="O199" t="inlineStr">
        <is>
          <t>eng</t>
        </is>
      </c>
      <c r="P199" t="inlineStr">
        <is>
          <t>ctu</t>
        </is>
      </c>
      <c r="R199" t="inlineStr">
        <is>
          <t xml:space="preserve">DC </t>
        </is>
      </c>
      <c r="S199" t="n">
        <v>11</v>
      </c>
      <c r="T199" t="n">
        <v>11</v>
      </c>
      <c r="U199" t="inlineStr">
        <is>
          <t>2006-06-23</t>
        </is>
      </c>
      <c r="V199" t="inlineStr">
        <is>
          <t>2006-06-23</t>
        </is>
      </c>
      <c r="W199" t="inlineStr">
        <is>
          <t>1990-06-04</t>
        </is>
      </c>
      <c r="X199" t="inlineStr">
        <is>
          <t>1990-06-04</t>
        </is>
      </c>
      <c r="Y199" t="n">
        <v>495</v>
      </c>
      <c r="Z199" t="n">
        <v>343</v>
      </c>
      <c r="AA199" t="n">
        <v>509</v>
      </c>
      <c r="AB199" t="n">
        <v>1</v>
      </c>
      <c r="AC199" t="n">
        <v>1</v>
      </c>
      <c r="AD199" t="n">
        <v>16</v>
      </c>
      <c r="AE199" t="n">
        <v>23</v>
      </c>
      <c r="AF199" t="n">
        <v>4</v>
      </c>
      <c r="AG199" t="n">
        <v>9</v>
      </c>
      <c r="AH199" t="n">
        <v>6</v>
      </c>
      <c r="AI199" t="n">
        <v>8</v>
      </c>
      <c r="AJ199" t="n">
        <v>11</v>
      </c>
      <c r="AK199" t="n">
        <v>12</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HYPERLINK("https://creighton-primo.hosted.exlibrisgroup.com/primo-explore/search?tab=default_tab&amp;search_scope=EVERYTHING&amp;vid=01CRU&amp;lang=en_US&amp;offset=0&amp;query=any,contains,991001523279702656","Catalog Record")</f>
        <v/>
      </c>
      <c r="AT199">
        <f>HYPERLINK("http://www.worldcat.org/oclc/19999305","WorldCat Record")</f>
        <v/>
      </c>
      <c r="AU199" t="inlineStr">
        <is>
          <t>20731368:eng</t>
        </is>
      </c>
      <c r="AV199" t="inlineStr">
        <is>
          <t>19999305</t>
        </is>
      </c>
      <c r="AW199" t="inlineStr">
        <is>
          <t>991001523279702656</t>
        </is>
      </c>
      <c r="AX199" t="inlineStr">
        <is>
          <t>991001523279702656</t>
        </is>
      </c>
      <c r="AY199" t="inlineStr">
        <is>
          <t>2264577170002656</t>
        </is>
      </c>
      <c r="AZ199" t="inlineStr">
        <is>
          <t>BOOK</t>
        </is>
      </c>
      <c r="BB199" t="inlineStr">
        <is>
          <t>9780300044362</t>
        </is>
      </c>
      <c r="BC199" t="inlineStr">
        <is>
          <t>32285000158237</t>
        </is>
      </c>
      <c r="BD199" t="inlineStr">
        <is>
          <t>893534586</t>
        </is>
      </c>
    </row>
    <row r="200">
      <c r="A200" t="inlineStr">
        <is>
          <t>No</t>
        </is>
      </c>
      <c r="B200" t="inlineStr">
        <is>
          <t>DC158.8 .P47 1989</t>
        </is>
      </c>
      <c r="C200" t="inlineStr">
        <is>
          <t>0                      DC 0158800P  47          1989</t>
        </is>
      </c>
      <c r="D200" t="inlineStr">
        <is>
          <t>The Permanent revolution : the French Revolution and its legacy, 1789-1989 / edited by Geoffrey Best.</t>
        </is>
      </c>
      <c r="F200" t="inlineStr">
        <is>
          <t>No</t>
        </is>
      </c>
      <c r="G200" t="inlineStr">
        <is>
          <t>1</t>
        </is>
      </c>
      <c r="H200" t="inlineStr">
        <is>
          <t>No</t>
        </is>
      </c>
      <c r="I200" t="inlineStr">
        <is>
          <t>No</t>
        </is>
      </c>
      <c r="J200" t="inlineStr">
        <is>
          <t>0</t>
        </is>
      </c>
      <c r="L200" t="inlineStr">
        <is>
          <t>Chicago : University of Chicago Press, 1989, c1988.</t>
        </is>
      </c>
      <c r="M200" t="inlineStr">
        <is>
          <t>1989</t>
        </is>
      </c>
      <c r="N200" t="inlineStr">
        <is>
          <t>University of Chicago Press ed.</t>
        </is>
      </c>
      <c r="O200" t="inlineStr">
        <is>
          <t>eng</t>
        </is>
      </c>
      <c r="P200" t="inlineStr">
        <is>
          <t>ilu</t>
        </is>
      </c>
      <c r="R200" t="inlineStr">
        <is>
          <t xml:space="preserve">DC </t>
        </is>
      </c>
      <c r="S200" t="n">
        <v>4</v>
      </c>
      <c r="T200" t="n">
        <v>4</v>
      </c>
      <c r="U200" t="inlineStr">
        <is>
          <t>2005-11-19</t>
        </is>
      </c>
      <c r="V200" t="inlineStr">
        <is>
          <t>2005-11-19</t>
        </is>
      </c>
      <c r="W200" t="inlineStr">
        <is>
          <t>1990-02-07</t>
        </is>
      </c>
      <c r="X200" t="inlineStr">
        <is>
          <t>1990-02-07</t>
        </is>
      </c>
      <c r="Y200" t="n">
        <v>600</v>
      </c>
      <c r="Z200" t="n">
        <v>522</v>
      </c>
      <c r="AA200" t="n">
        <v>583</v>
      </c>
      <c r="AB200" t="n">
        <v>1</v>
      </c>
      <c r="AC200" t="n">
        <v>4</v>
      </c>
      <c r="AD200" t="n">
        <v>28</v>
      </c>
      <c r="AE200" t="n">
        <v>32</v>
      </c>
      <c r="AF200" t="n">
        <v>12</v>
      </c>
      <c r="AG200" t="n">
        <v>12</v>
      </c>
      <c r="AH200" t="n">
        <v>8</v>
      </c>
      <c r="AI200" t="n">
        <v>9</v>
      </c>
      <c r="AJ200" t="n">
        <v>15</v>
      </c>
      <c r="AK200" t="n">
        <v>16</v>
      </c>
      <c r="AL200" t="n">
        <v>0</v>
      </c>
      <c r="AM200" t="n">
        <v>3</v>
      </c>
      <c r="AN200" t="n">
        <v>1</v>
      </c>
      <c r="AO200" t="n">
        <v>1</v>
      </c>
      <c r="AP200" t="inlineStr">
        <is>
          <t>No</t>
        </is>
      </c>
      <c r="AQ200" t="inlineStr">
        <is>
          <t>No</t>
        </is>
      </c>
      <c r="AS200">
        <f>HYPERLINK("https://creighton-primo.hosted.exlibrisgroup.com/primo-explore/search?tab=default_tab&amp;search_scope=EVERYTHING&amp;vid=01CRU&amp;lang=en_US&amp;offset=0&amp;query=any,contains,991001352219702656","Catalog Record")</f>
        <v/>
      </c>
      <c r="AT200">
        <f>HYPERLINK("http://www.worldcat.org/oclc/18442576","WorldCat Record")</f>
        <v/>
      </c>
      <c r="AU200" t="inlineStr">
        <is>
          <t>836895807:eng</t>
        </is>
      </c>
      <c r="AV200" t="inlineStr">
        <is>
          <t>18442576</t>
        </is>
      </c>
      <c r="AW200" t="inlineStr">
        <is>
          <t>991001352219702656</t>
        </is>
      </c>
      <c r="AX200" t="inlineStr">
        <is>
          <t>991001352219702656</t>
        </is>
      </c>
      <c r="AY200" t="inlineStr">
        <is>
          <t>2269432370002656</t>
        </is>
      </c>
      <c r="AZ200" t="inlineStr">
        <is>
          <t>BOOK</t>
        </is>
      </c>
      <c r="BB200" t="inlineStr">
        <is>
          <t>9780226044286</t>
        </is>
      </c>
      <c r="BC200" t="inlineStr">
        <is>
          <t>32285000036938</t>
        </is>
      </c>
      <c r="BD200" t="inlineStr">
        <is>
          <t>893414181</t>
        </is>
      </c>
    </row>
    <row r="201">
      <c r="A201" t="inlineStr">
        <is>
          <t>No</t>
        </is>
      </c>
      <c r="B201" t="inlineStr">
        <is>
          <t>DC158.8 .R62</t>
        </is>
      </c>
      <c r="C201" t="inlineStr">
        <is>
          <t>0                      DC 0158800R  62</t>
        </is>
      </c>
      <c r="D201" t="inlineStr">
        <is>
          <t>The French Revolution / J. M. Roberts.</t>
        </is>
      </c>
      <c r="F201" t="inlineStr">
        <is>
          <t>No</t>
        </is>
      </c>
      <c r="G201" t="inlineStr">
        <is>
          <t>1</t>
        </is>
      </c>
      <c r="H201" t="inlineStr">
        <is>
          <t>No</t>
        </is>
      </c>
      <c r="I201" t="inlineStr">
        <is>
          <t>No</t>
        </is>
      </c>
      <c r="J201" t="inlineStr">
        <is>
          <t>0</t>
        </is>
      </c>
      <c r="K201" t="inlineStr">
        <is>
          <t>Roberts, J. M. (John Morris), 1928-2003.</t>
        </is>
      </c>
      <c r="L201" t="inlineStr">
        <is>
          <t>Oxford [Eng.] ; New York : Oxford University Press, 1978.</t>
        </is>
      </c>
      <c r="M201" t="inlineStr">
        <is>
          <t>1978</t>
        </is>
      </c>
      <c r="O201" t="inlineStr">
        <is>
          <t>eng</t>
        </is>
      </c>
      <c r="P201" t="inlineStr">
        <is>
          <t>enk</t>
        </is>
      </c>
      <c r="Q201" t="inlineStr">
        <is>
          <t>OPUS</t>
        </is>
      </c>
      <c r="R201" t="inlineStr">
        <is>
          <t xml:space="preserve">DC </t>
        </is>
      </c>
      <c r="S201" t="n">
        <v>11</v>
      </c>
      <c r="T201" t="n">
        <v>11</v>
      </c>
      <c r="U201" t="inlineStr">
        <is>
          <t>2008-12-08</t>
        </is>
      </c>
      <c r="V201" t="inlineStr">
        <is>
          <t>2008-12-08</t>
        </is>
      </c>
      <c r="W201" t="inlineStr">
        <is>
          <t>1990-12-12</t>
        </is>
      </c>
      <c r="X201" t="inlineStr">
        <is>
          <t>1990-12-12</t>
        </is>
      </c>
      <c r="Y201" t="n">
        <v>818</v>
      </c>
      <c r="Z201" t="n">
        <v>578</v>
      </c>
      <c r="AA201" t="n">
        <v>692</v>
      </c>
      <c r="AB201" t="n">
        <v>5</v>
      </c>
      <c r="AC201" t="n">
        <v>5</v>
      </c>
      <c r="AD201" t="n">
        <v>24</v>
      </c>
      <c r="AE201" t="n">
        <v>31</v>
      </c>
      <c r="AF201" t="n">
        <v>6</v>
      </c>
      <c r="AG201" t="n">
        <v>11</v>
      </c>
      <c r="AH201" t="n">
        <v>6</v>
      </c>
      <c r="AI201" t="n">
        <v>8</v>
      </c>
      <c r="AJ201" t="n">
        <v>13</v>
      </c>
      <c r="AK201" t="n">
        <v>17</v>
      </c>
      <c r="AL201" t="n">
        <v>4</v>
      </c>
      <c r="AM201" t="n">
        <v>4</v>
      </c>
      <c r="AN201" t="n">
        <v>0</v>
      </c>
      <c r="AO201" t="n">
        <v>0</v>
      </c>
      <c r="AP201" t="inlineStr">
        <is>
          <t>No</t>
        </is>
      </c>
      <c r="AQ201" t="inlineStr">
        <is>
          <t>Yes</t>
        </is>
      </c>
      <c r="AR201">
        <f>HYPERLINK("http://catalog.hathitrust.org/Record/000174559","HathiTrust Record")</f>
        <v/>
      </c>
      <c r="AS201">
        <f>HYPERLINK("https://creighton-primo.hosted.exlibrisgroup.com/primo-explore/search?tab=default_tab&amp;search_scope=EVERYTHING&amp;vid=01CRU&amp;lang=en_US&amp;offset=0&amp;query=any,contains,991004549689702656","Catalog Record")</f>
        <v/>
      </c>
      <c r="AT201">
        <f>HYPERLINK("http://www.worldcat.org/oclc/3932980","WorldCat Record")</f>
        <v/>
      </c>
      <c r="AU201" t="inlineStr">
        <is>
          <t>3855681146:eng</t>
        </is>
      </c>
      <c r="AV201" t="inlineStr">
        <is>
          <t>3932980</t>
        </is>
      </c>
      <c r="AW201" t="inlineStr">
        <is>
          <t>991004549689702656</t>
        </is>
      </c>
      <c r="AX201" t="inlineStr">
        <is>
          <t>991004549689702656</t>
        </is>
      </c>
      <c r="AY201" t="inlineStr">
        <is>
          <t>2267826420002656</t>
        </is>
      </c>
      <c r="AZ201" t="inlineStr">
        <is>
          <t>BOOK</t>
        </is>
      </c>
      <c r="BB201" t="inlineStr">
        <is>
          <t>9780192890696</t>
        </is>
      </c>
      <c r="BC201" t="inlineStr">
        <is>
          <t>32285000394519</t>
        </is>
      </c>
      <c r="BD201" t="inlineStr">
        <is>
          <t>893247713</t>
        </is>
      </c>
    </row>
    <row r="202">
      <c r="A202" t="inlineStr">
        <is>
          <t>No</t>
        </is>
      </c>
      <c r="B202" t="inlineStr">
        <is>
          <t>DC158.8 .R8</t>
        </is>
      </c>
      <c r="C202" t="inlineStr">
        <is>
          <t>0                      DC 0158800R  8</t>
        </is>
      </c>
      <c r="D202" t="inlineStr">
        <is>
          <t>The crowd in the French Revolution.</t>
        </is>
      </c>
      <c r="F202" t="inlineStr">
        <is>
          <t>No</t>
        </is>
      </c>
      <c r="G202" t="inlineStr">
        <is>
          <t>1</t>
        </is>
      </c>
      <c r="H202" t="inlineStr">
        <is>
          <t>No</t>
        </is>
      </c>
      <c r="I202" t="inlineStr">
        <is>
          <t>No</t>
        </is>
      </c>
      <c r="J202" t="inlineStr">
        <is>
          <t>0</t>
        </is>
      </c>
      <c r="K202" t="inlineStr">
        <is>
          <t>Rudé, George F. E.</t>
        </is>
      </c>
      <c r="L202" t="inlineStr">
        <is>
          <t>Oxford, Clarendon Press, 1959.</t>
        </is>
      </c>
      <c r="M202" t="inlineStr">
        <is>
          <t>1959</t>
        </is>
      </c>
      <c r="O202" t="inlineStr">
        <is>
          <t>eng</t>
        </is>
      </c>
      <c r="P202" t="inlineStr">
        <is>
          <t>enk</t>
        </is>
      </c>
      <c r="R202" t="inlineStr">
        <is>
          <t xml:space="preserve">DC </t>
        </is>
      </c>
      <c r="S202" t="n">
        <v>9</v>
      </c>
      <c r="T202" t="n">
        <v>9</v>
      </c>
      <c r="U202" t="inlineStr">
        <is>
          <t>2006-09-11</t>
        </is>
      </c>
      <c r="V202" t="inlineStr">
        <is>
          <t>2006-09-11</t>
        </is>
      </c>
      <c r="W202" t="inlineStr">
        <is>
          <t>1996-11-08</t>
        </is>
      </c>
      <c r="X202" t="inlineStr">
        <is>
          <t>1996-11-08</t>
        </is>
      </c>
      <c r="Y202" t="n">
        <v>893</v>
      </c>
      <c r="Z202" t="n">
        <v>747</v>
      </c>
      <c r="AA202" t="n">
        <v>1139</v>
      </c>
      <c r="AB202" t="n">
        <v>4</v>
      </c>
      <c r="AC202" t="n">
        <v>9</v>
      </c>
      <c r="AD202" t="n">
        <v>36</v>
      </c>
      <c r="AE202" t="n">
        <v>54</v>
      </c>
      <c r="AF202" t="n">
        <v>20</v>
      </c>
      <c r="AG202" t="n">
        <v>26</v>
      </c>
      <c r="AH202" t="n">
        <v>7</v>
      </c>
      <c r="AI202" t="n">
        <v>11</v>
      </c>
      <c r="AJ202" t="n">
        <v>15</v>
      </c>
      <c r="AK202" t="n">
        <v>22</v>
      </c>
      <c r="AL202" t="n">
        <v>3</v>
      </c>
      <c r="AM202" t="n">
        <v>8</v>
      </c>
      <c r="AN202" t="n">
        <v>0</v>
      </c>
      <c r="AO202" t="n">
        <v>0</v>
      </c>
      <c r="AP202" t="inlineStr">
        <is>
          <t>No</t>
        </is>
      </c>
      <c r="AQ202" t="inlineStr">
        <is>
          <t>Yes</t>
        </is>
      </c>
      <c r="AR202">
        <f>HYPERLINK("http://catalog.hathitrust.org/Record/000564275","HathiTrust Record")</f>
        <v/>
      </c>
      <c r="AS202">
        <f>HYPERLINK("https://creighton-primo.hosted.exlibrisgroup.com/primo-explore/search?tab=default_tab&amp;search_scope=EVERYTHING&amp;vid=01CRU&amp;lang=en_US&amp;offset=0&amp;query=any,contains,991002690439702656","Catalog Record")</f>
        <v/>
      </c>
      <c r="AT202">
        <f>HYPERLINK("http://www.worldcat.org/oclc/401387","WorldCat Record")</f>
        <v/>
      </c>
      <c r="AU202" t="inlineStr">
        <is>
          <t>414654:eng</t>
        </is>
      </c>
      <c r="AV202" t="inlineStr">
        <is>
          <t>401387</t>
        </is>
      </c>
      <c r="AW202" t="inlineStr">
        <is>
          <t>991002690439702656</t>
        </is>
      </c>
      <c r="AX202" t="inlineStr">
        <is>
          <t>991002690439702656</t>
        </is>
      </c>
      <c r="AY202" t="inlineStr">
        <is>
          <t>2268080990002656</t>
        </is>
      </c>
      <c r="AZ202" t="inlineStr">
        <is>
          <t>BOOK</t>
        </is>
      </c>
      <c r="BC202" t="inlineStr">
        <is>
          <t>32285002342631</t>
        </is>
      </c>
      <c r="BD202" t="inlineStr">
        <is>
          <t>893716797</t>
        </is>
      </c>
    </row>
    <row r="203">
      <c r="A203" t="inlineStr">
        <is>
          <t>No</t>
        </is>
      </c>
      <c r="B203" t="inlineStr">
        <is>
          <t>DC158.8 .S476 1997</t>
        </is>
      </c>
      <c r="C203" t="inlineStr">
        <is>
          <t>0                      DC 0158800S  476         1997</t>
        </is>
      </c>
      <c r="D203" t="inlineStr">
        <is>
          <t>The French Revolution &amp; the Russian anti-democratic tradition : a case of false consciousness / Dmitry Shlapentokh.</t>
        </is>
      </c>
      <c r="F203" t="inlineStr">
        <is>
          <t>No</t>
        </is>
      </c>
      <c r="G203" t="inlineStr">
        <is>
          <t>1</t>
        </is>
      </c>
      <c r="H203" t="inlineStr">
        <is>
          <t>No</t>
        </is>
      </c>
      <c r="I203" t="inlineStr">
        <is>
          <t>No</t>
        </is>
      </c>
      <c r="J203" t="inlineStr">
        <is>
          <t>0</t>
        </is>
      </c>
      <c r="K203" t="inlineStr">
        <is>
          <t>Shlapentokh, Dmitry.</t>
        </is>
      </c>
      <c r="L203" t="inlineStr">
        <is>
          <t>New Brunswick, N.J. : Transaction Publishers, c1997.</t>
        </is>
      </c>
      <c r="M203" t="inlineStr">
        <is>
          <t>1997</t>
        </is>
      </c>
      <c r="O203" t="inlineStr">
        <is>
          <t>eng</t>
        </is>
      </c>
      <c r="P203" t="inlineStr">
        <is>
          <t>nju</t>
        </is>
      </c>
      <c r="R203" t="inlineStr">
        <is>
          <t xml:space="preserve">DC </t>
        </is>
      </c>
      <c r="S203" t="n">
        <v>2</v>
      </c>
      <c r="T203" t="n">
        <v>2</v>
      </c>
      <c r="U203" t="inlineStr">
        <is>
          <t>2005-11-21</t>
        </is>
      </c>
      <c r="V203" t="inlineStr">
        <is>
          <t>2005-11-21</t>
        </is>
      </c>
      <c r="W203" t="inlineStr">
        <is>
          <t>1997-03-05</t>
        </is>
      </c>
      <c r="X203" t="inlineStr">
        <is>
          <t>1997-03-05</t>
        </is>
      </c>
      <c r="Y203" t="n">
        <v>238</v>
      </c>
      <c r="Z203" t="n">
        <v>188</v>
      </c>
      <c r="AA203" t="n">
        <v>206</v>
      </c>
      <c r="AB203" t="n">
        <v>3</v>
      </c>
      <c r="AC203" t="n">
        <v>3</v>
      </c>
      <c r="AD203" t="n">
        <v>13</v>
      </c>
      <c r="AE203" t="n">
        <v>13</v>
      </c>
      <c r="AF203" t="n">
        <v>2</v>
      </c>
      <c r="AG203" t="n">
        <v>2</v>
      </c>
      <c r="AH203" t="n">
        <v>4</v>
      </c>
      <c r="AI203" t="n">
        <v>4</v>
      </c>
      <c r="AJ203" t="n">
        <v>9</v>
      </c>
      <c r="AK203" t="n">
        <v>9</v>
      </c>
      <c r="AL203" t="n">
        <v>2</v>
      </c>
      <c r="AM203" t="n">
        <v>2</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HYPERLINK("https://creighton-primo.hosted.exlibrisgroup.com/primo-explore/search?tab=default_tab&amp;search_scope=EVERYTHING&amp;vid=01CRU&amp;lang=en_US&amp;offset=0&amp;query=any,contains,991002721069702656","Catalog Record")</f>
        <v/>
      </c>
      <c r="AT203">
        <f>HYPERLINK("http://www.worldcat.org/oclc/35673600","WorldCat Record")</f>
        <v/>
      </c>
      <c r="AU203" t="inlineStr">
        <is>
          <t>1008695447:eng</t>
        </is>
      </c>
      <c r="AV203" t="inlineStr">
        <is>
          <t>35673600</t>
        </is>
      </c>
      <c r="AW203" t="inlineStr">
        <is>
          <t>991002721069702656</t>
        </is>
      </c>
      <c r="AX203" t="inlineStr">
        <is>
          <t>991002721069702656</t>
        </is>
      </c>
      <c r="AY203" t="inlineStr">
        <is>
          <t>2262713210002656</t>
        </is>
      </c>
      <c r="AZ203" t="inlineStr">
        <is>
          <t>BOOK</t>
        </is>
      </c>
      <c r="BB203" t="inlineStr">
        <is>
          <t>9781560002444</t>
        </is>
      </c>
      <c r="BC203" t="inlineStr">
        <is>
          <t>32285002435005</t>
        </is>
      </c>
      <c r="BD203" t="inlineStr">
        <is>
          <t>893511101</t>
        </is>
      </c>
    </row>
    <row r="204">
      <c r="A204" t="inlineStr">
        <is>
          <t>No</t>
        </is>
      </c>
      <c r="B204" t="inlineStr">
        <is>
          <t>DC16 .B132</t>
        </is>
      </c>
      <c r="C204" t="inlineStr">
        <is>
          <t>0                      DC 0016000B  132</t>
        </is>
      </c>
      <c r="D204" t="inlineStr">
        <is>
          <t>Northern France, from Belgium and the English Channel to the Loire, excluding Paris and its environs; handbook for travellers, by Karl Baedeker.</t>
        </is>
      </c>
      <c r="F204" t="inlineStr">
        <is>
          <t>No</t>
        </is>
      </c>
      <c r="G204" t="inlineStr">
        <is>
          <t>1</t>
        </is>
      </c>
      <c r="H204" t="inlineStr">
        <is>
          <t>No</t>
        </is>
      </c>
      <c r="I204" t="inlineStr">
        <is>
          <t>No</t>
        </is>
      </c>
      <c r="J204" t="inlineStr">
        <is>
          <t>0</t>
        </is>
      </c>
      <c r="K204" t="inlineStr">
        <is>
          <t>Karl Baedeker (Firm)</t>
        </is>
      </c>
      <c r="L204" t="inlineStr">
        <is>
          <t>Leipsic, K. Baedeker; London, Dulau and co., 1899.</t>
        </is>
      </c>
      <c r="M204" t="inlineStr">
        <is>
          <t>1899</t>
        </is>
      </c>
      <c r="N204" t="inlineStr">
        <is>
          <t>3d ed. ...</t>
        </is>
      </c>
      <c r="O204" t="inlineStr">
        <is>
          <t>eng</t>
        </is>
      </c>
      <c r="P204" t="inlineStr">
        <is>
          <t xml:space="preserve">gw </t>
        </is>
      </c>
      <c r="R204" t="inlineStr">
        <is>
          <t xml:space="preserve">DC </t>
        </is>
      </c>
      <c r="S204" t="n">
        <v>5</v>
      </c>
      <c r="T204" t="n">
        <v>5</v>
      </c>
      <c r="U204" t="inlineStr">
        <is>
          <t>2003-05-21</t>
        </is>
      </c>
      <c r="V204" t="inlineStr">
        <is>
          <t>2003-05-21</t>
        </is>
      </c>
      <c r="W204" t="inlineStr">
        <is>
          <t>1996-10-24</t>
        </is>
      </c>
      <c r="X204" t="inlineStr">
        <is>
          <t>1996-10-24</t>
        </is>
      </c>
      <c r="Y204" t="n">
        <v>85</v>
      </c>
      <c r="Z204" t="n">
        <v>67</v>
      </c>
      <c r="AA204" t="n">
        <v>386</v>
      </c>
      <c r="AB204" t="n">
        <v>2</v>
      </c>
      <c r="AC204" t="n">
        <v>3</v>
      </c>
      <c r="AD204" t="n">
        <v>5</v>
      </c>
      <c r="AE204" t="n">
        <v>18</v>
      </c>
      <c r="AF204" t="n">
        <v>0</v>
      </c>
      <c r="AG204" t="n">
        <v>2</v>
      </c>
      <c r="AH204" t="n">
        <v>0</v>
      </c>
      <c r="AI204" t="n">
        <v>5</v>
      </c>
      <c r="AJ204" t="n">
        <v>4</v>
      </c>
      <c r="AK204" t="n">
        <v>11</v>
      </c>
      <c r="AL204" t="n">
        <v>1</v>
      </c>
      <c r="AM204" t="n">
        <v>2</v>
      </c>
      <c r="AN204" t="n">
        <v>0</v>
      </c>
      <c r="AO204" t="n">
        <v>0</v>
      </c>
      <c r="AP204" t="inlineStr">
        <is>
          <t>Yes</t>
        </is>
      </c>
      <c r="AQ204" t="inlineStr">
        <is>
          <t>No</t>
        </is>
      </c>
      <c r="AR204">
        <f>HYPERLINK("http://catalog.hathitrust.org/Record/009847707","HathiTrust Record")</f>
        <v/>
      </c>
      <c r="AS204">
        <f>HYPERLINK("https://creighton-primo.hosted.exlibrisgroup.com/primo-explore/search?tab=default_tab&amp;search_scope=EVERYTHING&amp;vid=01CRU&amp;lang=en_US&amp;offset=0&amp;query=any,contains,991004057369702656","Catalog Record")</f>
        <v/>
      </c>
      <c r="AT204">
        <f>HYPERLINK("http://www.worldcat.org/oclc/2229516","WorldCat Record")</f>
        <v/>
      </c>
      <c r="AU204" t="inlineStr">
        <is>
          <t>4460173:eng</t>
        </is>
      </c>
      <c r="AV204" t="inlineStr">
        <is>
          <t>2229516</t>
        </is>
      </c>
      <c r="AW204" t="inlineStr">
        <is>
          <t>991004057369702656</t>
        </is>
      </c>
      <c r="AX204" t="inlineStr">
        <is>
          <t>991004057369702656</t>
        </is>
      </c>
      <c r="AY204" t="inlineStr">
        <is>
          <t>2267433520002656</t>
        </is>
      </c>
      <c r="AZ204" t="inlineStr">
        <is>
          <t>BOOK</t>
        </is>
      </c>
      <c r="BC204" t="inlineStr">
        <is>
          <t>32285002377835</t>
        </is>
      </c>
      <c r="BD204" t="inlineStr">
        <is>
          <t>893810334</t>
        </is>
      </c>
    </row>
    <row r="205">
      <c r="A205" t="inlineStr">
        <is>
          <t>No</t>
        </is>
      </c>
      <c r="B205" t="inlineStr">
        <is>
          <t>DC16 .T73 1995</t>
        </is>
      </c>
      <c r="C205" t="inlineStr">
        <is>
          <t>0                      DC 0016000T  73          1995</t>
        </is>
      </c>
      <c r="D205" t="inlineStr">
        <is>
          <t>Travelers' tales France / collected and edited by James O'Reilly, Larry Habegger, Sean O'Reilly.</t>
        </is>
      </c>
      <c r="F205" t="inlineStr">
        <is>
          <t>No</t>
        </is>
      </c>
      <c r="G205" t="inlineStr">
        <is>
          <t>1</t>
        </is>
      </c>
      <c r="H205" t="inlineStr">
        <is>
          <t>No</t>
        </is>
      </c>
      <c r="I205" t="inlineStr">
        <is>
          <t>No</t>
        </is>
      </c>
      <c r="J205" t="inlineStr">
        <is>
          <t>0</t>
        </is>
      </c>
      <c r="L205" t="inlineStr">
        <is>
          <t>San Francisco, CA : Travelers Tales ; Sebastopol, CA : Distributed by O'Reilly &amp; Associates, Inc., c1995.</t>
        </is>
      </c>
      <c r="M205" t="inlineStr">
        <is>
          <t>1995</t>
        </is>
      </c>
      <c r="N205" t="inlineStr">
        <is>
          <t>1st ed.</t>
        </is>
      </c>
      <c r="O205" t="inlineStr">
        <is>
          <t>eng</t>
        </is>
      </c>
      <c r="P205" t="inlineStr">
        <is>
          <t>cau</t>
        </is>
      </c>
      <c r="Q205" t="inlineStr">
        <is>
          <t>Traveler's tales</t>
        </is>
      </c>
      <c r="R205" t="inlineStr">
        <is>
          <t xml:space="preserve">DC </t>
        </is>
      </c>
      <c r="S205" t="n">
        <v>9</v>
      </c>
      <c r="T205" t="n">
        <v>9</v>
      </c>
      <c r="U205" t="inlineStr">
        <is>
          <t>2010-09-16</t>
        </is>
      </c>
      <c r="V205" t="inlineStr">
        <is>
          <t>2010-09-16</t>
        </is>
      </c>
      <c r="W205" t="inlineStr">
        <is>
          <t>1995-10-27</t>
        </is>
      </c>
      <c r="X205" t="inlineStr">
        <is>
          <t>1995-10-27</t>
        </is>
      </c>
      <c r="Y205" t="n">
        <v>164</v>
      </c>
      <c r="Z205" t="n">
        <v>150</v>
      </c>
      <c r="AA205" t="n">
        <v>169</v>
      </c>
      <c r="AB205" t="n">
        <v>1</v>
      </c>
      <c r="AC205" t="n">
        <v>1</v>
      </c>
      <c r="AD205" t="n">
        <v>1</v>
      </c>
      <c r="AE205" t="n">
        <v>3</v>
      </c>
      <c r="AF205" t="n">
        <v>0</v>
      </c>
      <c r="AG205" t="n">
        <v>0</v>
      </c>
      <c r="AH205" t="n">
        <v>0</v>
      </c>
      <c r="AI205" t="n">
        <v>0</v>
      </c>
      <c r="AJ205" t="n">
        <v>1</v>
      </c>
      <c r="AK205" t="n">
        <v>3</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HYPERLINK("https://creighton-primo.hosted.exlibrisgroup.com/primo-explore/search?tab=default_tab&amp;search_scope=EVERYTHING&amp;vid=01CRU&amp;lang=en_US&amp;offset=0&amp;query=any,contains,991002525119702656","Catalog Record")</f>
        <v/>
      </c>
      <c r="AT205">
        <f>HYPERLINK("http://www.worldcat.org/oclc/32835111","WorldCat Record")</f>
        <v/>
      </c>
      <c r="AU205" t="inlineStr">
        <is>
          <t>55951287:eng</t>
        </is>
      </c>
      <c r="AV205" t="inlineStr">
        <is>
          <t>32835111</t>
        </is>
      </c>
      <c r="AW205" t="inlineStr">
        <is>
          <t>991002525119702656</t>
        </is>
      </c>
      <c r="AX205" t="inlineStr">
        <is>
          <t>991002525119702656</t>
        </is>
      </c>
      <c r="AY205" t="inlineStr">
        <is>
          <t>2262034050002656</t>
        </is>
      </c>
      <c r="AZ205" t="inlineStr">
        <is>
          <t>BOOK</t>
        </is>
      </c>
      <c r="BB205" t="inlineStr">
        <is>
          <t>9781885211026</t>
        </is>
      </c>
      <c r="BC205" t="inlineStr">
        <is>
          <t>32285002098001</t>
        </is>
      </c>
      <c r="BD205" t="inlineStr">
        <is>
          <t>893316937</t>
        </is>
      </c>
    </row>
    <row r="206">
      <c r="A206" t="inlineStr">
        <is>
          <t>No</t>
        </is>
      </c>
      <c r="B206" t="inlineStr">
        <is>
          <t>DC161 .B4</t>
        </is>
      </c>
      <c r="C206" t="inlineStr">
        <is>
          <t>0                      DC 0161000B  4</t>
        </is>
      </c>
      <c r="D206" t="inlineStr">
        <is>
          <t>High lights of the French revolution / by Hilaire Belloc.</t>
        </is>
      </c>
      <c r="F206" t="inlineStr">
        <is>
          <t>No</t>
        </is>
      </c>
      <c r="G206" t="inlineStr">
        <is>
          <t>1</t>
        </is>
      </c>
      <c r="H206" t="inlineStr">
        <is>
          <t>No</t>
        </is>
      </c>
      <c r="I206" t="inlineStr">
        <is>
          <t>No</t>
        </is>
      </c>
      <c r="J206" t="inlineStr">
        <is>
          <t>0</t>
        </is>
      </c>
      <c r="K206" t="inlineStr">
        <is>
          <t>Belloc, Hilaire, 1870-1953.</t>
        </is>
      </c>
      <c r="L206" t="inlineStr">
        <is>
          <t>New York : The Century Co., 1915.</t>
        </is>
      </c>
      <c r="M206" t="inlineStr">
        <is>
          <t>1915</t>
        </is>
      </c>
      <c r="O206" t="inlineStr">
        <is>
          <t>eng</t>
        </is>
      </c>
      <c r="P206" t="inlineStr">
        <is>
          <t>nyu</t>
        </is>
      </c>
      <c r="R206" t="inlineStr">
        <is>
          <t xml:space="preserve">DC </t>
        </is>
      </c>
      <c r="S206" t="n">
        <v>4</v>
      </c>
      <c r="T206" t="n">
        <v>4</v>
      </c>
      <c r="U206" t="inlineStr">
        <is>
          <t>1997-03-20</t>
        </is>
      </c>
      <c r="V206" t="inlineStr">
        <is>
          <t>1997-03-20</t>
        </is>
      </c>
      <c r="W206" t="inlineStr">
        <is>
          <t>1996-11-08</t>
        </is>
      </c>
      <c r="X206" t="inlineStr">
        <is>
          <t>1996-11-08</t>
        </is>
      </c>
      <c r="Y206" t="n">
        <v>271</v>
      </c>
      <c r="Z206" t="n">
        <v>259</v>
      </c>
      <c r="AA206" t="n">
        <v>280</v>
      </c>
      <c r="AB206" t="n">
        <v>3</v>
      </c>
      <c r="AC206" t="n">
        <v>3</v>
      </c>
      <c r="AD206" t="n">
        <v>21</v>
      </c>
      <c r="AE206" t="n">
        <v>21</v>
      </c>
      <c r="AF206" t="n">
        <v>3</v>
      </c>
      <c r="AG206" t="n">
        <v>3</v>
      </c>
      <c r="AH206" t="n">
        <v>7</v>
      </c>
      <c r="AI206" t="n">
        <v>7</v>
      </c>
      <c r="AJ206" t="n">
        <v>16</v>
      </c>
      <c r="AK206" t="n">
        <v>16</v>
      </c>
      <c r="AL206" t="n">
        <v>1</v>
      </c>
      <c r="AM206" t="n">
        <v>1</v>
      </c>
      <c r="AN206" t="n">
        <v>0</v>
      </c>
      <c r="AO206" t="n">
        <v>0</v>
      </c>
      <c r="AP206" t="inlineStr">
        <is>
          <t>Yes</t>
        </is>
      </c>
      <c r="AQ206" t="inlineStr">
        <is>
          <t>No</t>
        </is>
      </c>
      <c r="AR206">
        <f>HYPERLINK("http://catalog.hathitrust.org/Record/006591372","HathiTrust Record")</f>
        <v/>
      </c>
      <c r="AS206">
        <f>HYPERLINK("https://creighton-primo.hosted.exlibrisgroup.com/primo-explore/search?tab=default_tab&amp;search_scope=EVERYTHING&amp;vid=01CRU&amp;lang=en_US&amp;offset=0&amp;query=any,contains,991002690709702656","Catalog Record")</f>
        <v/>
      </c>
      <c r="AT206">
        <f>HYPERLINK("http://www.worldcat.org/oclc/401447","WorldCat Record")</f>
        <v/>
      </c>
      <c r="AU206" t="inlineStr">
        <is>
          <t>1417477:eng</t>
        </is>
      </c>
      <c r="AV206" t="inlineStr">
        <is>
          <t>401447</t>
        </is>
      </c>
      <c r="AW206" t="inlineStr">
        <is>
          <t>991002690709702656</t>
        </is>
      </c>
      <c r="AX206" t="inlineStr">
        <is>
          <t>991002690709702656</t>
        </is>
      </c>
      <c r="AY206" t="inlineStr">
        <is>
          <t>2268005180002656</t>
        </is>
      </c>
      <c r="AZ206" t="inlineStr">
        <is>
          <t>BOOK</t>
        </is>
      </c>
      <c r="BC206" t="inlineStr">
        <is>
          <t>32285002342664</t>
        </is>
      </c>
      <c r="BD206" t="inlineStr">
        <is>
          <t>893434170</t>
        </is>
      </c>
    </row>
    <row r="207">
      <c r="A207" t="inlineStr">
        <is>
          <t>No</t>
        </is>
      </c>
      <c r="B207" t="inlineStr">
        <is>
          <t>DC161 .B634</t>
        </is>
      </c>
      <c r="C207" t="inlineStr">
        <is>
          <t>0                      DC 0161000B  634</t>
        </is>
      </c>
      <c r="D207" t="inlineStr">
        <is>
          <t>History of the French revolution of 1789 / By Louis Blanc. Tr. from the French.</t>
        </is>
      </c>
      <c r="F207" t="inlineStr">
        <is>
          <t>No</t>
        </is>
      </c>
      <c r="G207" t="inlineStr">
        <is>
          <t>1</t>
        </is>
      </c>
      <c r="H207" t="inlineStr">
        <is>
          <t>No</t>
        </is>
      </c>
      <c r="I207" t="inlineStr">
        <is>
          <t>No</t>
        </is>
      </c>
      <c r="J207" t="inlineStr">
        <is>
          <t>0</t>
        </is>
      </c>
      <c r="K207" t="inlineStr">
        <is>
          <t>Blanc, Louis, 1811-1882.</t>
        </is>
      </c>
      <c r="L207" t="inlineStr">
        <is>
          <t>Philadelphia : Lea &amp; Blanchard, 1848.</t>
        </is>
      </c>
      <c r="M207" t="inlineStr">
        <is>
          <t>1848</t>
        </is>
      </c>
      <c r="O207" t="inlineStr">
        <is>
          <t>eng</t>
        </is>
      </c>
      <c r="P207" t="inlineStr">
        <is>
          <t>pau</t>
        </is>
      </c>
      <c r="R207" t="inlineStr">
        <is>
          <t xml:space="preserve">DC </t>
        </is>
      </c>
      <c r="S207" t="n">
        <v>5</v>
      </c>
      <c r="T207" t="n">
        <v>5</v>
      </c>
      <c r="U207" t="inlineStr">
        <is>
          <t>2004-08-18</t>
        </is>
      </c>
      <c r="V207" t="inlineStr">
        <is>
          <t>2004-08-18</t>
        </is>
      </c>
      <c r="W207" t="inlineStr">
        <is>
          <t>1990-12-12</t>
        </is>
      </c>
      <c r="X207" t="inlineStr">
        <is>
          <t>1990-12-12</t>
        </is>
      </c>
      <c r="Y207" t="n">
        <v>33</v>
      </c>
      <c r="Z207" t="n">
        <v>31</v>
      </c>
      <c r="AA207" t="n">
        <v>39</v>
      </c>
      <c r="AB207" t="n">
        <v>1</v>
      </c>
      <c r="AC207" t="n">
        <v>1</v>
      </c>
      <c r="AD207" t="n">
        <v>1</v>
      </c>
      <c r="AE207" t="n">
        <v>1</v>
      </c>
      <c r="AF207" t="n">
        <v>1</v>
      </c>
      <c r="AG207" t="n">
        <v>1</v>
      </c>
      <c r="AH207" t="n">
        <v>0</v>
      </c>
      <c r="AI207" t="n">
        <v>0</v>
      </c>
      <c r="AJ207" t="n">
        <v>0</v>
      </c>
      <c r="AK207" t="n">
        <v>0</v>
      </c>
      <c r="AL207" t="n">
        <v>0</v>
      </c>
      <c r="AM207" t="n">
        <v>0</v>
      </c>
      <c r="AN207" t="n">
        <v>0</v>
      </c>
      <c r="AO207" t="n">
        <v>0</v>
      </c>
      <c r="AP207" t="inlineStr">
        <is>
          <t>Yes</t>
        </is>
      </c>
      <c r="AQ207" t="inlineStr">
        <is>
          <t>No</t>
        </is>
      </c>
      <c r="AR207">
        <f>HYPERLINK("http://catalog.hathitrust.org/Record/000607968","HathiTrust Record")</f>
        <v/>
      </c>
      <c r="AS207">
        <f>HYPERLINK("https://creighton-primo.hosted.exlibrisgroup.com/primo-explore/search?tab=default_tab&amp;search_scope=EVERYTHING&amp;vid=01CRU&amp;lang=en_US&amp;offset=0&amp;query=any,contains,991004491289702656","Catalog Record")</f>
        <v/>
      </c>
      <c r="AT207">
        <f>HYPERLINK("http://www.worldcat.org/oclc/3662561","WorldCat Record")</f>
        <v/>
      </c>
      <c r="AU207" t="inlineStr">
        <is>
          <t>11352427:eng</t>
        </is>
      </c>
      <c r="AV207" t="inlineStr">
        <is>
          <t>3662561</t>
        </is>
      </c>
      <c r="AW207" t="inlineStr">
        <is>
          <t>991004491289702656</t>
        </is>
      </c>
      <c r="AX207" t="inlineStr">
        <is>
          <t>991004491289702656</t>
        </is>
      </c>
      <c r="AY207" t="inlineStr">
        <is>
          <t>2261415420002656</t>
        </is>
      </c>
      <c r="AZ207" t="inlineStr">
        <is>
          <t>BOOK</t>
        </is>
      </c>
      <c r="BC207" t="inlineStr">
        <is>
          <t>32285000394527</t>
        </is>
      </c>
      <c r="BD207" t="inlineStr">
        <is>
          <t>893618727</t>
        </is>
      </c>
    </row>
    <row r="208">
      <c r="A208" t="inlineStr">
        <is>
          <t>No</t>
        </is>
      </c>
      <c r="B208" t="inlineStr">
        <is>
          <t>DC161 .C3 1898</t>
        </is>
      </c>
      <c r="C208" t="inlineStr">
        <is>
          <t>0                      DC 0161000C  3           1898</t>
        </is>
      </c>
      <c r="D208" t="inlineStr">
        <is>
          <t>The French revolution : a history / Thomas Carlyle.</t>
        </is>
      </c>
      <c r="F208" t="inlineStr">
        <is>
          <t>Yes</t>
        </is>
      </c>
      <c r="G208" t="inlineStr">
        <is>
          <t>1</t>
        </is>
      </c>
      <c r="H208" t="inlineStr">
        <is>
          <t>Yes</t>
        </is>
      </c>
      <c r="I208" t="inlineStr">
        <is>
          <t>No</t>
        </is>
      </c>
      <c r="J208" t="inlineStr">
        <is>
          <t>0</t>
        </is>
      </c>
      <c r="K208" t="inlineStr">
        <is>
          <t>Carlyle, Thomas, 1795-1881.</t>
        </is>
      </c>
      <c r="L208" t="inlineStr">
        <is>
          <t>New York : C. Scribner's Sons, 1898.</t>
        </is>
      </c>
      <c r="M208" t="inlineStr">
        <is>
          <t>1898</t>
        </is>
      </c>
      <c r="O208" t="inlineStr">
        <is>
          <t>eng</t>
        </is>
      </c>
      <c r="P208" t="inlineStr">
        <is>
          <t>nyu</t>
        </is>
      </c>
      <c r="Q208" t="inlineStr">
        <is>
          <t>The works of Thomas Carlyle ; v. 2-4</t>
        </is>
      </c>
      <c r="R208" t="inlineStr">
        <is>
          <t xml:space="preserve">DC </t>
        </is>
      </c>
      <c r="S208" t="n">
        <v>1</v>
      </c>
      <c r="T208" t="n">
        <v>1</v>
      </c>
      <c r="U208" t="inlineStr">
        <is>
          <t>2002-11-26</t>
        </is>
      </c>
      <c r="V208" t="inlineStr">
        <is>
          <t>2002-11-26</t>
        </is>
      </c>
      <c r="W208" t="inlineStr">
        <is>
          <t>1996-11-08</t>
        </is>
      </c>
      <c r="X208" t="inlineStr">
        <is>
          <t>1996-11-08</t>
        </is>
      </c>
      <c r="Y208" t="n">
        <v>5</v>
      </c>
      <c r="Z208" t="n">
        <v>5</v>
      </c>
      <c r="AA208" t="n">
        <v>2626</v>
      </c>
      <c r="AB208" t="n">
        <v>1</v>
      </c>
      <c r="AC208" t="n">
        <v>27</v>
      </c>
      <c r="AD208" t="n">
        <v>0</v>
      </c>
      <c r="AE208" t="n">
        <v>68</v>
      </c>
      <c r="AF208" t="n">
        <v>0</v>
      </c>
      <c r="AG208" t="n">
        <v>25</v>
      </c>
      <c r="AH208" t="n">
        <v>0</v>
      </c>
      <c r="AI208" t="n">
        <v>11</v>
      </c>
      <c r="AJ208" t="n">
        <v>0</v>
      </c>
      <c r="AK208" t="n">
        <v>25</v>
      </c>
      <c r="AL208" t="n">
        <v>0</v>
      </c>
      <c r="AM208" t="n">
        <v>17</v>
      </c>
      <c r="AN208" t="n">
        <v>0</v>
      </c>
      <c r="AO208" t="n">
        <v>2</v>
      </c>
      <c r="AP208" t="inlineStr">
        <is>
          <t>No</t>
        </is>
      </c>
      <c r="AQ208" t="inlineStr">
        <is>
          <t>No</t>
        </is>
      </c>
      <c r="AS208">
        <f>HYPERLINK("https://creighton-primo.hosted.exlibrisgroup.com/primo-explore/search?tab=default_tab&amp;search_scope=EVERYTHING&amp;vid=01CRU&amp;lang=en_US&amp;offset=0&amp;query=any,contains,991001665299702656","Catalog Record")</f>
        <v/>
      </c>
      <c r="AT208">
        <f>HYPERLINK("http://www.worldcat.org/oclc/21219948","WorldCat Record")</f>
        <v/>
      </c>
      <c r="AU208" t="inlineStr">
        <is>
          <t>10245744252:eng</t>
        </is>
      </c>
      <c r="AV208" t="inlineStr">
        <is>
          <t>21219948</t>
        </is>
      </c>
      <c r="AW208" t="inlineStr">
        <is>
          <t>991001665299702656</t>
        </is>
      </c>
      <c r="AX208" t="inlineStr">
        <is>
          <t>991001665299702656</t>
        </is>
      </c>
      <c r="AY208" t="inlineStr">
        <is>
          <t>2269251990002656</t>
        </is>
      </c>
      <c r="AZ208" t="inlineStr">
        <is>
          <t>BOOK</t>
        </is>
      </c>
      <c r="BC208" t="inlineStr">
        <is>
          <t>32285002342672</t>
        </is>
      </c>
      <c r="BD208" t="inlineStr">
        <is>
          <t>893703209</t>
        </is>
      </c>
    </row>
    <row r="209">
      <c r="A209" t="inlineStr">
        <is>
          <t>No</t>
        </is>
      </c>
      <c r="B209" t="inlineStr">
        <is>
          <t>DC161 .C3 1898 V2</t>
        </is>
      </c>
      <c r="C209" t="inlineStr">
        <is>
          <t>0                      DC 0161000C  3           1898   V  2</t>
        </is>
      </c>
      <c r="D209" t="inlineStr">
        <is>
          <t>The French revolution : a history / Thomas Carlyle.</t>
        </is>
      </c>
      <c r="F209" t="inlineStr">
        <is>
          <t>Yes</t>
        </is>
      </c>
      <c r="G209" t="inlineStr">
        <is>
          <t>1</t>
        </is>
      </c>
      <c r="H209" t="inlineStr">
        <is>
          <t>Yes</t>
        </is>
      </c>
      <c r="I209" t="inlineStr">
        <is>
          <t>No</t>
        </is>
      </c>
      <c r="J209" t="inlineStr">
        <is>
          <t>0</t>
        </is>
      </c>
      <c r="K209" t="inlineStr">
        <is>
          <t>Carlyle, Thomas, 1795-1881.</t>
        </is>
      </c>
      <c r="L209" t="inlineStr">
        <is>
          <t>New York : C. Scribner's Sons, 1898.</t>
        </is>
      </c>
      <c r="M209" t="inlineStr">
        <is>
          <t>1898</t>
        </is>
      </c>
      <c r="O209" t="inlineStr">
        <is>
          <t>eng</t>
        </is>
      </c>
      <c r="P209" t="inlineStr">
        <is>
          <t>nyu</t>
        </is>
      </c>
      <c r="Q209" t="inlineStr">
        <is>
          <t>The works of Thomas Carlyle ; v. 2-4</t>
        </is>
      </c>
      <c r="R209" t="inlineStr">
        <is>
          <t xml:space="preserve">DC </t>
        </is>
      </c>
      <c r="S209" t="n">
        <v>0</v>
      </c>
      <c r="T209" t="n">
        <v>1</v>
      </c>
      <c r="V209" t="inlineStr">
        <is>
          <t>2002-11-26</t>
        </is>
      </c>
      <c r="W209" t="inlineStr">
        <is>
          <t>1996-11-08</t>
        </is>
      </c>
      <c r="X209" t="inlineStr">
        <is>
          <t>1996-11-08</t>
        </is>
      </c>
      <c r="Y209" t="n">
        <v>5</v>
      </c>
      <c r="Z209" t="n">
        <v>5</v>
      </c>
      <c r="AA209" t="n">
        <v>2626</v>
      </c>
      <c r="AB209" t="n">
        <v>1</v>
      </c>
      <c r="AC209" t="n">
        <v>27</v>
      </c>
      <c r="AD209" t="n">
        <v>0</v>
      </c>
      <c r="AE209" t="n">
        <v>68</v>
      </c>
      <c r="AF209" t="n">
        <v>0</v>
      </c>
      <c r="AG209" t="n">
        <v>25</v>
      </c>
      <c r="AH209" t="n">
        <v>0</v>
      </c>
      <c r="AI209" t="n">
        <v>11</v>
      </c>
      <c r="AJ209" t="n">
        <v>0</v>
      </c>
      <c r="AK209" t="n">
        <v>25</v>
      </c>
      <c r="AL209" t="n">
        <v>0</v>
      </c>
      <c r="AM209" t="n">
        <v>17</v>
      </c>
      <c r="AN209" t="n">
        <v>0</v>
      </c>
      <c r="AO209" t="n">
        <v>2</v>
      </c>
      <c r="AP209" t="inlineStr">
        <is>
          <t>No</t>
        </is>
      </c>
      <c r="AQ209" t="inlineStr">
        <is>
          <t>No</t>
        </is>
      </c>
      <c r="AS209">
        <f>HYPERLINK("https://creighton-primo.hosted.exlibrisgroup.com/primo-explore/search?tab=default_tab&amp;search_scope=EVERYTHING&amp;vid=01CRU&amp;lang=en_US&amp;offset=0&amp;query=any,contains,991001665299702656","Catalog Record")</f>
        <v/>
      </c>
      <c r="AT209">
        <f>HYPERLINK("http://www.worldcat.org/oclc/21219948","WorldCat Record")</f>
        <v/>
      </c>
      <c r="AU209" t="inlineStr">
        <is>
          <t>10245744252:eng</t>
        </is>
      </c>
      <c r="AV209" t="inlineStr">
        <is>
          <t>21219948</t>
        </is>
      </c>
      <c r="AW209" t="inlineStr">
        <is>
          <t>991001665299702656</t>
        </is>
      </c>
      <c r="AX209" t="inlineStr">
        <is>
          <t>991001665299702656</t>
        </is>
      </c>
      <c r="AY209" t="inlineStr">
        <is>
          <t>2269251990002656</t>
        </is>
      </c>
      <c r="AZ209" t="inlineStr">
        <is>
          <t>BOOK</t>
        </is>
      </c>
      <c r="BC209" t="inlineStr">
        <is>
          <t>32285002342680</t>
        </is>
      </c>
      <c r="BD209" t="inlineStr">
        <is>
          <t>893703208</t>
        </is>
      </c>
    </row>
    <row r="210">
      <c r="A210" t="inlineStr">
        <is>
          <t>No</t>
        </is>
      </c>
      <c r="B210" t="inlineStr">
        <is>
          <t>DC161 .C3 1898 V3</t>
        </is>
      </c>
      <c r="C210" t="inlineStr">
        <is>
          <t>0                      DC 0161000C  3           1898   V  3</t>
        </is>
      </c>
      <c r="D210" t="inlineStr">
        <is>
          <t>The French revolution : a history / Thomas Carlyle.</t>
        </is>
      </c>
      <c r="F210" t="inlineStr">
        <is>
          <t>Yes</t>
        </is>
      </c>
      <c r="G210" t="inlineStr">
        <is>
          <t>1</t>
        </is>
      </c>
      <c r="H210" t="inlineStr">
        <is>
          <t>Yes</t>
        </is>
      </c>
      <c r="I210" t="inlineStr">
        <is>
          <t>No</t>
        </is>
      </c>
      <c r="J210" t="inlineStr">
        <is>
          <t>0</t>
        </is>
      </c>
      <c r="K210" t="inlineStr">
        <is>
          <t>Carlyle, Thomas, 1795-1881.</t>
        </is>
      </c>
      <c r="L210" t="inlineStr">
        <is>
          <t>New York : C. Scribner's Sons, 1898.</t>
        </is>
      </c>
      <c r="M210" t="inlineStr">
        <is>
          <t>1898</t>
        </is>
      </c>
      <c r="O210" t="inlineStr">
        <is>
          <t>eng</t>
        </is>
      </c>
      <c r="P210" t="inlineStr">
        <is>
          <t>nyu</t>
        </is>
      </c>
      <c r="Q210" t="inlineStr">
        <is>
          <t>The works of Thomas Carlyle ; v. 2-4</t>
        </is>
      </c>
      <c r="R210" t="inlineStr">
        <is>
          <t xml:space="preserve">DC </t>
        </is>
      </c>
      <c r="S210" t="n">
        <v>0</v>
      </c>
      <c r="T210" t="n">
        <v>1</v>
      </c>
      <c r="V210" t="inlineStr">
        <is>
          <t>2002-11-26</t>
        </is>
      </c>
      <c r="W210" t="inlineStr">
        <is>
          <t>1996-11-08</t>
        </is>
      </c>
      <c r="X210" t="inlineStr">
        <is>
          <t>1996-11-08</t>
        </is>
      </c>
      <c r="Y210" t="n">
        <v>5</v>
      </c>
      <c r="Z210" t="n">
        <v>5</v>
      </c>
      <c r="AA210" t="n">
        <v>2626</v>
      </c>
      <c r="AB210" t="n">
        <v>1</v>
      </c>
      <c r="AC210" t="n">
        <v>27</v>
      </c>
      <c r="AD210" t="n">
        <v>0</v>
      </c>
      <c r="AE210" t="n">
        <v>68</v>
      </c>
      <c r="AF210" t="n">
        <v>0</v>
      </c>
      <c r="AG210" t="n">
        <v>25</v>
      </c>
      <c r="AH210" t="n">
        <v>0</v>
      </c>
      <c r="AI210" t="n">
        <v>11</v>
      </c>
      <c r="AJ210" t="n">
        <v>0</v>
      </c>
      <c r="AK210" t="n">
        <v>25</v>
      </c>
      <c r="AL210" t="n">
        <v>0</v>
      </c>
      <c r="AM210" t="n">
        <v>17</v>
      </c>
      <c r="AN210" t="n">
        <v>0</v>
      </c>
      <c r="AO210" t="n">
        <v>2</v>
      </c>
      <c r="AP210" t="inlineStr">
        <is>
          <t>No</t>
        </is>
      </c>
      <c r="AQ210" t="inlineStr">
        <is>
          <t>No</t>
        </is>
      </c>
      <c r="AS210">
        <f>HYPERLINK("https://creighton-primo.hosted.exlibrisgroup.com/primo-explore/search?tab=default_tab&amp;search_scope=EVERYTHING&amp;vid=01CRU&amp;lang=en_US&amp;offset=0&amp;query=any,contains,991001665299702656","Catalog Record")</f>
        <v/>
      </c>
      <c r="AT210">
        <f>HYPERLINK("http://www.worldcat.org/oclc/21219948","WorldCat Record")</f>
        <v/>
      </c>
      <c r="AU210" t="inlineStr">
        <is>
          <t>10245744252:eng</t>
        </is>
      </c>
      <c r="AV210" t="inlineStr">
        <is>
          <t>21219948</t>
        </is>
      </c>
      <c r="AW210" t="inlineStr">
        <is>
          <t>991001665299702656</t>
        </is>
      </c>
      <c r="AX210" t="inlineStr">
        <is>
          <t>991001665299702656</t>
        </is>
      </c>
      <c r="AY210" t="inlineStr">
        <is>
          <t>2269251990002656</t>
        </is>
      </c>
      <c r="AZ210" t="inlineStr">
        <is>
          <t>BOOK</t>
        </is>
      </c>
      <c r="BC210" t="inlineStr">
        <is>
          <t>32285002342698</t>
        </is>
      </c>
      <c r="BD210" t="inlineStr">
        <is>
          <t>893684501</t>
        </is>
      </c>
    </row>
    <row r="211">
      <c r="A211" t="inlineStr">
        <is>
          <t>No</t>
        </is>
      </c>
      <c r="B211" t="inlineStr">
        <is>
          <t>DC161 .C3 1934</t>
        </is>
      </c>
      <c r="C211" t="inlineStr">
        <is>
          <t>0                      DC 0161000C  3           1934</t>
        </is>
      </c>
      <c r="D211" t="inlineStr">
        <is>
          <t>The French revolution : a history / by Thomas Carlyle.</t>
        </is>
      </c>
      <c r="F211" t="inlineStr">
        <is>
          <t>No</t>
        </is>
      </c>
      <c r="G211" t="inlineStr">
        <is>
          <t>1</t>
        </is>
      </c>
      <c r="H211" t="inlineStr">
        <is>
          <t>No</t>
        </is>
      </c>
      <c r="I211" t="inlineStr">
        <is>
          <t>No</t>
        </is>
      </c>
      <c r="J211" t="inlineStr">
        <is>
          <t>0</t>
        </is>
      </c>
      <c r="K211" t="inlineStr">
        <is>
          <t>Carlyle, Thomas, 1795-1881.</t>
        </is>
      </c>
      <c r="L211" t="inlineStr">
        <is>
          <t>New York : The Modern library, [1934]</t>
        </is>
      </c>
      <c r="M211" t="inlineStr">
        <is>
          <t>1934</t>
        </is>
      </c>
      <c r="O211" t="inlineStr">
        <is>
          <t>eng</t>
        </is>
      </c>
      <c r="P211" t="inlineStr">
        <is>
          <t>nyu</t>
        </is>
      </c>
      <c r="Q211" t="inlineStr">
        <is>
          <t>The Modern library of the world's best books. [Modern library giants]</t>
        </is>
      </c>
      <c r="R211" t="inlineStr">
        <is>
          <t xml:space="preserve">DC </t>
        </is>
      </c>
      <c r="S211" t="n">
        <v>0</v>
      </c>
      <c r="T211" t="n">
        <v>0</v>
      </c>
      <c r="U211" t="inlineStr">
        <is>
          <t>2010-10-04</t>
        </is>
      </c>
      <c r="V211" t="inlineStr">
        <is>
          <t>2010-10-04</t>
        </is>
      </c>
      <c r="W211" t="inlineStr">
        <is>
          <t>1993-04-14</t>
        </is>
      </c>
      <c r="X211" t="inlineStr">
        <is>
          <t>1993-04-14</t>
        </is>
      </c>
      <c r="Y211" t="n">
        <v>1095</v>
      </c>
      <c r="Z211" t="n">
        <v>1024</v>
      </c>
      <c r="AA211" t="n">
        <v>1872</v>
      </c>
      <c r="AB211" t="n">
        <v>8</v>
      </c>
      <c r="AC211" t="n">
        <v>16</v>
      </c>
      <c r="AD211" t="n">
        <v>24</v>
      </c>
      <c r="AE211" t="n">
        <v>51</v>
      </c>
      <c r="AF211" t="n">
        <v>10</v>
      </c>
      <c r="AG211" t="n">
        <v>22</v>
      </c>
      <c r="AH211" t="n">
        <v>3</v>
      </c>
      <c r="AI211" t="n">
        <v>10</v>
      </c>
      <c r="AJ211" t="n">
        <v>13</v>
      </c>
      <c r="AK211" t="n">
        <v>22</v>
      </c>
      <c r="AL211" t="n">
        <v>1</v>
      </c>
      <c r="AM211" t="n">
        <v>6</v>
      </c>
      <c r="AN211" t="n">
        <v>0</v>
      </c>
      <c r="AO211" t="n">
        <v>1</v>
      </c>
      <c r="AP211" t="inlineStr">
        <is>
          <t>Yes</t>
        </is>
      </c>
      <c r="AQ211" t="inlineStr">
        <is>
          <t>No</t>
        </is>
      </c>
      <c r="AR211">
        <f>HYPERLINK("http://catalog.hathitrust.org/Record/003910651","HathiTrust Record")</f>
        <v/>
      </c>
      <c r="AS211">
        <f>HYPERLINK("https://creighton-primo.hosted.exlibrisgroup.com/primo-explore/search?tab=default_tab&amp;search_scope=EVERYTHING&amp;vid=01CRU&amp;lang=en_US&amp;offset=0&amp;query=any,contains,991002697399702656","Catalog Record")</f>
        <v/>
      </c>
      <c r="AT211">
        <f>HYPERLINK("http://www.worldcat.org/oclc/404124","WorldCat Record")</f>
        <v/>
      </c>
      <c r="AU211" t="inlineStr">
        <is>
          <t>10279121918:eng</t>
        </is>
      </c>
      <c r="AV211" t="inlineStr">
        <is>
          <t>404124</t>
        </is>
      </c>
      <c r="AW211" t="inlineStr">
        <is>
          <t>991002697399702656</t>
        </is>
      </c>
      <c r="AX211" t="inlineStr">
        <is>
          <t>991002697399702656</t>
        </is>
      </c>
      <c r="AY211" t="inlineStr">
        <is>
          <t>2259943050002656</t>
        </is>
      </c>
      <c r="AZ211" t="inlineStr">
        <is>
          <t>BOOK</t>
        </is>
      </c>
      <c r="BC211" t="inlineStr">
        <is>
          <t>32285001619054</t>
        </is>
      </c>
      <c r="BD211" t="inlineStr">
        <is>
          <t>893335602</t>
        </is>
      </c>
    </row>
    <row r="212">
      <c r="A212" t="inlineStr">
        <is>
          <t>No</t>
        </is>
      </c>
      <c r="B212" t="inlineStr">
        <is>
          <t>DC161 .G63</t>
        </is>
      </c>
      <c r="C212" t="inlineStr">
        <is>
          <t>0                      DC 0161000G  63</t>
        </is>
      </c>
      <c r="D212" t="inlineStr">
        <is>
          <t>The French Revolution, by A. Goodwin.</t>
        </is>
      </c>
      <c r="F212" t="inlineStr">
        <is>
          <t>No</t>
        </is>
      </c>
      <c r="G212" t="inlineStr">
        <is>
          <t>1</t>
        </is>
      </c>
      <c r="H212" t="inlineStr">
        <is>
          <t>No</t>
        </is>
      </c>
      <c r="I212" t="inlineStr">
        <is>
          <t>No</t>
        </is>
      </c>
      <c r="J212" t="inlineStr">
        <is>
          <t>0</t>
        </is>
      </c>
      <c r="K212" t="inlineStr">
        <is>
          <t>Goodwin, A. (Albert), 1906-1995.</t>
        </is>
      </c>
      <c r="L212" t="inlineStr">
        <is>
          <t>London, New York, Hutchinson's University Library [1953]</t>
        </is>
      </c>
      <c r="M212" t="inlineStr">
        <is>
          <t>1953</t>
        </is>
      </c>
      <c r="O212" t="inlineStr">
        <is>
          <t>eng</t>
        </is>
      </c>
      <c r="P212" t="inlineStr">
        <is>
          <t>enk</t>
        </is>
      </c>
      <c r="Q212" t="inlineStr">
        <is>
          <t>Hutchinson's university library: History</t>
        </is>
      </c>
      <c r="R212" t="inlineStr">
        <is>
          <t xml:space="preserve">DC </t>
        </is>
      </c>
      <c r="S212" t="n">
        <v>1</v>
      </c>
      <c r="T212" t="n">
        <v>1</v>
      </c>
      <c r="U212" t="inlineStr">
        <is>
          <t>2005-11-19</t>
        </is>
      </c>
      <c r="V212" t="inlineStr">
        <is>
          <t>2005-11-19</t>
        </is>
      </c>
      <c r="W212" t="inlineStr">
        <is>
          <t>1996-11-08</t>
        </is>
      </c>
      <c r="X212" t="inlineStr">
        <is>
          <t>1996-11-08</t>
        </is>
      </c>
      <c r="Y212" t="n">
        <v>290</v>
      </c>
      <c r="Z212" t="n">
        <v>201</v>
      </c>
      <c r="AA212" t="n">
        <v>833</v>
      </c>
      <c r="AB212" t="n">
        <v>3</v>
      </c>
      <c r="AC212" t="n">
        <v>6</v>
      </c>
      <c r="AD212" t="n">
        <v>7</v>
      </c>
      <c r="AE212" t="n">
        <v>30</v>
      </c>
      <c r="AF212" t="n">
        <v>0</v>
      </c>
      <c r="AG212" t="n">
        <v>10</v>
      </c>
      <c r="AH212" t="n">
        <v>2</v>
      </c>
      <c r="AI212" t="n">
        <v>6</v>
      </c>
      <c r="AJ212" t="n">
        <v>4</v>
      </c>
      <c r="AK212" t="n">
        <v>16</v>
      </c>
      <c r="AL212" t="n">
        <v>2</v>
      </c>
      <c r="AM212" t="n">
        <v>5</v>
      </c>
      <c r="AN212" t="n">
        <v>0</v>
      </c>
      <c r="AO212" t="n">
        <v>0</v>
      </c>
      <c r="AP212" t="inlineStr">
        <is>
          <t>No</t>
        </is>
      </c>
      <c r="AQ212" t="inlineStr">
        <is>
          <t>Yes</t>
        </is>
      </c>
      <c r="AR212">
        <f>HYPERLINK("http://catalog.hathitrust.org/Record/000566027","HathiTrust Record")</f>
        <v/>
      </c>
      <c r="AS212">
        <f>HYPERLINK("https://creighton-primo.hosted.exlibrisgroup.com/primo-explore/search?tab=default_tab&amp;search_scope=EVERYTHING&amp;vid=01CRU&amp;lang=en_US&amp;offset=0&amp;query=any,contains,991002844309702656","Catalog Record")</f>
        <v/>
      </c>
      <c r="AT212">
        <f>HYPERLINK("http://www.worldcat.org/oclc/483889","WorldCat Record")</f>
        <v/>
      </c>
      <c r="AU212" t="inlineStr">
        <is>
          <t>486114213:eng</t>
        </is>
      </c>
      <c r="AV212" t="inlineStr">
        <is>
          <t>483889</t>
        </is>
      </c>
      <c r="AW212" t="inlineStr">
        <is>
          <t>991002844309702656</t>
        </is>
      </c>
      <c r="AX212" t="inlineStr">
        <is>
          <t>991002844309702656</t>
        </is>
      </c>
      <c r="AY212" t="inlineStr">
        <is>
          <t>2256283800002656</t>
        </is>
      </c>
      <c r="AZ212" t="inlineStr">
        <is>
          <t>BOOK</t>
        </is>
      </c>
      <c r="BC212" t="inlineStr">
        <is>
          <t>32285002342748</t>
        </is>
      </c>
      <c r="BD212" t="inlineStr">
        <is>
          <t>893239580</t>
        </is>
      </c>
    </row>
    <row r="213">
      <c r="A213" t="inlineStr">
        <is>
          <t>No</t>
        </is>
      </c>
      <c r="B213" t="inlineStr">
        <is>
          <t>DC161 .H5</t>
        </is>
      </c>
      <c r="C213" t="inlineStr">
        <is>
          <t>0                      DC 0161000H  5</t>
        </is>
      </c>
      <c r="D213" t="inlineStr">
        <is>
          <t>The days of the French Revolution / Christopher Hibbert.</t>
        </is>
      </c>
      <c r="F213" t="inlineStr">
        <is>
          <t>No</t>
        </is>
      </c>
      <c r="G213" t="inlineStr">
        <is>
          <t>1</t>
        </is>
      </c>
      <c r="H213" t="inlineStr">
        <is>
          <t>No</t>
        </is>
      </c>
      <c r="I213" t="inlineStr">
        <is>
          <t>No</t>
        </is>
      </c>
      <c r="J213" t="inlineStr">
        <is>
          <t>0</t>
        </is>
      </c>
      <c r="K213" t="inlineStr">
        <is>
          <t>Hibbert, Christopher, 1924-2008.</t>
        </is>
      </c>
      <c r="L213" t="inlineStr">
        <is>
          <t>New York : Morrow, 1980.</t>
        </is>
      </c>
      <c r="M213" t="inlineStr">
        <is>
          <t>1980</t>
        </is>
      </c>
      <c r="O213" t="inlineStr">
        <is>
          <t>eng</t>
        </is>
      </c>
      <c r="P213" t="inlineStr">
        <is>
          <t>nyu</t>
        </is>
      </c>
      <c r="R213" t="inlineStr">
        <is>
          <t xml:space="preserve">DC </t>
        </is>
      </c>
      <c r="S213" t="n">
        <v>9</v>
      </c>
      <c r="T213" t="n">
        <v>9</v>
      </c>
      <c r="U213" t="inlineStr">
        <is>
          <t>2006-06-02</t>
        </is>
      </c>
      <c r="V213" t="inlineStr">
        <is>
          <t>2006-06-02</t>
        </is>
      </c>
      <c r="W213" t="inlineStr">
        <is>
          <t>1990-01-31</t>
        </is>
      </c>
      <c r="X213" t="inlineStr">
        <is>
          <t>1990-01-31</t>
        </is>
      </c>
      <c r="Y213" t="n">
        <v>980</v>
      </c>
      <c r="Z213" t="n">
        <v>933</v>
      </c>
      <c r="AA213" t="n">
        <v>1441</v>
      </c>
      <c r="AB213" t="n">
        <v>5</v>
      </c>
      <c r="AC213" t="n">
        <v>11</v>
      </c>
      <c r="AD213" t="n">
        <v>22</v>
      </c>
      <c r="AE213" t="n">
        <v>35</v>
      </c>
      <c r="AF213" t="n">
        <v>8</v>
      </c>
      <c r="AG213" t="n">
        <v>14</v>
      </c>
      <c r="AH213" t="n">
        <v>8</v>
      </c>
      <c r="AI213" t="n">
        <v>9</v>
      </c>
      <c r="AJ213" t="n">
        <v>11</v>
      </c>
      <c r="AK213" t="n">
        <v>17</v>
      </c>
      <c r="AL213" t="n">
        <v>1</v>
      </c>
      <c r="AM213" t="n">
        <v>4</v>
      </c>
      <c r="AN213" t="n">
        <v>0</v>
      </c>
      <c r="AO213" t="n">
        <v>0</v>
      </c>
      <c r="AP213" t="inlineStr">
        <is>
          <t>No</t>
        </is>
      </c>
      <c r="AQ213" t="inlineStr">
        <is>
          <t>Yes</t>
        </is>
      </c>
      <c r="AR213">
        <f>HYPERLINK("http://catalog.hathitrust.org/Record/000725479","HathiTrust Record")</f>
        <v/>
      </c>
      <c r="AS213">
        <f>HYPERLINK("https://creighton-primo.hosted.exlibrisgroup.com/primo-explore/search?tab=default_tab&amp;search_scope=EVERYTHING&amp;vid=01CRU&amp;lang=en_US&amp;offset=0&amp;query=any,contains,991005003349702656","Catalog Record")</f>
        <v/>
      </c>
      <c r="AT213">
        <f>HYPERLINK("http://www.worldcat.org/oclc/6555248","WorldCat Record")</f>
        <v/>
      </c>
      <c r="AU213" t="inlineStr">
        <is>
          <t>3858105383:eng</t>
        </is>
      </c>
      <c r="AV213" t="inlineStr">
        <is>
          <t>6555248</t>
        </is>
      </c>
      <c r="AW213" t="inlineStr">
        <is>
          <t>991005003349702656</t>
        </is>
      </c>
      <c r="AX213" t="inlineStr">
        <is>
          <t>991005003349702656</t>
        </is>
      </c>
      <c r="AY213" t="inlineStr">
        <is>
          <t>2254886030002656</t>
        </is>
      </c>
      <c r="AZ213" t="inlineStr">
        <is>
          <t>BOOK</t>
        </is>
      </c>
      <c r="BB213" t="inlineStr">
        <is>
          <t>9780688037048</t>
        </is>
      </c>
      <c r="BC213" t="inlineStr">
        <is>
          <t>32285000031434</t>
        </is>
      </c>
      <c r="BD213" t="inlineStr">
        <is>
          <t>893430704</t>
        </is>
      </c>
    </row>
    <row r="214">
      <c r="A214" t="inlineStr">
        <is>
          <t>No</t>
        </is>
      </c>
      <c r="B214" t="inlineStr">
        <is>
          <t>DC161 .M44</t>
        </is>
      </c>
      <c r="C214" t="inlineStr">
        <is>
          <t>0                      DC 0161000M  44</t>
        </is>
      </c>
      <c r="D214" t="inlineStr">
        <is>
          <t>The French revolution : a sketch / by Shailer Mathews.</t>
        </is>
      </c>
      <c r="F214" t="inlineStr">
        <is>
          <t>No</t>
        </is>
      </c>
      <c r="G214" t="inlineStr">
        <is>
          <t>1</t>
        </is>
      </c>
      <c r="H214" t="inlineStr">
        <is>
          <t>No</t>
        </is>
      </c>
      <c r="I214" t="inlineStr">
        <is>
          <t>No</t>
        </is>
      </c>
      <c r="J214" t="inlineStr">
        <is>
          <t>0</t>
        </is>
      </c>
      <c r="K214" t="inlineStr">
        <is>
          <t>Mathews, Shailer, 1863-1941.</t>
        </is>
      </c>
      <c r="L214" t="inlineStr">
        <is>
          <t>New York ; London : Longmans, Green, and Co., 1900.</t>
        </is>
      </c>
      <c r="M214" t="inlineStr">
        <is>
          <t>1900</t>
        </is>
      </c>
      <c r="O214" t="inlineStr">
        <is>
          <t>eng</t>
        </is>
      </c>
      <c r="P214" t="inlineStr">
        <is>
          <t>nyu</t>
        </is>
      </c>
      <c r="R214" t="inlineStr">
        <is>
          <t xml:space="preserve">DC </t>
        </is>
      </c>
      <c r="S214" t="n">
        <v>4</v>
      </c>
      <c r="T214" t="n">
        <v>4</v>
      </c>
      <c r="U214" t="inlineStr">
        <is>
          <t>2005-11-19</t>
        </is>
      </c>
      <c r="V214" t="inlineStr">
        <is>
          <t>2005-11-19</t>
        </is>
      </c>
      <c r="W214" t="inlineStr">
        <is>
          <t>1990-04-18</t>
        </is>
      </c>
      <c r="X214" t="inlineStr">
        <is>
          <t>1990-04-18</t>
        </is>
      </c>
      <c r="Y214" t="n">
        <v>202</v>
      </c>
      <c r="Z214" t="n">
        <v>196</v>
      </c>
      <c r="AA214" t="n">
        <v>459</v>
      </c>
      <c r="AB214" t="n">
        <v>4</v>
      </c>
      <c r="AC214" t="n">
        <v>8</v>
      </c>
      <c r="AD214" t="n">
        <v>9</v>
      </c>
      <c r="AE214" t="n">
        <v>23</v>
      </c>
      <c r="AF214" t="n">
        <v>3</v>
      </c>
      <c r="AG214" t="n">
        <v>8</v>
      </c>
      <c r="AH214" t="n">
        <v>0</v>
      </c>
      <c r="AI214" t="n">
        <v>4</v>
      </c>
      <c r="AJ214" t="n">
        <v>3</v>
      </c>
      <c r="AK214" t="n">
        <v>8</v>
      </c>
      <c r="AL214" t="n">
        <v>3</v>
      </c>
      <c r="AM214" t="n">
        <v>6</v>
      </c>
      <c r="AN214" t="n">
        <v>0</v>
      </c>
      <c r="AO214" t="n">
        <v>0</v>
      </c>
      <c r="AP214" t="inlineStr">
        <is>
          <t>Yes</t>
        </is>
      </c>
      <c r="AQ214" t="inlineStr">
        <is>
          <t>No</t>
        </is>
      </c>
      <c r="AR214">
        <f>HYPERLINK("http://catalog.hathitrust.org/Record/000473615","HathiTrust Record")</f>
        <v/>
      </c>
      <c r="AS214">
        <f>HYPERLINK("https://creighton-primo.hosted.exlibrisgroup.com/primo-explore/search?tab=default_tab&amp;search_scope=EVERYTHING&amp;vid=01CRU&amp;lang=en_US&amp;offset=0&amp;query=any,contains,991002690999702656","Catalog Record")</f>
        <v/>
      </c>
      <c r="AT214">
        <f>HYPERLINK("http://www.worldcat.org/oclc/401496","WorldCat Record")</f>
        <v/>
      </c>
      <c r="AU214" t="inlineStr">
        <is>
          <t>1417606:eng</t>
        </is>
      </c>
      <c r="AV214" t="inlineStr">
        <is>
          <t>401496</t>
        </is>
      </c>
      <c r="AW214" t="inlineStr">
        <is>
          <t>991002690999702656</t>
        </is>
      </c>
      <c r="AX214" t="inlineStr">
        <is>
          <t>991002690999702656</t>
        </is>
      </c>
      <c r="AY214" t="inlineStr">
        <is>
          <t>2268206090002656</t>
        </is>
      </c>
      <c r="AZ214" t="inlineStr">
        <is>
          <t>BOOK</t>
        </is>
      </c>
      <c r="BC214" t="inlineStr">
        <is>
          <t>32285000116557</t>
        </is>
      </c>
      <c r="BD214" t="inlineStr">
        <is>
          <t>893710555</t>
        </is>
      </c>
    </row>
    <row r="215">
      <c r="A215" t="inlineStr">
        <is>
          <t>No</t>
        </is>
      </c>
      <c r="B215" t="inlineStr">
        <is>
          <t>DC161 .M5153 1967</t>
        </is>
      </c>
      <c r="C215" t="inlineStr">
        <is>
          <t>0                      DC 0161000M  5153        1967</t>
        </is>
      </c>
      <c r="D215" t="inlineStr">
        <is>
          <t>History of the French Revolution / translated by Charles Cocks. Edited and with an introduction by Gordon Wright.</t>
        </is>
      </c>
      <c r="F215" t="inlineStr">
        <is>
          <t>No</t>
        </is>
      </c>
      <c r="G215" t="inlineStr">
        <is>
          <t>1</t>
        </is>
      </c>
      <c r="H215" t="inlineStr">
        <is>
          <t>No</t>
        </is>
      </c>
      <c r="I215" t="inlineStr">
        <is>
          <t>No</t>
        </is>
      </c>
      <c r="J215" t="inlineStr">
        <is>
          <t>0</t>
        </is>
      </c>
      <c r="K215" t="inlineStr">
        <is>
          <t>Michelet, Jules, 1798-1874.</t>
        </is>
      </c>
      <c r="L215" t="inlineStr">
        <is>
          <t>Chicago : University of Chicago Press, [1967]</t>
        </is>
      </c>
      <c r="M215" t="inlineStr">
        <is>
          <t>1967</t>
        </is>
      </c>
      <c r="O215" t="inlineStr">
        <is>
          <t>eng</t>
        </is>
      </c>
      <c r="P215" t="inlineStr">
        <is>
          <t xml:space="preserve">xx </t>
        </is>
      </c>
      <c r="Q215" t="inlineStr">
        <is>
          <t>Classic European historians</t>
        </is>
      </c>
      <c r="R215" t="inlineStr">
        <is>
          <t xml:space="preserve">DC </t>
        </is>
      </c>
      <c r="S215" t="n">
        <v>5</v>
      </c>
      <c r="T215" t="n">
        <v>5</v>
      </c>
      <c r="U215" t="inlineStr">
        <is>
          <t>2003-10-31</t>
        </is>
      </c>
      <c r="V215" t="inlineStr">
        <is>
          <t>2003-10-31</t>
        </is>
      </c>
      <c r="W215" t="inlineStr">
        <is>
          <t>1993-03-29</t>
        </is>
      </c>
      <c r="X215" t="inlineStr">
        <is>
          <t>1993-03-29</t>
        </is>
      </c>
      <c r="Y215" t="n">
        <v>1042</v>
      </c>
      <c r="Z215" t="n">
        <v>873</v>
      </c>
      <c r="AA215" t="n">
        <v>946</v>
      </c>
      <c r="AB215" t="n">
        <v>5</v>
      </c>
      <c r="AC215" t="n">
        <v>5</v>
      </c>
      <c r="AD215" t="n">
        <v>31</v>
      </c>
      <c r="AE215" t="n">
        <v>34</v>
      </c>
      <c r="AF215" t="n">
        <v>10</v>
      </c>
      <c r="AG215" t="n">
        <v>12</v>
      </c>
      <c r="AH215" t="n">
        <v>9</v>
      </c>
      <c r="AI215" t="n">
        <v>9</v>
      </c>
      <c r="AJ215" t="n">
        <v>16</v>
      </c>
      <c r="AK215" t="n">
        <v>17</v>
      </c>
      <c r="AL215" t="n">
        <v>4</v>
      </c>
      <c r="AM215" t="n">
        <v>4</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HYPERLINK("https://creighton-primo.hosted.exlibrisgroup.com/primo-explore/search?tab=default_tab&amp;search_scope=EVERYTHING&amp;vid=01CRU&amp;lang=en_US&amp;offset=0&amp;query=any,contains,991003816359702656","Catalog Record")</f>
        <v/>
      </c>
      <c r="AT215">
        <f>HYPERLINK("http://www.worldcat.org/oclc/1549716","WorldCat Record")</f>
        <v/>
      </c>
      <c r="AU215" t="inlineStr">
        <is>
          <t>4757898599:eng</t>
        </is>
      </c>
      <c r="AV215" t="inlineStr">
        <is>
          <t>1549716</t>
        </is>
      </c>
      <c r="AW215" t="inlineStr">
        <is>
          <t>991003816359702656</t>
        </is>
      </c>
      <c r="AX215" t="inlineStr">
        <is>
          <t>991003816359702656</t>
        </is>
      </c>
      <c r="AY215" t="inlineStr">
        <is>
          <t>2270848330002656</t>
        </is>
      </c>
      <c r="AZ215" t="inlineStr">
        <is>
          <t>BOOK</t>
        </is>
      </c>
      <c r="BC215" t="inlineStr">
        <is>
          <t>32285001592053</t>
        </is>
      </c>
      <c r="BD215" t="inlineStr">
        <is>
          <t>893687001</t>
        </is>
      </c>
    </row>
    <row r="216">
      <c r="A216" t="inlineStr">
        <is>
          <t>No</t>
        </is>
      </c>
      <c r="B216" t="inlineStr">
        <is>
          <t>DC161 .S313 1954</t>
        </is>
      </c>
      <c r="C216" t="inlineStr">
        <is>
          <t>0                      DC 0161000S  313         1954</t>
        </is>
      </c>
      <c r="D216" t="inlineStr">
        <is>
          <t>The French Revolution, 1788-1792 / translated from the Italian by I.M. Rawson.</t>
        </is>
      </c>
      <c r="F216" t="inlineStr">
        <is>
          <t>No</t>
        </is>
      </c>
      <c r="G216" t="inlineStr">
        <is>
          <t>1</t>
        </is>
      </c>
      <c r="H216" t="inlineStr">
        <is>
          <t>No</t>
        </is>
      </c>
      <c r="I216" t="inlineStr">
        <is>
          <t>No</t>
        </is>
      </c>
      <c r="J216" t="inlineStr">
        <is>
          <t>0</t>
        </is>
      </c>
      <c r="K216" t="inlineStr">
        <is>
          <t>Salvemini, Gaetano, 1873-1957.</t>
        </is>
      </c>
      <c r="L216" t="inlineStr">
        <is>
          <t>New York : Holt, [1954]</t>
        </is>
      </c>
      <c r="M216" t="inlineStr">
        <is>
          <t>1954</t>
        </is>
      </c>
      <c r="O216" t="inlineStr">
        <is>
          <t>eng</t>
        </is>
      </c>
      <c r="P216" t="inlineStr">
        <is>
          <t>nyu</t>
        </is>
      </c>
      <c r="R216" t="inlineStr">
        <is>
          <t xml:space="preserve">DC </t>
        </is>
      </c>
      <c r="S216" t="n">
        <v>5</v>
      </c>
      <c r="T216" t="n">
        <v>5</v>
      </c>
      <c r="U216" t="inlineStr">
        <is>
          <t>2008-12-08</t>
        </is>
      </c>
      <c r="V216" t="inlineStr">
        <is>
          <t>2008-12-08</t>
        </is>
      </c>
      <c r="W216" t="inlineStr">
        <is>
          <t>1990-04-18</t>
        </is>
      </c>
      <c r="X216" t="inlineStr">
        <is>
          <t>1990-04-18</t>
        </is>
      </c>
      <c r="Y216" t="n">
        <v>355</v>
      </c>
      <c r="Z216" t="n">
        <v>342</v>
      </c>
      <c r="AA216" t="n">
        <v>759</v>
      </c>
      <c r="AB216" t="n">
        <v>3</v>
      </c>
      <c r="AC216" t="n">
        <v>9</v>
      </c>
      <c r="AD216" t="n">
        <v>18</v>
      </c>
      <c r="AE216" t="n">
        <v>37</v>
      </c>
      <c r="AF216" t="n">
        <v>7</v>
      </c>
      <c r="AG216" t="n">
        <v>14</v>
      </c>
      <c r="AH216" t="n">
        <v>4</v>
      </c>
      <c r="AI216" t="n">
        <v>7</v>
      </c>
      <c r="AJ216" t="n">
        <v>9</v>
      </c>
      <c r="AK216" t="n">
        <v>18</v>
      </c>
      <c r="AL216" t="n">
        <v>2</v>
      </c>
      <c r="AM216" t="n">
        <v>6</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HYPERLINK("https://creighton-primo.hosted.exlibrisgroup.com/primo-explore/search?tab=default_tab&amp;search_scope=EVERYTHING&amp;vid=01CRU&amp;lang=en_US&amp;offset=0&amp;query=any,contains,991003023159702656","Catalog Record")</f>
        <v/>
      </c>
      <c r="AT216">
        <f>HYPERLINK("http://www.worldcat.org/oclc/588051","WorldCat Record")</f>
        <v/>
      </c>
      <c r="AU216" t="inlineStr">
        <is>
          <t>4820469610:eng</t>
        </is>
      </c>
      <c r="AV216" t="inlineStr">
        <is>
          <t>588051</t>
        </is>
      </c>
      <c r="AW216" t="inlineStr">
        <is>
          <t>991003023159702656</t>
        </is>
      </c>
      <c r="AX216" t="inlineStr">
        <is>
          <t>991003023159702656</t>
        </is>
      </c>
      <c r="AY216" t="inlineStr">
        <is>
          <t>2270081270002656</t>
        </is>
      </c>
      <c r="AZ216" t="inlineStr">
        <is>
          <t>BOOK</t>
        </is>
      </c>
      <c r="BC216" t="inlineStr">
        <is>
          <t>32285000116540</t>
        </is>
      </c>
      <c r="BD216" t="inlineStr">
        <is>
          <t>893698593</t>
        </is>
      </c>
    </row>
    <row r="217">
      <c r="A217" t="inlineStr">
        <is>
          <t>No</t>
        </is>
      </c>
      <c r="B217" t="inlineStr">
        <is>
          <t>DC161 .S87 1965</t>
        </is>
      </c>
      <c r="C217" t="inlineStr">
        <is>
          <t>0                      DC 0161000S  87          1965</t>
        </is>
      </c>
      <c r="D217" t="inlineStr">
        <is>
          <t>The French revolution [by] M. J. Sydenham.</t>
        </is>
      </c>
      <c r="F217" t="inlineStr">
        <is>
          <t>No</t>
        </is>
      </c>
      <c r="G217" t="inlineStr">
        <is>
          <t>1</t>
        </is>
      </c>
      <c r="H217" t="inlineStr">
        <is>
          <t>No</t>
        </is>
      </c>
      <c r="I217" t="inlineStr">
        <is>
          <t>No</t>
        </is>
      </c>
      <c r="J217" t="inlineStr">
        <is>
          <t>0</t>
        </is>
      </c>
      <c r="K217" t="inlineStr">
        <is>
          <t>Sydenham, M. J.</t>
        </is>
      </c>
      <c r="L217" t="inlineStr">
        <is>
          <t>New York, Putnam [1965]</t>
        </is>
      </c>
      <c r="M217" t="inlineStr">
        <is>
          <t>1965</t>
        </is>
      </c>
      <c r="N217" t="inlineStr">
        <is>
          <t>[1st American ed.]</t>
        </is>
      </c>
      <c r="O217" t="inlineStr">
        <is>
          <t>eng</t>
        </is>
      </c>
      <c r="P217" t="inlineStr">
        <is>
          <t>nyu</t>
        </is>
      </c>
      <c r="R217" t="inlineStr">
        <is>
          <t xml:space="preserve">DC </t>
        </is>
      </c>
      <c r="S217" t="n">
        <v>3</v>
      </c>
      <c r="T217" t="n">
        <v>3</v>
      </c>
      <c r="U217" t="inlineStr">
        <is>
          <t>1999-04-20</t>
        </is>
      </c>
      <c r="V217" t="inlineStr">
        <is>
          <t>1999-04-20</t>
        </is>
      </c>
      <c r="W217" t="inlineStr">
        <is>
          <t>1996-11-08</t>
        </is>
      </c>
      <c r="X217" t="inlineStr">
        <is>
          <t>1996-11-08</t>
        </is>
      </c>
      <c r="Y217" t="n">
        <v>476</v>
      </c>
      <c r="Z217" t="n">
        <v>449</v>
      </c>
      <c r="AA217" t="n">
        <v>760</v>
      </c>
      <c r="AB217" t="n">
        <v>2</v>
      </c>
      <c r="AC217" t="n">
        <v>4</v>
      </c>
      <c r="AD217" t="n">
        <v>13</v>
      </c>
      <c r="AE217" t="n">
        <v>26</v>
      </c>
      <c r="AF217" t="n">
        <v>2</v>
      </c>
      <c r="AG217" t="n">
        <v>6</v>
      </c>
      <c r="AH217" t="n">
        <v>3</v>
      </c>
      <c r="AI217" t="n">
        <v>8</v>
      </c>
      <c r="AJ217" t="n">
        <v>9</v>
      </c>
      <c r="AK217" t="n">
        <v>16</v>
      </c>
      <c r="AL217" t="n">
        <v>1</v>
      </c>
      <c r="AM217" t="n">
        <v>3</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HYPERLINK("https://creighton-primo.hosted.exlibrisgroup.com/primo-explore/search?tab=default_tab&amp;search_scope=EVERYTHING&amp;vid=01CRU&amp;lang=en_US&amp;offset=0&amp;query=any,contains,991001393599702656","Catalog Record")</f>
        <v/>
      </c>
      <c r="AT217">
        <f>HYPERLINK("http://www.worldcat.org/oclc/228359","WorldCat Record")</f>
        <v/>
      </c>
      <c r="AU217" t="inlineStr">
        <is>
          <t>1346549:eng</t>
        </is>
      </c>
      <c r="AV217" t="inlineStr">
        <is>
          <t>228359</t>
        </is>
      </c>
      <c r="AW217" t="inlineStr">
        <is>
          <t>991001393599702656</t>
        </is>
      </c>
      <c r="AX217" t="inlineStr">
        <is>
          <t>991001393599702656</t>
        </is>
      </c>
      <c r="AY217" t="inlineStr">
        <is>
          <t>2256818160002656</t>
        </is>
      </c>
      <c r="AZ217" t="inlineStr">
        <is>
          <t>BOOK</t>
        </is>
      </c>
      <c r="BC217" t="inlineStr">
        <is>
          <t>32285002342771</t>
        </is>
      </c>
      <c r="BD217" t="inlineStr">
        <is>
          <t>893426569</t>
        </is>
      </c>
    </row>
    <row r="218">
      <c r="A218" t="inlineStr">
        <is>
          <t>No</t>
        </is>
      </c>
      <c r="B218" t="inlineStr">
        <is>
          <t>DC161 .T47 1945</t>
        </is>
      </c>
      <c r="C218" t="inlineStr">
        <is>
          <t>0                      DC 0161000T  47          1945</t>
        </is>
      </c>
      <c r="D218" t="inlineStr">
        <is>
          <t>The French revolution / [by] J. M. Thompson.</t>
        </is>
      </c>
      <c r="F218" t="inlineStr">
        <is>
          <t>No</t>
        </is>
      </c>
      <c r="G218" t="inlineStr">
        <is>
          <t>1</t>
        </is>
      </c>
      <c r="H218" t="inlineStr">
        <is>
          <t>No</t>
        </is>
      </c>
      <c r="I218" t="inlineStr">
        <is>
          <t>No</t>
        </is>
      </c>
      <c r="J218" t="inlineStr">
        <is>
          <t>0</t>
        </is>
      </c>
      <c r="K218" t="inlineStr">
        <is>
          <t>Thompson, J. M. (James Matthew), 1878-1956.</t>
        </is>
      </c>
      <c r="L218" t="inlineStr">
        <is>
          <t>New York : Oxford university press, 1945.</t>
        </is>
      </c>
      <c r="M218" t="inlineStr">
        <is>
          <t>1945</t>
        </is>
      </c>
      <c r="O218" t="inlineStr">
        <is>
          <t>eng</t>
        </is>
      </c>
      <c r="P218" t="inlineStr">
        <is>
          <t>nyu</t>
        </is>
      </c>
      <c r="R218" t="inlineStr">
        <is>
          <t xml:space="preserve">DC </t>
        </is>
      </c>
      <c r="S218" t="n">
        <v>4</v>
      </c>
      <c r="T218" t="n">
        <v>4</v>
      </c>
      <c r="U218" t="inlineStr">
        <is>
          <t>2004-12-11</t>
        </is>
      </c>
      <c r="V218" t="inlineStr">
        <is>
          <t>2004-12-11</t>
        </is>
      </c>
      <c r="W218" t="inlineStr">
        <is>
          <t>1990-04-18</t>
        </is>
      </c>
      <c r="X218" t="inlineStr">
        <is>
          <t>1990-04-18</t>
        </is>
      </c>
      <c r="Y218" t="n">
        <v>451</v>
      </c>
      <c r="Z218" t="n">
        <v>428</v>
      </c>
      <c r="AA218" t="n">
        <v>1281</v>
      </c>
      <c r="AB218" t="n">
        <v>4</v>
      </c>
      <c r="AC218" t="n">
        <v>10</v>
      </c>
      <c r="AD218" t="n">
        <v>23</v>
      </c>
      <c r="AE218" t="n">
        <v>51</v>
      </c>
      <c r="AF218" t="n">
        <v>6</v>
      </c>
      <c r="AG218" t="n">
        <v>20</v>
      </c>
      <c r="AH218" t="n">
        <v>5</v>
      </c>
      <c r="AI218" t="n">
        <v>10</v>
      </c>
      <c r="AJ218" t="n">
        <v>14</v>
      </c>
      <c r="AK218" t="n">
        <v>22</v>
      </c>
      <c r="AL218" t="n">
        <v>3</v>
      </c>
      <c r="AM218" t="n">
        <v>9</v>
      </c>
      <c r="AN218" t="n">
        <v>0</v>
      </c>
      <c r="AO218" t="n">
        <v>0</v>
      </c>
      <c r="AP218" t="inlineStr">
        <is>
          <t>No</t>
        </is>
      </c>
      <c r="AQ218" t="inlineStr">
        <is>
          <t>Yes</t>
        </is>
      </c>
      <c r="AR218">
        <f>HYPERLINK("http://catalog.hathitrust.org/Record/000564348","HathiTrust Record")</f>
        <v/>
      </c>
      <c r="AS218">
        <f>HYPERLINK("https://creighton-primo.hosted.exlibrisgroup.com/primo-explore/search?tab=default_tab&amp;search_scope=EVERYTHING&amp;vid=01CRU&amp;lang=en_US&amp;offset=0&amp;query=any,contains,991003500199702656","Catalog Record")</f>
        <v/>
      </c>
      <c r="AT218">
        <f>HYPERLINK("http://www.worldcat.org/oclc/1052771","WorldCat Record")</f>
        <v/>
      </c>
      <c r="AU218" t="inlineStr">
        <is>
          <t>1417465:eng</t>
        </is>
      </c>
      <c r="AV218" t="inlineStr">
        <is>
          <t>1052771</t>
        </is>
      </c>
      <c r="AW218" t="inlineStr">
        <is>
          <t>991003500199702656</t>
        </is>
      </c>
      <c r="AX218" t="inlineStr">
        <is>
          <t>991003500199702656</t>
        </is>
      </c>
      <c r="AY218" t="inlineStr">
        <is>
          <t>2270052590002656</t>
        </is>
      </c>
      <c r="AZ218" t="inlineStr">
        <is>
          <t>BOOK</t>
        </is>
      </c>
      <c r="BC218" t="inlineStr">
        <is>
          <t>32285000116532</t>
        </is>
      </c>
      <c r="BD218" t="inlineStr">
        <is>
          <t>893445695</t>
        </is>
      </c>
    </row>
    <row r="219">
      <c r="A219" t="inlineStr">
        <is>
          <t>No</t>
        </is>
      </c>
      <c r="B219" t="inlineStr">
        <is>
          <t>DC162 .B875 1989</t>
        </is>
      </c>
      <c r="C219" t="inlineStr">
        <is>
          <t>0                      DC 0162000B  875         1989</t>
        </is>
      </c>
      <c r="D219" t="inlineStr">
        <is>
          <t>Witness to the Revolution : American and British commentators in France, 1788-94 / Peter Burley.</t>
        </is>
      </c>
      <c r="F219" t="inlineStr">
        <is>
          <t>No</t>
        </is>
      </c>
      <c r="G219" t="inlineStr">
        <is>
          <t>1</t>
        </is>
      </c>
      <c r="H219" t="inlineStr">
        <is>
          <t>No</t>
        </is>
      </c>
      <c r="I219" t="inlineStr">
        <is>
          <t>No</t>
        </is>
      </c>
      <c r="J219" t="inlineStr">
        <is>
          <t>0</t>
        </is>
      </c>
      <c r="K219" t="inlineStr">
        <is>
          <t>Burley, Peter.</t>
        </is>
      </c>
      <c r="L219" t="inlineStr">
        <is>
          <t>London : Weidenfeld &amp; Nicolson, 1989.</t>
        </is>
      </c>
      <c r="M219" t="inlineStr">
        <is>
          <t>1989</t>
        </is>
      </c>
      <c r="O219" t="inlineStr">
        <is>
          <t>eng</t>
        </is>
      </c>
      <c r="P219" t="inlineStr">
        <is>
          <t>enk</t>
        </is>
      </c>
      <c r="R219" t="inlineStr">
        <is>
          <t xml:space="preserve">DC </t>
        </is>
      </c>
      <c r="S219" t="n">
        <v>4</v>
      </c>
      <c r="T219" t="n">
        <v>4</v>
      </c>
      <c r="U219" t="inlineStr">
        <is>
          <t>2007-04-19</t>
        </is>
      </c>
      <c r="V219" t="inlineStr">
        <is>
          <t>2007-04-19</t>
        </is>
      </c>
      <c r="W219" t="inlineStr">
        <is>
          <t>1989-10-23</t>
        </is>
      </c>
      <c r="X219" t="inlineStr">
        <is>
          <t>1989-10-23</t>
        </is>
      </c>
      <c r="Y219" t="n">
        <v>195</v>
      </c>
      <c r="Z219" t="n">
        <v>99</v>
      </c>
      <c r="AA219" t="n">
        <v>99</v>
      </c>
      <c r="AB219" t="n">
        <v>2</v>
      </c>
      <c r="AC219" t="n">
        <v>2</v>
      </c>
      <c r="AD219" t="n">
        <v>4</v>
      </c>
      <c r="AE219" t="n">
        <v>4</v>
      </c>
      <c r="AF219" t="n">
        <v>0</v>
      </c>
      <c r="AG219" t="n">
        <v>0</v>
      </c>
      <c r="AH219" t="n">
        <v>2</v>
      </c>
      <c r="AI219" t="n">
        <v>2</v>
      </c>
      <c r="AJ219" t="n">
        <v>2</v>
      </c>
      <c r="AK219" t="n">
        <v>2</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HYPERLINK("https://creighton-primo.hosted.exlibrisgroup.com/primo-explore/search?tab=default_tab&amp;search_scope=EVERYTHING&amp;vid=01CRU&amp;lang=en_US&amp;offset=0&amp;query=any,contains,991001496339702656","Catalog Record")</f>
        <v/>
      </c>
      <c r="AT219">
        <f>HYPERLINK("http://www.worldcat.org/oclc/19769960","WorldCat Record")</f>
        <v/>
      </c>
      <c r="AU219" t="inlineStr">
        <is>
          <t>346118299:eng</t>
        </is>
      </c>
      <c r="AV219" t="inlineStr">
        <is>
          <t>19769960</t>
        </is>
      </c>
      <c r="AW219" t="inlineStr">
        <is>
          <t>991001496339702656</t>
        </is>
      </c>
      <c r="AX219" t="inlineStr">
        <is>
          <t>991001496339702656</t>
        </is>
      </c>
      <c r="AY219" t="inlineStr">
        <is>
          <t>2268118400002656</t>
        </is>
      </c>
      <c r="AZ219" t="inlineStr">
        <is>
          <t>BOOK</t>
        </is>
      </c>
      <c r="BB219" t="inlineStr">
        <is>
          <t>9780297795469</t>
        </is>
      </c>
      <c r="BC219" t="inlineStr">
        <is>
          <t>32285000002187</t>
        </is>
      </c>
      <c r="BD219" t="inlineStr">
        <is>
          <t>893334356</t>
        </is>
      </c>
    </row>
    <row r="220">
      <c r="A220" t="inlineStr">
        <is>
          <t>No</t>
        </is>
      </c>
      <c r="B220" t="inlineStr">
        <is>
          <t>DC162 .C63 1988</t>
        </is>
      </c>
      <c r="C220" t="inlineStr">
        <is>
          <t>0                      DC 0162000C  63          1988</t>
        </is>
      </c>
      <c r="D220" t="inlineStr">
        <is>
          <t>Voices of the French Revolution / Richard Cobb, general editor ; Colin Jones, editor.</t>
        </is>
      </c>
      <c r="F220" t="inlineStr">
        <is>
          <t>No</t>
        </is>
      </c>
      <c r="G220" t="inlineStr">
        <is>
          <t>1</t>
        </is>
      </c>
      <c r="H220" t="inlineStr">
        <is>
          <t>No</t>
        </is>
      </c>
      <c r="I220" t="inlineStr">
        <is>
          <t>No</t>
        </is>
      </c>
      <c r="J220" t="inlineStr">
        <is>
          <t>0</t>
        </is>
      </c>
      <c r="K220" t="inlineStr">
        <is>
          <t>Cobb, Richard, 1917-1996.</t>
        </is>
      </c>
      <c r="L220" t="inlineStr">
        <is>
          <t>Topsfield, Mass. : Salem House Publishers, 1988.</t>
        </is>
      </c>
      <c r="M220" t="inlineStr">
        <is>
          <t>1988</t>
        </is>
      </c>
      <c r="O220" t="inlineStr">
        <is>
          <t>eng</t>
        </is>
      </c>
      <c r="P220" t="inlineStr">
        <is>
          <t>mau</t>
        </is>
      </c>
      <c r="R220" t="inlineStr">
        <is>
          <t xml:space="preserve">DC </t>
        </is>
      </c>
      <c r="S220" t="n">
        <v>9</v>
      </c>
      <c r="T220" t="n">
        <v>9</v>
      </c>
      <c r="U220" t="inlineStr">
        <is>
          <t>2002-11-03</t>
        </is>
      </c>
      <c r="V220" t="inlineStr">
        <is>
          <t>2002-11-03</t>
        </is>
      </c>
      <c r="W220" t="inlineStr">
        <is>
          <t>1990-04-17</t>
        </is>
      </c>
      <c r="X220" t="inlineStr">
        <is>
          <t>1990-04-17</t>
        </is>
      </c>
      <c r="Y220" t="n">
        <v>868</v>
      </c>
      <c r="Z220" t="n">
        <v>798</v>
      </c>
      <c r="AA220" t="n">
        <v>799</v>
      </c>
      <c r="AB220" t="n">
        <v>3</v>
      </c>
      <c r="AC220" t="n">
        <v>3</v>
      </c>
      <c r="AD220" t="n">
        <v>20</v>
      </c>
      <c r="AE220" t="n">
        <v>20</v>
      </c>
      <c r="AF220" t="n">
        <v>8</v>
      </c>
      <c r="AG220" t="n">
        <v>8</v>
      </c>
      <c r="AH220" t="n">
        <v>5</v>
      </c>
      <c r="AI220" t="n">
        <v>5</v>
      </c>
      <c r="AJ220" t="n">
        <v>11</v>
      </c>
      <c r="AK220" t="n">
        <v>11</v>
      </c>
      <c r="AL220" t="n">
        <v>1</v>
      </c>
      <c r="AM220" t="n">
        <v>1</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HYPERLINK("https://creighton-primo.hosted.exlibrisgroup.com/primo-explore/search?tab=default_tab&amp;search_scope=EVERYTHING&amp;vid=01CRU&amp;lang=en_US&amp;offset=0&amp;query=any,contains,991001283769702656","Catalog Record")</f>
        <v/>
      </c>
      <c r="AT220">
        <f>HYPERLINK("http://www.worldcat.org/oclc/17951604","WorldCat Record")</f>
        <v/>
      </c>
      <c r="AU220" t="inlineStr">
        <is>
          <t>355143817:eng</t>
        </is>
      </c>
      <c r="AV220" t="inlineStr">
        <is>
          <t>17951604</t>
        </is>
      </c>
      <c r="AW220" t="inlineStr">
        <is>
          <t>991001283769702656</t>
        </is>
      </c>
      <c r="AX220" t="inlineStr">
        <is>
          <t>991001283769702656</t>
        </is>
      </c>
      <c r="AY220" t="inlineStr">
        <is>
          <t>2271278780002656</t>
        </is>
      </c>
      <c r="AZ220" t="inlineStr">
        <is>
          <t>BOOK</t>
        </is>
      </c>
      <c r="BB220" t="inlineStr">
        <is>
          <t>9780881623383</t>
        </is>
      </c>
      <c r="BC220" t="inlineStr">
        <is>
          <t>32285000120823</t>
        </is>
      </c>
      <c r="BD220" t="inlineStr">
        <is>
          <t>893791355</t>
        </is>
      </c>
    </row>
    <row r="221">
      <c r="A221" t="inlineStr">
        <is>
          <t>No</t>
        </is>
      </c>
      <c r="B221" t="inlineStr">
        <is>
          <t>DC163 .H8 1968</t>
        </is>
      </c>
      <c r="C221" t="inlineStr">
        <is>
          <t>0                      DC 0163000H  8           1968</t>
        </is>
      </c>
      <c r="D221" t="inlineStr">
        <is>
          <t>French nationalism in 1789, according to the general cahiers.</t>
        </is>
      </c>
      <c r="F221" t="inlineStr">
        <is>
          <t>No</t>
        </is>
      </c>
      <c r="G221" t="inlineStr">
        <is>
          <t>1</t>
        </is>
      </c>
      <c r="H221" t="inlineStr">
        <is>
          <t>No</t>
        </is>
      </c>
      <c r="I221" t="inlineStr">
        <is>
          <t>No</t>
        </is>
      </c>
      <c r="J221" t="inlineStr">
        <is>
          <t>0</t>
        </is>
      </c>
      <c r="K221" t="inlineStr">
        <is>
          <t>Hyslop, Beatrice F. (Beatrice Fry), 1899-1973.</t>
        </is>
      </c>
      <c r="L221" t="inlineStr">
        <is>
          <t>New York, Octagon Books, 1968 [c1934]</t>
        </is>
      </c>
      <c r="M221" t="inlineStr">
        <is>
          <t>1968</t>
        </is>
      </c>
      <c r="N221" t="inlineStr">
        <is>
          <t>New printing, with additions and corrections.</t>
        </is>
      </c>
      <c r="O221" t="inlineStr">
        <is>
          <t>eng</t>
        </is>
      </c>
      <c r="P221" t="inlineStr">
        <is>
          <t>nyu</t>
        </is>
      </c>
      <c r="R221" t="inlineStr">
        <is>
          <t xml:space="preserve">DC </t>
        </is>
      </c>
      <c r="S221" t="n">
        <v>2</v>
      </c>
      <c r="T221" t="n">
        <v>2</v>
      </c>
      <c r="U221" t="inlineStr">
        <is>
          <t>1998-11-17</t>
        </is>
      </c>
      <c r="V221" t="inlineStr">
        <is>
          <t>1998-11-17</t>
        </is>
      </c>
      <c r="W221" t="inlineStr">
        <is>
          <t>1996-11-08</t>
        </is>
      </c>
      <c r="X221" t="inlineStr">
        <is>
          <t>1996-11-08</t>
        </is>
      </c>
      <c r="Y221" t="n">
        <v>419</v>
      </c>
      <c r="Z221" t="n">
        <v>369</v>
      </c>
      <c r="AA221" t="n">
        <v>491</v>
      </c>
      <c r="AB221" t="n">
        <v>4</v>
      </c>
      <c r="AC221" t="n">
        <v>5</v>
      </c>
      <c r="AD221" t="n">
        <v>22</v>
      </c>
      <c r="AE221" t="n">
        <v>30</v>
      </c>
      <c r="AF221" t="n">
        <v>6</v>
      </c>
      <c r="AG221" t="n">
        <v>8</v>
      </c>
      <c r="AH221" t="n">
        <v>4</v>
      </c>
      <c r="AI221" t="n">
        <v>9</v>
      </c>
      <c r="AJ221" t="n">
        <v>14</v>
      </c>
      <c r="AK221" t="n">
        <v>17</v>
      </c>
      <c r="AL221" t="n">
        <v>3</v>
      </c>
      <c r="AM221" t="n">
        <v>4</v>
      </c>
      <c r="AN221" t="n">
        <v>0</v>
      </c>
      <c r="AO221" t="n">
        <v>0</v>
      </c>
      <c r="AP221" t="inlineStr">
        <is>
          <t>No</t>
        </is>
      </c>
      <c r="AQ221" t="inlineStr">
        <is>
          <t>Yes</t>
        </is>
      </c>
      <c r="AR221">
        <f>HYPERLINK("http://catalog.hathitrust.org/Record/007123710","HathiTrust Record")</f>
        <v/>
      </c>
      <c r="AS221">
        <f>HYPERLINK("https://creighton-primo.hosted.exlibrisgroup.com/primo-explore/search?tab=default_tab&amp;search_scope=EVERYTHING&amp;vid=01CRU&amp;lang=en_US&amp;offset=0&amp;query=any,contains,991002689929702656","Catalog Record")</f>
        <v/>
      </c>
      <c r="AT221">
        <f>HYPERLINK("http://www.worldcat.org/oclc/401301","WorldCat Record")</f>
        <v/>
      </c>
      <c r="AU221" t="inlineStr">
        <is>
          <t>1417108:eng</t>
        </is>
      </c>
      <c r="AV221" t="inlineStr">
        <is>
          <t>401301</t>
        </is>
      </c>
      <c r="AW221" t="inlineStr">
        <is>
          <t>991002689929702656</t>
        </is>
      </c>
      <c r="AX221" t="inlineStr">
        <is>
          <t>991002689929702656</t>
        </is>
      </c>
      <c r="AY221" t="inlineStr">
        <is>
          <t>2268046580002656</t>
        </is>
      </c>
      <c r="AZ221" t="inlineStr">
        <is>
          <t>BOOK</t>
        </is>
      </c>
      <c r="BC221" t="inlineStr">
        <is>
          <t>32285002342805</t>
        </is>
      </c>
      <c r="BD221" t="inlineStr">
        <is>
          <t>893773917</t>
        </is>
      </c>
    </row>
    <row r="222">
      <c r="A222" t="inlineStr">
        <is>
          <t>No</t>
        </is>
      </c>
      <c r="B222" t="inlineStr">
        <is>
          <t>DC163 .J64 1988</t>
        </is>
      </c>
      <c r="C222" t="inlineStr">
        <is>
          <t>0                      DC 0163000J  64          1988</t>
        </is>
      </c>
      <c r="D222" t="inlineStr">
        <is>
          <t>The peasantry in the French Revolution / P.M. Jones.</t>
        </is>
      </c>
      <c r="F222" t="inlineStr">
        <is>
          <t>No</t>
        </is>
      </c>
      <c r="G222" t="inlineStr">
        <is>
          <t>1</t>
        </is>
      </c>
      <c r="H222" t="inlineStr">
        <is>
          <t>No</t>
        </is>
      </c>
      <c r="I222" t="inlineStr">
        <is>
          <t>No</t>
        </is>
      </c>
      <c r="J222" t="inlineStr">
        <is>
          <t>0</t>
        </is>
      </c>
      <c r="K222" t="inlineStr">
        <is>
          <t>Jones, Peter, 1949-</t>
        </is>
      </c>
      <c r="L222" t="inlineStr">
        <is>
          <t>Cambridge [Cambridgeshire] ; New York : Cambridge University Press, 1988.</t>
        </is>
      </c>
      <c r="M222" t="inlineStr">
        <is>
          <t>1988</t>
        </is>
      </c>
      <c r="O222" t="inlineStr">
        <is>
          <t>eng</t>
        </is>
      </c>
      <c r="P222" t="inlineStr">
        <is>
          <t>enk</t>
        </is>
      </c>
      <c r="R222" t="inlineStr">
        <is>
          <t xml:space="preserve">DC </t>
        </is>
      </c>
      <c r="S222" t="n">
        <v>17</v>
      </c>
      <c r="T222" t="n">
        <v>17</v>
      </c>
      <c r="U222" t="inlineStr">
        <is>
          <t>2006-01-18</t>
        </is>
      </c>
      <c r="V222" t="inlineStr">
        <is>
          <t>2006-01-18</t>
        </is>
      </c>
      <c r="W222" t="inlineStr">
        <is>
          <t>1990-01-02</t>
        </is>
      </c>
      <c r="X222" t="inlineStr">
        <is>
          <t>1990-01-02</t>
        </is>
      </c>
      <c r="Y222" t="n">
        <v>740</v>
      </c>
      <c r="Z222" t="n">
        <v>539</v>
      </c>
      <c r="AA222" t="n">
        <v>545</v>
      </c>
      <c r="AB222" t="n">
        <v>4</v>
      </c>
      <c r="AC222" t="n">
        <v>4</v>
      </c>
      <c r="AD222" t="n">
        <v>31</v>
      </c>
      <c r="AE222" t="n">
        <v>31</v>
      </c>
      <c r="AF222" t="n">
        <v>10</v>
      </c>
      <c r="AG222" t="n">
        <v>10</v>
      </c>
      <c r="AH222" t="n">
        <v>10</v>
      </c>
      <c r="AI222" t="n">
        <v>10</v>
      </c>
      <c r="AJ222" t="n">
        <v>17</v>
      </c>
      <c r="AK222" t="n">
        <v>17</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HYPERLINK("https://creighton-primo.hosted.exlibrisgroup.com/primo-explore/search?tab=default_tab&amp;search_scope=EVERYTHING&amp;vid=01CRU&amp;lang=en_US&amp;offset=0&amp;query=any,contains,991001252719702656","Catalog Record")</f>
        <v/>
      </c>
      <c r="AT222">
        <f>HYPERLINK("http://www.worldcat.org/oclc/17678594","WorldCat Record")</f>
        <v/>
      </c>
      <c r="AU222" t="inlineStr">
        <is>
          <t>15853156:eng</t>
        </is>
      </c>
      <c r="AV222" t="inlineStr">
        <is>
          <t>17678594</t>
        </is>
      </c>
      <c r="AW222" t="inlineStr">
        <is>
          <t>991001252719702656</t>
        </is>
      </c>
      <c r="AX222" t="inlineStr">
        <is>
          <t>991001252719702656</t>
        </is>
      </c>
      <c r="AY222" t="inlineStr">
        <is>
          <t>2258423780002656</t>
        </is>
      </c>
      <c r="AZ222" t="inlineStr">
        <is>
          <t>BOOK</t>
        </is>
      </c>
      <c r="BB222" t="inlineStr">
        <is>
          <t>9780521337168</t>
        </is>
      </c>
      <c r="BC222" t="inlineStr">
        <is>
          <t>32285000019777</t>
        </is>
      </c>
      <c r="BD222" t="inlineStr">
        <is>
          <t>893696606</t>
        </is>
      </c>
    </row>
    <row r="223">
      <c r="A223" t="inlineStr">
        <is>
          <t>No</t>
        </is>
      </c>
      <c r="B223" t="inlineStr">
        <is>
          <t>DC163 .L413 1973</t>
        </is>
      </c>
      <c r="C223" t="inlineStr">
        <is>
          <t>0                      DC 0163000L  413         1973</t>
        </is>
      </c>
      <c r="D223" t="inlineStr">
        <is>
          <t>The Great Fear of 1789; rural panic in revolutionary France. Introd. by George Rudé. Translated from the French by Joan White.</t>
        </is>
      </c>
      <c r="F223" t="inlineStr">
        <is>
          <t>No</t>
        </is>
      </c>
      <c r="G223" t="inlineStr">
        <is>
          <t>1</t>
        </is>
      </c>
      <c r="H223" t="inlineStr">
        <is>
          <t>No</t>
        </is>
      </c>
      <c r="I223" t="inlineStr">
        <is>
          <t>No</t>
        </is>
      </c>
      <c r="J223" t="inlineStr">
        <is>
          <t>0</t>
        </is>
      </c>
      <c r="K223" t="inlineStr">
        <is>
          <t>Lefebvre, Georges, 1874-1959.</t>
        </is>
      </c>
      <c r="L223" t="inlineStr">
        <is>
          <t>New York, Pantheon Books [1973]</t>
        </is>
      </c>
      <c r="M223" t="inlineStr">
        <is>
          <t>1973</t>
        </is>
      </c>
      <c r="N223" t="inlineStr">
        <is>
          <t>[1st American ed.]</t>
        </is>
      </c>
      <c r="O223" t="inlineStr">
        <is>
          <t>eng</t>
        </is>
      </c>
      <c r="P223" t="inlineStr">
        <is>
          <t>nyu</t>
        </is>
      </c>
      <c r="R223" t="inlineStr">
        <is>
          <t xml:space="preserve">DC </t>
        </is>
      </c>
      <c r="S223" t="n">
        <v>1</v>
      </c>
      <c r="T223" t="n">
        <v>1</v>
      </c>
      <c r="U223" t="inlineStr">
        <is>
          <t>2001-11-27</t>
        </is>
      </c>
      <c r="V223" t="inlineStr">
        <is>
          <t>2001-11-27</t>
        </is>
      </c>
      <c r="W223" t="inlineStr">
        <is>
          <t>1996-11-08</t>
        </is>
      </c>
      <c r="X223" t="inlineStr">
        <is>
          <t>1996-11-08</t>
        </is>
      </c>
      <c r="Y223" t="n">
        <v>708</v>
      </c>
      <c r="Z223" t="n">
        <v>667</v>
      </c>
      <c r="AA223" t="n">
        <v>995</v>
      </c>
      <c r="AB223" t="n">
        <v>6</v>
      </c>
      <c r="AC223" t="n">
        <v>8</v>
      </c>
      <c r="AD223" t="n">
        <v>30</v>
      </c>
      <c r="AE223" t="n">
        <v>45</v>
      </c>
      <c r="AF223" t="n">
        <v>10</v>
      </c>
      <c r="AG223" t="n">
        <v>18</v>
      </c>
      <c r="AH223" t="n">
        <v>9</v>
      </c>
      <c r="AI223" t="n">
        <v>10</v>
      </c>
      <c r="AJ223" t="n">
        <v>13</v>
      </c>
      <c r="AK223" t="n">
        <v>22</v>
      </c>
      <c r="AL223" t="n">
        <v>5</v>
      </c>
      <c r="AM223" t="n">
        <v>7</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HYPERLINK("https://creighton-primo.hosted.exlibrisgroup.com/primo-explore/search?tab=default_tab&amp;search_scope=EVERYTHING&amp;vid=01CRU&amp;lang=en_US&amp;offset=0&amp;query=any,contains,991002970089702656","Catalog Record")</f>
        <v/>
      </c>
      <c r="AT223">
        <f>HYPERLINK("http://www.worldcat.org/oclc/548090","WorldCat Record")</f>
        <v/>
      </c>
      <c r="AU223" t="inlineStr">
        <is>
          <t>1582576:eng</t>
        </is>
      </c>
      <c r="AV223" t="inlineStr">
        <is>
          <t>548090</t>
        </is>
      </c>
      <c r="AW223" t="inlineStr">
        <is>
          <t>991002970089702656</t>
        </is>
      </c>
      <c r="AX223" t="inlineStr">
        <is>
          <t>991002970089702656</t>
        </is>
      </c>
      <c r="AY223" t="inlineStr">
        <is>
          <t>2262628260002656</t>
        </is>
      </c>
      <c r="AZ223" t="inlineStr">
        <is>
          <t>BOOK</t>
        </is>
      </c>
      <c r="BB223" t="inlineStr">
        <is>
          <t>9780394484945</t>
        </is>
      </c>
      <c r="BC223" t="inlineStr">
        <is>
          <t>32285002342813</t>
        </is>
      </c>
      <c r="BD223" t="inlineStr">
        <is>
          <t>893880668</t>
        </is>
      </c>
    </row>
    <row r="224">
      <c r="A224" t="inlineStr">
        <is>
          <t>No</t>
        </is>
      </c>
      <c r="B224" t="inlineStr">
        <is>
          <t>DC165 .H35 1988</t>
        </is>
      </c>
      <c r="C224" t="inlineStr">
        <is>
          <t>0                      DC 0165000H  35          1988</t>
        </is>
      </c>
      <c r="D224" t="inlineStr">
        <is>
          <t>Prelude to terror : the Constituent Assembly and the failure of consensus, 1789-1791 / Norman Hampson.</t>
        </is>
      </c>
      <c r="F224" t="inlineStr">
        <is>
          <t>No</t>
        </is>
      </c>
      <c r="G224" t="inlineStr">
        <is>
          <t>1</t>
        </is>
      </c>
      <c r="H224" t="inlineStr">
        <is>
          <t>No</t>
        </is>
      </c>
      <c r="I224" t="inlineStr">
        <is>
          <t>No</t>
        </is>
      </c>
      <c r="J224" t="inlineStr">
        <is>
          <t>0</t>
        </is>
      </c>
      <c r="K224" t="inlineStr">
        <is>
          <t>Hampson, Norman.</t>
        </is>
      </c>
      <c r="L224" t="inlineStr">
        <is>
          <t>Oxford, UK ; New York, NY, USA : B. Blackwell, 1988.</t>
        </is>
      </c>
      <c r="M224" t="inlineStr">
        <is>
          <t>1988</t>
        </is>
      </c>
      <c r="O224" t="inlineStr">
        <is>
          <t>eng</t>
        </is>
      </c>
      <c r="P224" t="inlineStr">
        <is>
          <t>enk</t>
        </is>
      </c>
      <c r="R224" t="inlineStr">
        <is>
          <t xml:space="preserve">DC </t>
        </is>
      </c>
      <c r="S224" t="n">
        <v>4</v>
      </c>
      <c r="T224" t="n">
        <v>4</v>
      </c>
      <c r="U224" t="inlineStr">
        <is>
          <t>2005-11-19</t>
        </is>
      </c>
      <c r="V224" t="inlineStr">
        <is>
          <t>2005-11-19</t>
        </is>
      </c>
      <c r="W224" t="inlineStr">
        <is>
          <t>1990-12-13</t>
        </is>
      </c>
      <c r="X224" t="inlineStr">
        <is>
          <t>1990-12-13</t>
        </is>
      </c>
      <c r="Y224" t="n">
        <v>471</v>
      </c>
      <c r="Z224" t="n">
        <v>335</v>
      </c>
      <c r="AA224" t="n">
        <v>335</v>
      </c>
      <c r="AB224" t="n">
        <v>2</v>
      </c>
      <c r="AC224" t="n">
        <v>2</v>
      </c>
      <c r="AD224" t="n">
        <v>14</v>
      </c>
      <c r="AE224" t="n">
        <v>14</v>
      </c>
      <c r="AF224" t="n">
        <v>3</v>
      </c>
      <c r="AG224" t="n">
        <v>3</v>
      </c>
      <c r="AH224" t="n">
        <v>5</v>
      </c>
      <c r="AI224" t="n">
        <v>5</v>
      </c>
      <c r="AJ224" t="n">
        <v>11</v>
      </c>
      <c r="AK224" t="n">
        <v>11</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HYPERLINK("https://creighton-primo.hosted.exlibrisgroup.com/primo-explore/search?tab=default_tab&amp;search_scope=EVERYTHING&amp;vid=01CRU&amp;lang=en_US&amp;offset=0&amp;query=any,contains,991001199369702656","Catalog Record")</f>
        <v/>
      </c>
      <c r="AT224">
        <f>HYPERLINK("http://www.worldcat.org/oclc/17300170","WorldCat Record")</f>
        <v/>
      </c>
      <c r="AU224" t="inlineStr">
        <is>
          <t>889818805:eng</t>
        </is>
      </c>
      <c r="AV224" t="inlineStr">
        <is>
          <t>17300170</t>
        </is>
      </c>
      <c r="AW224" t="inlineStr">
        <is>
          <t>991001199369702656</t>
        </is>
      </c>
      <c r="AX224" t="inlineStr">
        <is>
          <t>991001199369702656</t>
        </is>
      </c>
      <c r="AY224" t="inlineStr">
        <is>
          <t>2265477110002656</t>
        </is>
      </c>
      <c r="AZ224" t="inlineStr">
        <is>
          <t>BOOK</t>
        </is>
      </c>
      <c r="BB224" t="inlineStr">
        <is>
          <t>9780631152378</t>
        </is>
      </c>
      <c r="BC224" t="inlineStr">
        <is>
          <t>32285000394543</t>
        </is>
      </c>
      <c r="BD224" t="inlineStr">
        <is>
          <t>893237935</t>
        </is>
      </c>
    </row>
    <row r="225">
      <c r="A225" t="inlineStr">
        <is>
          <t>No</t>
        </is>
      </c>
      <c r="B225" t="inlineStr">
        <is>
          <t>DC167 .G613 1970b</t>
        </is>
      </c>
      <c r="C225" t="inlineStr">
        <is>
          <t>0                      DC 0167000G  613         1970b</t>
        </is>
      </c>
      <c r="D225" t="inlineStr">
        <is>
          <t>The taking of the Bastille, July 14th, 1789 [by] Jacques Godechot. Translated by Jean Stewart. Pref. by Charles Tilly.</t>
        </is>
      </c>
      <c r="F225" t="inlineStr">
        <is>
          <t>No</t>
        </is>
      </c>
      <c r="G225" t="inlineStr">
        <is>
          <t>1</t>
        </is>
      </c>
      <c r="H225" t="inlineStr">
        <is>
          <t>No</t>
        </is>
      </c>
      <c r="I225" t="inlineStr">
        <is>
          <t>No</t>
        </is>
      </c>
      <c r="J225" t="inlineStr">
        <is>
          <t>0</t>
        </is>
      </c>
      <c r="K225" t="inlineStr">
        <is>
          <t>Godechot, Jacques Léon, 1907-1989.</t>
        </is>
      </c>
      <c r="L225" t="inlineStr">
        <is>
          <t>New York, Scribner [1970]</t>
        </is>
      </c>
      <c r="M225" t="inlineStr">
        <is>
          <t>1970</t>
        </is>
      </c>
      <c r="O225" t="inlineStr">
        <is>
          <t>eng</t>
        </is>
      </c>
      <c r="P225" t="inlineStr">
        <is>
          <t>nyu</t>
        </is>
      </c>
      <c r="R225" t="inlineStr">
        <is>
          <t xml:space="preserve">DC </t>
        </is>
      </c>
      <c r="S225" t="n">
        <v>3</v>
      </c>
      <c r="T225" t="n">
        <v>3</v>
      </c>
      <c r="U225" t="inlineStr">
        <is>
          <t>2000-05-05</t>
        </is>
      </c>
      <c r="V225" t="inlineStr">
        <is>
          <t>2000-05-05</t>
        </is>
      </c>
      <c r="W225" t="inlineStr">
        <is>
          <t>1996-11-08</t>
        </is>
      </c>
      <c r="X225" t="inlineStr">
        <is>
          <t>1996-11-08</t>
        </is>
      </c>
      <c r="Y225" t="n">
        <v>725</v>
      </c>
      <c r="Z225" t="n">
        <v>690</v>
      </c>
      <c r="AA225" t="n">
        <v>696</v>
      </c>
      <c r="AB225" t="n">
        <v>6</v>
      </c>
      <c r="AC225" t="n">
        <v>6</v>
      </c>
      <c r="AD225" t="n">
        <v>24</v>
      </c>
      <c r="AE225" t="n">
        <v>24</v>
      </c>
      <c r="AF225" t="n">
        <v>8</v>
      </c>
      <c r="AG225" t="n">
        <v>8</v>
      </c>
      <c r="AH225" t="n">
        <v>5</v>
      </c>
      <c r="AI225" t="n">
        <v>5</v>
      </c>
      <c r="AJ225" t="n">
        <v>13</v>
      </c>
      <c r="AK225" t="n">
        <v>13</v>
      </c>
      <c r="AL225" t="n">
        <v>4</v>
      </c>
      <c r="AM225" t="n">
        <v>4</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HYPERLINK("https://creighton-primo.hosted.exlibrisgroup.com/primo-explore/search?tab=default_tab&amp;search_scope=EVERYTHING&amp;vid=01CRU&amp;lang=en_US&amp;offset=0&amp;query=any,contains,991005353329702656","Catalog Record")</f>
        <v/>
      </c>
      <c r="AT225">
        <f>HYPERLINK("http://www.worldcat.org/oclc/120019","WorldCat Record")</f>
        <v/>
      </c>
      <c r="AU225" t="inlineStr">
        <is>
          <t>9146592649:eng</t>
        </is>
      </c>
      <c r="AV225" t="inlineStr">
        <is>
          <t>120019</t>
        </is>
      </c>
      <c r="AW225" t="inlineStr">
        <is>
          <t>991005353329702656</t>
        </is>
      </c>
      <c r="AX225" t="inlineStr">
        <is>
          <t>991005353329702656</t>
        </is>
      </c>
      <c r="AY225" t="inlineStr">
        <is>
          <t>2264288520002656</t>
        </is>
      </c>
      <c r="AZ225" t="inlineStr">
        <is>
          <t>BOOK</t>
        </is>
      </c>
      <c r="BC225" t="inlineStr">
        <is>
          <t>32285002342854</t>
        </is>
      </c>
      <c r="BD225" t="inlineStr">
        <is>
          <t>893777247</t>
        </is>
      </c>
    </row>
    <row r="226">
      <c r="A226" t="inlineStr">
        <is>
          <t>No</t>
        </is>
      </c>
      <c r="B226" t="inlineStr">
        <is>
          <t>DC178 .K45 1982</t>
        </is>
      </c>
      <c r="C226" t="inlineStr">
        <is>
          <t>0                      DC 0178000K  45          1982</t>
        </is>
      </c>
      <c r="D226" t="inlineStr">
        <is>
          <t>The Jacobin clubs in the French Revolution : the first years / Michael L. Kennedy.</t>
        </is>
      </c>
      <c r="F226" t="inlineStr">
        <is>
          <t>No</t>
        </is>
      </c>
      <c r="G226" t="inlineStr">
        <is>
          <t>1</t>
        </is>
      </c>
      <c r="H226" t="inlineStr">
        <is>
          <t>No</t>
        </is>
      </c>
      <c r="I226" t="inlineStr">
        <is>
          <t>No</t>
        </is>
      </c>
      <c r="J226" t="inlineStr">
        <is>
          <t>0</t>
        </is>
      </c>
      <c r="K226" t="inlineStr">
        <is>
          <t>Kennedy, Michael L.</t>
        </is>
      </c>
      <c r="L226" t="inlineStr">
        <is>
          <t>Princeton, N.J. : Princeton University Press, c1982.</t>
        </is>
      </c>
      <c r="M226" t="inlineStr">
        <is>
          <t>1982</t>
        </is>
      </c>
      <c r="O226" t="inlineStr">
        <is>
          <t>eng</t>
        </is>
      </c>
      <c r="P226" t="inlineStr">
        <is>
          <t>nju</t>
        </is>
      </c>
      <c r="R226" t="inlineStr">
        <is>
          <t xml:space="preserve">DC </t>
        </is>
      </c>
      <c r="S226" t="n">
        <v>8</v>
      </c>
      <c r="T226" t="n">
        <v>8</v>
      </c>
      <c r="U226" t="inlineStr">
        <is>
          <t>2008-11-12</t>
        </is>
      </c>
      <c r="V226" t="inlineStr">
        <is>
          <t>2008-11-12</t>
        </is>
      </c>
      <c r="W226" t="inlineStr">
        <is>
          <t>1990-07-19</t>
        </is>
      </c>
      <c r="X226" t="inlineStr">
        <is>
          <t>1990-07-19</t>
        </is>
      </c>
      <c r="Y226" t="n">
        <v>600</v>
      </c>
      <c r="Z226" t="n">
        <v>479</v>
      </c>
      <c r="AA226" t="n">
        <v>603</v>
      </c>
      <c r="AB226" t="n">
        <v>3</v>
      </c>
      <c r="AC226" t="n">
        <v>4</v>
      </c>
      <c r="AD226" t="n">
        <v>29</v>
      </c>
      <c r="AE226" t="n">
        <v>34</v>
      </c>
      <c r="AF226" t="n">
        <v>12</v>
      </c>
      <c r="AG226" t="n">
        <v>14</v>
      </c>
      <c r="AH226" t="n">
        <v>11</v>
      </c>
      <c r="AI226" t="n">
        <v>11</v>
      </c>
      <c r="AJ226" t="n">
        <v>15</v>
      </c>
      <c r="AK226" t="n">
        <v>18</v>
      </c>
      <c r="AL226" t="n">
        <v>2</v>
      </c>
      <c r="AM226" t="n">
        <v>3</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HYPERLINK("https://creighton-primo.hosted.exlibrisgroup.com/primo-explore/search?tab=default_tab&amp;search_scope=EVERYTHING&amp;vid=01CRU&amp;lang=en_US&amp;offset=0&amp;query=any,contains,991005127789702656","Catalog Record")</f>
        <v/>
      </c>
      <c r="AT226">
        <f>HYPERLINK("http://www.worldcat.org/oclc/7554734","WorldCat Record")</f>
        <v/>
      </c>
      <c r="AU226" t="inlineStr">
        <is>
          <t>48952395:eng</t>
        </is>
      </c>
      <c r="AV226" t="inlineStr">
        <is>
          <t>7554734</t>
        </is>
      </c>
      <c r="AW226" t="inlineStr">
        <is>
          <t>991005127789702656</t>
        </is>
      </c>
      <c r="AX226" t="inlineStr">
        <is>
          <t>991005127789702656</t>
        </is>
      </c>
      <c r="AY226" t="inlineStr">
        <is>
          <t>2264529180002656</t>
        </is>
      </c>
      <c r="AZ226" t="inlineStr">
        <is>
          <t>BOOK</t>
        </is>
      </c>
      <c r="BB226" t="inlineStr">
        <is>
          <t>9780691053370</t>
        </is>
      </c>
      <c r="BC226" t="inlineStr">
        <is>
          <t>32285000239268</t>
        </is>
      </c>
      <c r="BD226" t="inlineStr">
        <is>
          <t>893320069</t>
        </is>
      </c>
    </row>
    <row r="227">
      <c r="A227" t="inlineStr">
        <is>
          <t>No</t>
        </is>
      </c>
      <c r="B227" t="inlineStr">
        <is>
          <t>DC186 .A4</t>
        </is>
      </c>
      <c r="C227" t="inlineStr">
        <is>
          <t>0                      DC 0186000A  4</t>
        </is>
      </c>
      <c r="D227" t="inlineStr">
        <is>
          <t>The days of the Directoire, with a photogravure frontpiece &amp; 48 other illustrations of which the costume plates have been selected by John Colby Abbott.</t>
        </is>
      </c>
      <c r="F227" t="inlineStr">
        <is>
          <t>No</t>
        </is>
      </c>
      <c r="G227" t="inlineStr">
        <is>
          <t>1</t>
        </is>
      </c>
      <c r="H227" t="inlineStr">
        <is>
          <t>No</t>
        </is>
      </c>
      <c r="I227" t="inlineStr">
        <is>
          <t>No</t>
        </is>
      </c>
      <c r="J227" t="inlineStr">
        <is>
          <t>0</t>
        </is>
      </c>
      <c r="K227" t="inlineStr">
        <is>
          <t>Allinson, A. R. (Alfred Richard)</t>
        </is>
      </c>
      <c r="L227" t="inlineStr">
        <is>
          <t>London, John Lane, 1910.</t>
        </is>
      </c>
      <c r="M227" t="inlineStr">
        <is>
          <t>1910</t>
        </is>
      </c>
      <c r="O227" t="inlineStr">
        <is>
          <t>eng</t>
        </is>
      </c>
      <c r="P227" t="inlineStr">
        <is>
          <t>enk</t>
        </is>
      </c>
      <c r="R227" t="inlineStr">
        <is>
          <t xml:space="preserve">DC </t>
        </is>
      </c>
      <c r="S227" t="n">
        <v>2</v>
      </c>
      <c r="T227" t="n">
        <v>2</v>
      </c>
      <c r="U227" t="inlineStr">
        <is>
          <t>1998-02-26</t>
        </is>
      </c>
      <c r="V227" t="inlineStr">
        <is>
          <t>1998-02-26</t>
        </is>
      </c>
      <c r="W227" t="inlineStr">
        <is>
          <t>1996-11-08</t>
        </is>
      </c>
      <c r="X227" t="inlineStr">
        <is>
          <t>1996-11-08</t>
        </is>
      </c>
      <c r="Y227" t="n">
        <v>148</v>
      </c>
      <c r="Z227" t="n">
        <v>129</v>
      </c>
      <c r="AA227" t="n">
        <v>144</v>
      </c>
      <c r="AB227" t="n">
        <v>2</v>
      </c>
      <c r="AC227" t="n">
        <v>2</v>
      </c>
      <c r="AD227" t="n">
        <v>7</v>
      </c>
      <c r="AE227" t="n">
        <v>7</v>
      </c>
      <c r="AF227" t="n">
        <v>0</v>
      </c>
      <c r="AG227" t="n">
        <v>0</v>
      </c>
      <c r="AH227" t="n">
        <v>3</v>
      </c>
      <c r="AI227" t="n">
        <v>3</v>
      </c>
      <c r="AJ227" t="n">
        <v>5</v>
      </c>
      <c r="AK227" t="n">
        <v>5</v>
      </c>
      <c r="AL227" t="n">
        <v>1</v>
      </c>
      <c r="AM227" t="n">
        <v>1</v>
      </c>
      <c r="AN227" t="n">
        <v>0</v>
      </c>
      <c r="AO227" t="n">
        <v>0</v>
      </c>
      <c r="AP227" t="inlineStr">
        <is>
          <t>Yes</t>
        </is>
      </c>
      <c r="AQ227" t="inlineStr">
        <is>
          <t>No</t>
        </is>
      </c>
      <c r="AR227">
        <f>HYPERLINK("http://catalog.hathitrust.org/Record/004406292","HathiTrust Record")</f>
        <v/>
      </c>
      <c r="AS227">
        <f>HYPERLINK("https://creighton-primo.hosted.exlibrisgroup.com/primo-explore/search?tab=default_tab&amp;search_scope=EVERYTHING&amp;vid=01CRU&amp;lang=en_US&amp;offset=0&amp;query=any,contains,991003404499702656","Catalog Record")</f>
        <v/>
      </c>
      <c r="AT227">
        <f>HYPERLINK("http://www.worldcat.org/oclc/944153","WorldCat Record")</f>
        <v/>
      </c>
      <c r="AU227" t="inlineStr">
        <is>
          <t>1904366:eng</t>
        </is>
      </c>
      <c r="AV227" t="inlineStr">
        <is>
          <t>944153</t>
        </is>
      </c>
      <c r="AW227" t="inlineStr">
        <is>
          <t>991003404499702656</t>
        </is>
      </c>
      <c r="AX227" t="inlineStr">
        <is>
          <t>991003404499702656</t>
        </is>
      </c>
      <c r="AY227" t="inlineStr">
        <is>
          <t>2265336860002656</t>
        </is>
      </c>
      <c r="AZ227" t="inlineStr">
        <is>
          <t>BOOK</t>
        </is>
      </c>
      <c r="BC227" t="inlineStr">
        <is>
          <t>32285002342961</t>
        </is>
      </c>
      <c r="BD227" t="inlineStr">
        <is>
          <t>893422540</t>
        </is>
      </c>
    </row>
    <row r="228">
      <c r="A228" t="inlineStr">
        <is>
          <t>No</t>
        </is>
      </c>
      <c r="B228" t="inlineStr">
        <is>
          <t>DC186 .L9</t>
        </is>
      </c>
      <c r="C228" t="inlineStr">
        <is>
          <t>0                      DC 0186000L  9</t>
        </is>
      </c>
      <c r="D228" t="inlineStr">
        <is>
          <t>France under the directory / Martyn Lyons.</t>
        </is>
      </c>
      <c r="F228" t="inlineStr">
        <is>
          <t>No</t>
        </is>
      </c>
      <c r="G228" t="inlineStr">
        <is>
          <t>1</t>
        </is>
      </c>
      <c r="H228" t="inlineStr">
        <is>
          <t>No</t>
        </is>
      </c>
      <c r="I228" t="inlineStr">
        <is>
          <t>No</t>
        </is>
      </c>
      <c r="J228" t="inlineStr">
        <is>
          <t>0</t>
        </is>
      </c>
      <c r="K228" t="inlineStr">
        <is>
          <t>Lyons, Martyn.</t>
        </is>
      </c>
      <c r="L228" t="inlineStr">
        <is>
          <t>Cambridge [Eng.] ; New York : Cambridge University Press, 1975.</t>
        </is>
      </c>
      <c r="M228" t="inlineStr">
        <is>
          <t>1975</t>
        </is>
      </c>
      <c r="O228" t="inlineStr">
        <is>
          <t>eng</t>
        </is>
      </c>
      <c r="P228" t="inlineStr">
        <is>
          <t>enk</t>
        </is>
      </c>
      <c r="R228" t="inlineStr">
        <is>
          <t xml:space="preserve">DC </t>
        </is>
      </c>
      <c r="S228" t="n">
        <v>1</v>
      </c>
      <c r="T228" t="n">
        <v>1</v>
      </c>
      <c r="U228" t="inlineStr">
        <is>
          <t>1992-02-10</t>
        </is>
      </c>
      <c r="V228" t="inlineStr">
        <is>
          <t>1992-02-10</t>
        </is>
      </c>
      <c r="W228" t="inlineStr">
        <is>
          <t>1991-04-10</t>
        </is>
      </c>
      <c r="X228" t="inlineStr">
        <is>
          <t>1991-04-10</t>
        </is>
      </c>
      <c r="Y228" t="n">
        <v>730</v>
      </c>
      <c r="Z228" t="n">
        <v>553</v>
      </c>
      <c r="AA228" t="n">
        <v>558</v>
      </c>
      <c r="AB228" t="n">
        <v>4</v>
      </c>
      <c r="AC228" t="n">
        <v>4</v>
      </c>
      <c r="AD228" t="n">
        <v>32</v>
      </c>
      <c r="AE228" t="n">
        <v>32</v>
      </c>
      <c r="AF228" t="n">
        <v>10</v>
      </c>
      <c r="AG228" t="n">
        <v>10</v>
      </c>
      <c r="AH228" t="n">
        <v>9</v>
      </c>
      <c r="AI228" t="n">
        <v>9</v>
      </c>
      <c r="AJ228" t="n">
        <v>19</v>
      </c>
      <c r="AK228" t="n">
        <v>19</v>
      </c>
      <c r="AL228" t="n">
        <v>3</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HYPERLINK("https://creighton-primo.hosted.exlibrisgroup.com/primo-explore/search?tab=default_tab&amp;search_scope=EVERYTHING&amp;vid=01CRU&amp;lang=en_US&amp;offset=0&amp;query=any,contains,991003936869702656","Catalog Record")</f>
        <v/>
      </c>
      <c r="AT228">
        <f>HYPERLINK("http://www.worldcat.org/oclc/1916391","WorldCat Record")</f>
        <v/>
      </c>
      <c r="AU228" t="inlineStr">
        <is>
          <t>2667143:eng</t>
        </is>
      </c>
      <c r="AV228" t="inlineStr">
        <is>
          <t>1916391</t>
        </is>
      </c>
      <c r="AW228" t="inlineStr">
        <is>
          <t>991003936869702656</t>
        </is>
      </c>
      <c r="AX228" t="inlineStr">
        <is>
          <t>991003936869702656</t>
        </is>
      </c>
      <c r="AY228" t="inlineStr">
        <is>
          <t>2255478000002656</t>
        </is>
      </c>
      <c r="AZ228" t="inlineStr">
        <is>
          <t>BOOK</t>
        </is>
      </c>
      <c r="BB228" t="inlineStr">
        <is>
          <t>9780521207850</t>
        </is>
      </c>
      <c r="BC228" t="inlineStr">
        <is>
          <t>32285000580539</t>
        </is>
      </c>
      <c r="BD228" t="inlineStr">
        <is>
          <t>893711964</t>
        </is>
      </c>
    </row>
    <row r="229">
      <c r="A229" t="inlineStr">
        <is>
          <t>No</t>
        </is>
      </c>
      <c r="B229" t="inlineStr">
        <is>
          <t>DC195.B6 F67</t>
        </is>
      </c>
      <c r="C229" t="inlineStr">
        <is>
          <t>0                      DC 0195000B  6                  F  67</t>
        </is>
      </c>
      <c r="D229" t="inlineStr">
        <is>
          <t>Society and politics in revolutionary Bordeaux / by Alan Forrest.</t>
        </is>
      </c>
      <c r="F229" t="inlineStr">
        <is>
          <t>No</t>
        </is>
      </c>
      <c r="G229" t="inlineStr">
        <is>
          <t>1</t>
        </is>
      </c>
      <c r="H229" t="inlineStr">
        <is>
          <t>No</t>
        </is>
      </c>
      <c r="I229" t="inlineStr">
        <is>
          <t>No</t>
        </is>
      </c>
      <c r="J229" t="inlineStr">
        <is>
          <t>0</t>
        </is>
      </c>
      <c r="K229" t="inlineStr">
        <is>
          <t>Forrest, Alan I.</t>
        </is>
      </c>
      <c r="L229" t="inlineStr">
        <is>
          <t>London ; New York : Oxford University Press, 1975.</t>
        </is>
      </c>
      <c r="M229" t="inlineStr">
        <is>
          <t>1975</t>
        </is>
      </c>
      <c r="O229" t="inlineStr">
        <is>
          <t>eng</t>
        </is>
      </c>
      <c r="P229" t="inlineStr">
        <is>
          <t>enk</t>
        </is>
      </c>
      <c r="Q229" t="inlineStr">
        <is>
          <t>Oxford historical monographs</t>
        </is>
      </c>
      <c r="R229" t="inlineStr">
        <is>
          <t xml:space="preserve">DC </t>
        </is>
      </c>
      <c r="S229" t="n">
        <v>1</v>
      </c>
      <c r="T229" t="n">
        <v>1</v>
      </c>
      <c r="U229" t="inlineStr">
        <is>
          <t>2010-03-22</t>
        </is>
      </c>
      <c r="V229" t="inlineStr">
        <is>
          <t>2010-03-22</t>
        </is>
      </c>
      <c r="W229" t="inlineStr">
        <is>
          <t>1996-11-08</t>
        </is>
      </c>
      <c r="X229" t="inlineStr">
        <is>
          <t>1996-11-08</t>
        </is>
      </c>
      <c r="Y229" t="n">
        <v>486</v>
      </c>
      <c r="Z229" t="n">
        <v>332</v>
      </c>
      <c r="AA229" t="n">
        <v>334</v>
      </c>
      <c r="AB229" t="n">
        <v>5</v>
      </c>
      <c r="AC229" t="n">
        <v>5</v>
      </c>
      <c r="AD229" t="n">
        <v>20</v>
      </c>
      <c r="AE229" t="n">
        <v>20</v>
      </c>
      <c r="AF229" t="n">
        <v>5</v>
      </c>
      <c r="AG229" t="n">
        <v>5</v>
      </c>
      <c r="AH229" t="n">
        <v>5</v>
      </c>
      <c r="AI229" t="n">
        <v>5</v>
      </c>
      <c r="AJ229" t="n">
        <v>12</v>
      </c>
      <c r="AK229" t="n">
        <v>12</v>
      </c>
      <c r="AL229" t="n">
        <v>4</v>
      </c>
      <c r="AM229" t="n">
        <v>4</v>
      </c>
      <c r="AN229" t="n">
        <v>0</v>
      </c>
      <c r="AO229" t="n">
        <v>0</v>
      </c>
      <c r="AP229" t="inlineStr">
        <is>
          <t>No</t>
        </is>
      </c>
      <c r="AQ229" t="inlineStr">
        <is>
          <t>Yes</t>
        </is>
      </c>
      <c r="AR229">
        <f>HYPERLINK("http://catalog.hathitrust.org/Record/000028476","HathiTrust Record")</f>
        <v/>
      </c>
      <c r="AS229">
        <f>HYPERLINK("https://creighton-primo.hosted.exlibrisgroup.com/primo-explore/search?tab=default_tab&amp;search_scope=EVERYTHING&amp;vid=01CRU&amp;lang=en_US&amp;offset=0&amp;query=any,contains,991003850789702656","Catalog Record")</f>
        <v/>
      </c>
      <c r="AT229">
        <f>HYPERLINK("http://www.worldcat.org/oclc/1638238","WorldCat Record")</f>
        <v/>
      </c>
      <c r="AU229" t="inlineStr">
        <is>
          <t>2498766:eng</t>
        </is>
      </c>
      <c r="AV229" t="inlineStr">
        <is>
          <t>1638238</t>
        </is>
      </c>
      <c r="AW229" t="inlineStr">
        <is>
          <t>991003850789702656</t>
        </is>
      </c>
      <c r="AX229" t="inlineStr">
        <is>
          <t>991003850789702656</t>
        </is>
      </c>
      <c r="AY229" t="inlineStr">
        <is>
          <t>2263216760002656</t>
        </is>
      </c>
      <c r="AZ229" t="inlineStr">
        <is>
          <t>BOOK</t>
        </is>
      </c>
      <c r="BB229" t="inlineStr">
        <is>
          <t>9780198218593</t>
        </is>
      </c>
      <c r="BC229" t="inlineStr">
        <is>
          <t>32285002342995</t>
        </is>
      </c>
      <c r="BD229" t="inlineStr">
        <is>
          <t>893234663</t>
        </is>
      </c>
    </row>
    <row r="230">
      <c r="A230" t="inlineStr">
        <is>
          <t>No</t>
        </is>
      </c>
      <c r="B230" t="inlineStr">
        <is>
          <t>DC198.F7 Z83</t>
        </is>
      </c>
      <c r="C230" t="inlineStr">
        <is>
          <t>0                      DC 0198000F  7                  Z  83</t>
        </is>
      </c>
      <c r="D230" t="inlineStr">
        <is>
          <t>Joseph Fouché, the portrait of a politician [by] Stefan Zweig; translated from the German by Eden and Cedar Paul.</t>
        </is>
      </c>
      <c r="F230" t="inlineStr">
        <is>
          <t>No</t>
        </is>
      </c>
      <c r="G230" t="inlineStr">
        <is>
          <t>1</t>
        </is>
      </c>
      <c r="H230" t="inlineStr">
        <is>
          <t>No</t>
        </is>
      </c>
      <c r="I230" t="inlineStr">
        <is>
          <t>No</t>
        </is>
      </c>
      <c r="J230" t="inlineStr">
        <is>
          <t>0</t>
        </is>
      </c>
      <c r="K230" t="inlineStr">
        <is>
          <t>Zweig, Stefan, 1881-1942.</t>
        </is>
      </c>
      <c r="L230" t="inlineStr">
        <is>
          <t>New York, The Viking Press, 1930.</t>
        </is>
      </c>
      <c r="M230" t="inlineStr">
        <is>
          <t>1930</t>
        </is>
      </c>
      <c r="O230" t="inlineStr">
        <is>
          <t>eng</t>
        </is>
      </c>
      <c r="P230" t="inlineStr">
        <is>
          <t>nyu</t>
        </is>
      </c>
      <c r="R230" t="inlineStr">
        <is>
          <t xml:space="preserve">DC </t>
        </is>
      </c>
      <c r="S230" t="n">
        <v>1</v>
      </c>
      <c r="T230" t="n">
        <v>1</v>
      </c>
      <c r="U230" t="inlineStr">
        <is>
          <t>2008-05-02</t>
        </is>
      </c>
      <c r="V230" t="inlineStr">
        <is>
          <t>2008-05-02</t>
        </is>
      </c>
      <c r="W230" t="inlineStr">
        <is>
          <t>1996-11-08</t>
        </is>
      </c>
      <c r="X230" t="inlineStr">
        <is>
          <t>1996-11-08</t>
        </is>
      </c>
      <c r="Y230" t="n">
        <v>355</v>
      </c>
      <c r="Z230" t="n">
        <v>338</v>
      </c>
      <c r="AA230" t="n">
        <v>450</v>
      </c>
      <c r="AB230" t="n">
        <v>2</v>
      </c>
      <c r="AC230" t="n">
        <v>2</v>
      </c>
      <c r="AD230" t="n">
        <v>17</v>
      </c>
      <c r="AE230" t="n">
        <v>21</v>
      </c>
      <c r="AF230" t="n">
        <v>5</v>
      </c>
      <c r="AG230" t="n">
        <v>7</v>
      </c>
      <c r="AH230" t="n">
        <v>5</v>
      </c>
      <c r="AI230" t="n">
        <v>5</v>
      </c>
      <c r="AJ230" t="n">
        <v>10</v>
      </c>
      <c r="AK230" t="n">
        <v>12</v>
      </c>
      <c r="AL230" t="n">
        <v>1</v>
      </c>
      <c r="AM230" t="n">
        <v>1</v>
      </c>
      <c r="AN230" t="n">
        <v>0</v>
      </c>
      <c r="AO230" t="n">
        <v>0</v>
      </c>
      <c r="AP230" t="inlineStr">
        <is>
          <t>No</t>
        </is>
      </c>
      <c r="AQ230" t="inlineStr">
        <is>
          <t>Yes</t>
        </is>
      </c>
      <c r="AR230">
        <f>HYPERLINK("http://catalog.hathitrust.org/Record/000644188","HathiTrust Record")</f>
        <v/>
      </c>
      <c r="AS230">
        <f>HYPERLINK("https://creighton-primo.hosted.exlibrisgroup.com/primo-explore/search?tab=default_tab&amp;search_scope=EVERYTHING&amp;vid=01CRU&amp;lang=en_US&amp;offset=0&amp;query=any,contains,991003768179702656","Catalog Record")</f>
        <v/>
      </c>
      <c r="AT230">
        <f>HYPERLINK("http://www.worldcat.org/oclc/1463191","WorldCat Record")</f>
        <v/>
      </c>
      <c r="AU230" t="inlineStr">
        <is>
          <t>3372888683:eng</t>
        </is>
      </c>
      <c r="AV230" t="inlineStr">
        <is>
          <t>1463191</t>
        </is>
      </c>
      <c r="AW230" t="inlineStr">
        <is>
          <t>991003768179702656</t>
        </is>
      </c>
      <c r="AX230" t="inlineStr">
        <is>
          <t>991003768179702656</t>
        </is>
      </c>
      <c r="AY230" t="inlineStr">
        <is>
          <t>2258992790002656</t>
        </is>
      </c>
      <c r="AZ230" t="inlineStr">
        <is>
          <t>BOOK</t>
        </is>
      </c>
      <c r="BC230" t="inlineStr">
        <is>
          <t>32285002343175</t>
        </is>
      </c>
      <c r="BD230" t="inlineStr">
        <is>
          <t>893711762</t>
        </is>
      </c>
    </row>
    <row r="231">
      <c r="A231" t="inlineStr">
        <is>
          <t>No</t>
        </is>
      </c>
      <c r="B231" t="inlineStr">
        <is>
          <t>DC20 .A2</t>
        </is>
      </c>
      <c r="C231" t="inlineStr">
        <is>
          <t>0                      DC 0020000A  2</t>
        </is>
      </c>
      <c r="D231" t="inlineStr">
        <is>
          <t>Mont-Saint-Michel and Chartres. With an introd. by Ernest Samuels.</t>
        </is>
      </c>
      <c r="F231" t="inlineStr">
        <is>
          <t>No</t>
        </is>
      </c>
      <c r="G231" t="inlineStr">
        <is>
          <t>1</t>
        </is>
      </c>
      <c r="H231" t="inlineStr">
        <is>
          <t>No</t>
        </is>
      </c>
      <c r="I231" t="inlineStr">
        <is>
          <t>Yes</t>
        </is>
      </c>
      <c r="J231" t="inlineStr">
        <is>
          <t>0</t>
        </is>
      </c>
      <c r="K231" t="inlineStr">
        <is>
          <t>Adams, Henry, 1838-1918.</t>
        </is>
      </c>
      <c r="L231" t="inlineStr">
        <is>
          <t>[New York] New American Library [1961]</t>
        </is>
      </c>
      <c r="M231" t="inlineStr">
        <is>
          <t>1961</t>
        </is>
      </c>
      <c r="O231" t="inlineStr">
        <is>
          <t>eng</t>
        </is>
      </c>
      <c r="P231" t="inlineStr">
        <is>
          <t>nyu</t>
        </is>
      </c>
      <c r="Q231" t="inlineStr">
        <is>
          <t>A Mentor book, MT317</t>
        </is>
      </c>
      <c r="R231" t="inlineStr">
        <is>
          <t xml:space="preserve">DC </t>
        </is>
      </c>
      <c r="S231" t="n">
        <v>3</v>
      </c>
      <c r="T231" t="n">
        <v>3</v>
      </c>
      <c r="U231" t="inlineStr">
        <is>
          <t>1997-06-16</t>
        </is>
      </c>
      <c r="V231" t="inlineStr">
        <is>
          <t>1997-06-16</t>
        </is>
      </c>
      <c r="W231" t="inlineStr">
        <is>
          <t>1996-10-24</t>
        </is>
      </c>
      <c r="X231" t="inlineStr">
        <is>
          <t>1996-10-24</t>
        </is>
      </c>
      <c r="Y231" t="n">
        <v>200</v>
      </c>
      <c r="Z231" t="n">
        <v>145</v>
      </c>
      <c r="AA231" t="n">
        <v>2369</v>
      </c>
      <c r="AB231" t="n">
        <v>3</v>
      </c>
      <c r="AC231" t="n">
        <v>19</v>
      </c>
      <c r="AD231" t="n">
        <v>7</v>
      </c>
      <c r="AE231" t="n">
        <v>66</v>
      </c>
      <c r="AF231" t="n">
        <v>3</v>
      </c>
      <c r="AG231" t="n">
        <v>29</v>
      </c>
      <c r="AH231" t="n">
        <v>0</v>
      </c>
      <c r="AI231" t="n">
        <v>11</v>
      </c>
      <c r="AJ231" t="n">
        <v>5</v>
      </c>
      <c r="AK231" t="n">
        <v>28</v>
      </c>
      <c r="AL231" t="n">
        <v>1</v>
      </c>
      <c r="AM231" t="n">
        <v>10</v>
      </c>
      <c r="AN231" t="n">
        <v>0</v>
      </c>
      <c r="AO231" t="n">
        <v>2</v>
      </c>
      <c r="AP231" t="inlineStr">
        <is>
          <t>No</t>
        </is>
      </c>
      <c r="AQ231" t="inlineStr">
        <is>
          <t>No</t>
        </is>
      </c>
      <c r="AS231">
        <f>HYPERLINK("https://creighton-primo.hosted.exlibrisgroup.com/primo-explore/search?tab=default_tab&amp;search_scope=EVERYTHING&amp;vid=01CRU&amp;lang=en_US&amp;offset=0&amp;query=any,contains,991002692299702656","Catalog Record")</f>
        <v/>
      </c>
      <c r="AT231">
        <f>HYPERLINK("http://www.worldcat.org/oclc/402014","WorldCat Record")</f>
        <v/>
      </c>
      <c r="AU231" t="inlineStr">
        <is>
          <t>396165:eng</t>
        </is>
      </c>
      <c r="AV231" t="inlineStr">
        <is>
          <t>402014</t>
        </is>
      </c>
      <c r="AW231" t="inlineStr">
        <is>
          <t>991002692299702656</t>
        </is>
      </c>
      <c r="AX231" t="inlineStr">
        <is>
          <t>991002692299702656</t>
        </is>
      </c>
      <c r="AY231" t="inlineStr">
        <is>
          <t>2267688790002656</t>
        </is>
      </c>
      <c r="AZ231" t="inlineStr">
        <is>
          <t>BOOK</t>
        </is>
      </c>
      <c r="BC231" t="inlineStr">
        <is>
          <t>32285002377918</t>
        </is>
      </c>
      <c r="BD231" t="inlineStr">
        <is>
          <t>893233292</t>
        </is>
      </c>
    </row>
    <row r="232">
      <c r="A232" t="inlineStr">
        <is>
          <t>No</t>
        </is>
      </c>
      <c r="B232" t="inlineStr">
        <is>
          <t>DC20 .A2 1933</t>
        </is>
      </c>
      <c r="C232" t="inlineStr">
        <is>
          <t>0                      DC 0020000A  2           1933</t>
        </is>
      </c>
      <c r="D232" t="inlineStr">
        <is>
          <t>Mont-Saint-Michel and Chartres [by] Henry Adams. With an introduction by Ralph Adams Cram.</t>
        </is>
      </c>
      <c r="F232" t="inlineStr">
        <is>
          <t>No</t>
        </is>
      </c>
      <c r="G232" t="inlineStr">
        <is>
          <t>1</t>
        </is>
      </c>
      <c r="H232" t="inlineStr">
        <is>
          <t>No</t>
        </is>
      </c>
      <c r="I232" t="inlineStr">
        <is>
          <t>Yes</t>
        </is>
      </c>
      <c r="J232" t="inlineStr">
        <is>
          <t>0</t>
        </is>
      </c>
      <c r="K232" t="inlineStr">
        <is>
          <t>Adams, Henry, 1838-1918.</t>
        </is>
      </c>
      <c r="L232" t="inlineStr">
        <is>
          <t>Boston, Houghton Mifflin Co. [c1933]</t>
        </is>
      </c>
      <c r="M232" t="inlineStr">
        <is>
          <t>1933</t>
        </is>
      </c>
      <c r="O232" t="inlineStr">
        <is>
          <t>eng</t>
        </is>
      </c>
      <c r="P232" t="inlineStr">
        <is>
          <t>mau</t>
        </is>
      </c>
      <c r="R232" t="inlineStr">
        <is>
          <t xml:space="preserve">DC </t>
        </is>
      </c>
      <c r="S232" t="n">
        <v>3</v>
      </c>
      <c r="T232" t="n">
        <v>3</v>
      </c>
      <c r="U232" t="inlineStr">
        <is>
          <t>2010-09-16</t>
        </is>
      </c>
      <c r="V232" t="inlineStr">
        <is>
          <t>2010-09-16</t>
        </is>
      </c>
      <c r="W232" t="inlineStr">
        <is>
          <t>1996-10-24</t>
        </is>
      </c>
      <c r="X232" t="inlineStr">
        <is>
          <t>1996-10-24</t>
        </is>
      </c>
      <c r="Y232" t="n">
        <v>755</v>
      </c>
      <c r="Z232" t="n">
        <v>691</v>
      </c>
      <c r="AA232" t="n">
        <v>2369</v>
      </c>
      <c r="AB232" t="n">
        <v>4</v>
      </c>
      <c r="AC232" t="n">
        <v>19</v>
      </c>
      <c r="AD232" t="n">
        <v>21</v>
      </c>
      <c r="AE232" t="n">
        <v>66</v>
      </c>
      <c r="AF232" t="n">
        <v>8</v>
      </c>
      <c r="AG232" t="n">
        <v>29</v>
      </c>
      <c r="AH232" t="n">
        <v>6</v>
      </c>
      <c r="AI232" t="n">
        <v>11</v>
      </c>
      <c r="AJ232" t="n">
        <v>9</v>
      </c>
      <c r="AK232" t="n">
        <v>28</v>
      </c>
      <c r="AL232" t="n">
        <v>3</v>
      </c>
      <c r="AM232" t="n">
        <v>10</v>
      </c>
      <c r="AN232" t="n">
        <v>0</v>
      </c>
      <c r="AO232" t="n">
        <v>2</v>
      </c>
      <c r="AP232" t="inlineStr">
        <is>
          <t>Yes</t>
        </is>
      </c>
      <c r="AQ232" t="inlineStr">
        <is>
          <t>No</t>
        </is>
      </c>
      <c r="AR232">
        <f>HYPERLINK("http://catalog.hathitrust.org/Record/000915807","HathiTrust Record")</f>
        <v/>
      </c>
      <c r="AS232">
        <f>HYPERLINK("https://creighton-primo.hosted.exlibrisgroup.com/primo-explore/search?tab=default_tab&amp;search_scope=EVERYTHING&amp;vid=01CRU&amp;lang=en_US&amp;offset=0&amp;query=any,contains,991003326639702656","Catalog Record")</f>
        <v/>
      </c>
      <c r="AT232">
        <f>HYPERLINK("http://www.worldcat.org/oclc/856385","WorldCat Record")</f>
        <v/>
      </c>
      <c r="AU232" t="inlineStr">
        <is>
          <t>396165:eng</t>
        </is>
      </c>
      <c r="AV232" t="inlineStr">
        <is>
          <t>856385</t>
        </is>
      </c>
      <c r="AW232" t="inlineStr">
        <is>
          <t>991003326639702656</t>
        </is>
      </c>
      <c r="AX232" t="inlineStr">
        <is>
          <t>991003326639702656</t>
        </is>
      </c>
      <c r="AY232" t="inlineStr">
        <is>
          <t>2268632940002656</t>
        </is>
      </c>
      <c r="AZ232" t="inlineStr">
        <is>
          <t>BOOK</t>
        </is>
      </c>
      <c r="BC232" t="inlineStr">
        <is>
          <t>32285002377900</t>
        </is>
      </c>
      <c r="BD232" t="inlineStr">
        <is>
          <t>893240095</t>
        </is>
      </c>
    </row>
    <row r="233">
      <c r="A233" t="inlineStr">
        <is>
          <t>No</t>
        </is>
      </c>
      <c r="B233" t="inlineStr">
        <is>
          <t>DC20 .M217</t>
        </is>
      </c>
      <c r="C233" t="inlineStr">
        <is>
          <t>0                      DC 0020000M  217</t>
        </is>
      </c>
      <c r="D233" t="inlineStr">
        <is>
          <t>Henry Adams on the road to Chartres.</t>
        </is>
      </c>
      <c r="F233" t="inlineStr">
        <is>
          <t>No</t>
        </is>
      </c>
      <c r="G233" t="inlineStr">
        <is>
          <t>1</t>
        </is>
      </c>
      <c r="H233" t="inlineStr">
        <is>
          <t>No</t>
        </is>
      </c>
      <c r="I233" t="inlineStr">
        <is>
          <t>No</t>
        </is>
      </c>
      <c r="J233" t="inlineStr">
        <is>
          <t>0</t>
        </is>
      </c>
      <c r="K233" t="inlineStr">
        <is>
          <t>Mane, Robert.</t>
        </is>
      </c>
      <c r="L233" t="inlineStr">
        <is>
          <t>Cambridge, Mass. : Belknap Press of Harvard University Press, 1971.</t>
        </is>
      </c>
      <c r="M233" t="inlineStr">
        <is>
          <t>1971</t>
        </is>
      </c>
      <c r="O233" t="inlineStr">
        <is>
          <t>eng</t>
        </is>
      </c>
      <c r="P233" t="inlineStr">
        <is>
          <t>mau</t>
        </is>
      </c>
      <c r="R233" t="inlineStr">
        <is>
          <t xml:space="preserve">DC </t>
        </is>
      </c>
      <c r="S233" t="n">
        <v>3</v>
      </c>
      <c r="T233" t="n">
        <v>3</v>
      </c>
      <c r="U233" t="inlineStr">
        <is>
          <t>2010-09-07</t>
        </is>
      </c>
      <c r="V233" t="inlineStr">
        <is>
          <t>2010-09-07</t>
        </is>
      </c>
      <c r="W233" t="inlineStr">
        <is>
          <t>1992-02-04</t>
        </is>
      </c>
      <c r="X233" t="inlineStr">
        <is>
          <t>1992-02-04</t>
        </is>
      </c>
      <c r="Y233" t="n">
        <v>669</v>
      </c>
      <c r="Z233" t="n">
        <v>599</v>
      </c>
      <c r="AA233" t="n">
        <v>608</v>
      </c>
      <c r="AB233" t="n">
        <v>5</v>
      </c>
      <c r="AC233" t="n">
        <v>5</v>
      </c>
      <c r="AD233" t="n">
        <v>34</v>
      </c>
      <c r="AE233" t="n">
        <v>34</v>
      </c>
      <c r="AF233" t="n">
        <v>14</v>
      </c>
      <c r="AG233" t="n">
        <v>14</v>
      </c>
      <c r="AH233" t="n">
        <v>9</v>
      </c>
      <c r="AI233" t="n">
        <v>9</v>
      </c>
      <c r="AJ233" t="n">
        <v>18</v>
      </c>
      <c r="AK233" t="n">
        <v>18</v>
      </c>
      <c r="AL233" t="n">
        <v>4</v>
      </c>
      <c r="AM233" t="n">
        <v>4</v>
      </c>
      <c r="AN233" t="n">
        <v>0</v>
      </c>
      <c r="AO233" t="n">
        <v>0</v>
      </c>
      <c r="AP233" t="inlineStr">
        <is>
          <t>No</t>
        </is>
      </c>
      <c r="AQ233" t="inlineStr">
        <is>
          <t>Yes</t>
        </is>
      </c>
      <c r="AR233">
        <f>HYPERLINK("http://catalog.hathitrust.org/Record/000410843","HathiTrust Record")</f>
        <v/>
      </c>
      <c r="AS233">
        <f>HYPERLINK("https://creighton-primo.hosted.exlibrisgroup.com/primo-explore/search?tab=default_tab&amp;search_scope=EVERYTHING&amp;vid=01CRU&amp;lang=en_US&amp;offset=0&amp;query=any,contains,991001225079702656","Catalog Record")</f>
        <v/>
      </c>
      <c r="AT233">
        <f>HYPERLINK("http://www.worldcat.org/oclc/199523","WorldCat Record")</f>
        <v/>
      </c>
      <c r="AU233" t="inlineStr">
        <is>
          <t>1380319:eng</t>
        </is>
      </c>
      <c r="AV233" t="inlineStr">
        <is>
          <t>199523</t>
        </is>
      </c>
      <c r="AW233" t="inlineStr">
        <is>
          <t>991001225079702656</t>
        </is>
      </c>
      <c r="AX233" t="inlineStr">
        <is>
          <t>991001225079702656</t>
        </is>
      </c>
      <c r="AY233" t="inlineStr">
        <is>
          <t>2269758460002656</t>
        </is>
      </c>
      <c r="AZ233" t="inlineStr">
        <is>
          <t>BOOK</t>
        </is>
      </c>
      <c r="BB233" t="inlineStr">
        <is>
          <t>9780674387706</t>
        </is>
      </c>
      <c r="BC233" t="inlineStr">
        <is>
          <t>32285000934462</t>
        </is>
      </c>
      <c r="BD233" t="inlineStr">
        <is>
          <t>893784939</t>
        </is>
      </c>
    </row>
    <row r="234">
      <c r="A234" t="inlineStr">
        <is>
          <t>No</t>
        </is>
      </c>
      <c r="B234" t="inlineStr">
        <is>
          <t>DC20.5 .W56 1993</t>
        </is>
      </c>
      <c r="C234" t="inlineStr">
        <is>
          <t>0                      DC 0020500W  56          1993</t>
        </is>
      </c>
      <c r="D234" t="inlineStr">
        <is>
          <t>Contemporary France / Hilary P.M. Winchester.</t>
        </is>
      </c>
      <c r="F234" t="inlineStr">
        <is>
          <t>No</t>
        </is>
      </c>
      <c r="G234" t="inlineStr">
        <is>
          <t>1</t>
        </is>
      </c>
      <c r="H234" t="inlineStr">
        <is>
          <t>No</t>
        </is>
      </c>
      <c r="I234" t="inlineStr">
        <is>
          <t>No</t>
        </is>
      </c>
      <c r="J234" t="inlineStr">
        <is>
          <t>0</t>
        </is>
      </c>
      <c r="K234" t="inlineStr">
        <is>
          <t>Winchester, Hilary P. M.</t>
        </is>
      </c>
      <c r="L234" t="inlineStr">
        <is>
          <t>Essex, England : Longman Scientific &amp; Technical ; New York : J. Wiley &amp; Sons, 1993.</t>
        </is>
      </c>
      <c r="M234" t="inlineStr">
        <is>
          <t>1993</t>
        </is>
      </c>
      <c r="O234" t="inlineStr">
        <is>
          <t>eng</t>
        </is>
      </c>
      <c r="P234" t="inlineStr">
        <is>
          <t>enk</t>
        </is>
      </c>
      <c r="R234" t="inlineStr">
        <is>
          <t xml:space="preserve">DC </t>
        </is>
      </c>
      <c r="S234" t="n">
        <v>9</v>
      </c>
      <c r="T234" t="n">
        <v>9</v>
      </c>
      <c r="U234" t="inlineStr">
        <is>
          <t>2001-08-30</t>
        </is>
      </c>
      <c r="V234" t="inlineStr">
        <is>
          <t>2001-08-30</t>
        </is>
      </c>
      <c r="W234" t="inlineStr">
        <is>
          <t>1994-10-21</t>
        </is>
      </c>
      <c r="X234" t="inlineStr">
        <is>
          <t>1994-10-21</t>
        </is>
      </c>
      <c r="Y234" t="n">
        <v>298</v>
      </c>
      <c r="Z234" t="n">
        <v>160</v>
      </c>
      <c r="AA234" t="n">
        <v>167</v>
      </c>
      <c r="AB234" t="n">
        <v>3</v>
      </c>
      <c r="AC234" t="n">
        <v>3</v>
      </c>
      <c r="AD234" t="n">
        <v>7</v>
      </c>
      <c r="AE234" t="n">
        <v>7</v>
      </c>
      <c r="AF234" t="n">
        <v>2</v>
      </c>
      <c r="AG234" t="n">
        <v>2</v>
      </c>
      <c r="AH234" t="n">
        <v>2</v>
      </c>
      <c r="AI234" t="n">
        <v>2</v>
      </c>
      <c r="AJ234" t="n">
        <v>2</v>
      </c>
      <c r="AK234" t="n">
        <v>2</v>
      </c>
      <c r="AL234" t="n">
        <v>2</v>
      </c>
      <c r="AM234" t="n">
        <v>2</v>
      </c>
      <c r="AN234" t="n">
        <v>0</v>
      </c>
      <c r="AO234" t="n">
        <v>0</v>
      </c>
      <c r="AP234" t="inlineStr">
        <is>
          <t>No</t>
        </is>
      </c>
      <c r="AQ234" t="inlineStr">
        <is>
          <t>Yes</t>
        </is>
      </c>
      <c r="AR234">
        <f>HYPERLINK("http://catalog.hathitrust.org/Record/002710736","HathiTrust Record")</f>
        <v/>
      </c>
      <c r="AS234">
        <f>HYPERLINK("https://creighton-primo.hosted.exlibrisgroup.com/primo-explore/search?tab=default_tab&amp;search_scope=EVERYTHING&amp;vid=01CRU&amp;lang=en_US&amp;offset=0&amp;query=any,contains,991002158489702656","Catalog Record")</f>
        <v/>
      </c>
      <c r="AT234">
        <f>HYPERLINK("http://www.worldcat.org/oclc/27811617","WorldCat Record")</f>
        <v/>
      </c>
      <c r="AU234" t="inlineStr">
        <is>
          <t>344798:eng</t>
        </is>
      </c>
      <c r="AV234" t="inlineStr">
        <is>
          <t>27811617</t>
        </is>
      </c>
      <c r="AW234" t="inlineStr">
        <is>
          <t>991002158489702656</t>
        </is>
      </c>
      <c r="AX234" t="inlineStr">
        <is>
          <t>991002158489702656</t>
        </is>
      </c>
      <c r="AY234" t="inlineStr">
        <is>
          <t>2258743970002656</t>
        </is>
      </c>
      <c r="AZ234" t="inlineStr">
        <is>
          <t>BOOK</t>
        </is>
      </c>
      <c r="BB234" t="inlineStr">
        <is>
          <t>9780470221143</t>
        </is>
      </c>
      <c r="BC234" t="inlineStr">
        <is>
          <t>32285001955250</t>
        </is>
      </c>
      <c r="BD234" t="inlineStr">
        <is>
          <t>893685034</t>
        </is>
      </c>
    </row>
    <row r="235">
      <c r="A235" t="inlineStr">
        <is>
          <t>No</t>
        </is>
      </c>
      <c r="B235" t="inlineStr">
        <is>
          <t>DC20.A2 C63</t>
        </is>
      </c>
      <c r="C235" t="inlineStr">
        <is>
          <t>0                      DC 0020000A  2                  C  63</t>
        </is>
      </c>
      <c r="D235" t="inlineStr">
        <is>
          <t>A formula of his own; Henry Adam's literary experiment [by] John J. Conder.</t>
        </is>
      </c>
      <c r="F235" t="inlineStr">
        <is>
          <t>No</t>
        </is>
      </c>
      <c r="G235" t="inlineStr">
        <is>
          <t>1</t>
        </is>
      </c>
      <c r="H235" t="inlineStr">
        <is>
          <t>No</t>
        </is>
      </c>
      <c r="I235" t="inlineStr">
        <is>
          <t>No</t>
        </is>
      </c>
      <c r="J235" t="inlineStr">
        <is>
          <t>0</t>
        </is>
      </c>
      <c r="K235" t="inlineStr">
        <is>
          <t>Conder, John J.</t>
        </is>
      </c>
      <c r="L235" t="inlineStr">
        <is>
          <t>Chicago, University of Chicago Press [1970]</t>
        </is>
      </c>
      <c r="M235" t="inlineStr">
        <is>
          <t>1970</t>
        </is>
      </c>
      <c r="O235" t="inlineStr">
        <is>
          <t>eng</t>
        </is>
      </c>
      <c r="P235" t="inlineStr">
        <is>
          <t>ilu</t>
        </is>
      </c>
      <c r="R235" t="inlineStr">
        <is>
          <t xml:space="preserve">DC </t>
        </is>
      </c>
      <c r="S235" t="n">
        <v>8</v>
      </c>
      <c r="T235" t="n">
        <v>8</v>
      </c>
      <c r="U235" t="inlineStr">
        <is>
          <t>1999-09-27</t>
        </is>
      </c>
      <c r="V235" t="inlineStr">
        <is>
          <t>1999-09-27</t>
        </is>
      </c>
      <c r="W235" t="inlineStr">
        <is>
          <t>1996-10-24</t>
        </is>
      </c>
      <c r="X235" t="inlineStr">
        <is>
          <t>1996-10-24</t>
        </is>
      </c>
      <c r="Y235" t="n">
        <v>731</v>
      </c>
      <c r="Z235" t="n">
        <v>654</v>
      </c>
      <c r="AA235" t="n">
        <v>661</v>
      </c>
      <c r="AB235" t="n">
        <v>7</v>
      </c>
      <c r="AC235" t="n">
        <v>7</v>
      </c>
      <c r="AD235" t="n">
        <v>37</v>
      </c>
      <c r="AE235" t="n">
        <v>37</v>
      </c>
      <c r="AF235" t="n">
        <v>16</v>
      </c>
      <c r="AG235" t="n">
        <v>16</v>
      </c>
      <c r="AH235" t="n">
        <v>8</v>
      </c>
      <c r="AI235" t="n">
        <v>8</v>
      </c>
      <c r="AJ235" t="n">
        <v>17</v>
      </c>
      <c r="AK235" t="n">
        <v>17</v>
      </c>
      <c r="AL235" t="n">
        <v>6</v>
      </c>
      <c r="AM235" t="n">
        <v>6</v>
      </c>
      <c r="AN235" t="n">
        <v>0</v>
      </c>
      <c r="AO235" t="n">
        <v>0</v>
      </c>
      <c r="AP235" t="inlineStr">
        <is>
          <t>No</t>
        </is>
      </c>
      <c r="AQ235" t="inlineStr">
        <is>
          <t>Yes</t>
        </is>
      </c>
      <c r="AR235">
        <f>HYPERLINK("http://catalog.hathitrust.org/Record/000411515","HathiTrust Record")</f>
        <v/>
      </c>
      <c r="AS235">
        <f>HYPERLINK("https://creighton-primo.hosted.exlibrisgroup.com/primo-explore/search?tab=default_tab&amp;search_scope=EVERYTHING&amp;vid=01CRU&amp;lang=en_US&amp;offset=0&amp;query=any,contains,991000673719702656","Catalog Record")</f>
        <v/>
      </c>
      <c r="AT235">
        <f>HYPERLINK("http://www.worldcat.org/oclc/119835","WorldCat Record")</f>
        <v/>
      </c>
      <c r="AU235" t="inlineStr">
        <is>
          <t>418053:eng</t>
        </is>
      </c>
      <c r="AV235" t="inlineStr">
        <is>
          <t>119835</t>
        </is>
      </c>
      <c r="AW235" t="inlineStr">
        <is>
          <t>991000673719702656</t>
        </is>
      </c>
      <c r="AX235" t="inlineStr">
        <is>
          <t>991000673719702656</t>
        </is>
      </c>
      <c r="AY235" t="inlineStr">
        <is>
          <t>2264169820002656</t>
        </is>
      </c>
      <c r="AZ235" t="inlineStr">
        <is>
          <t>BOOK</t>
        </is>
      </c>
      <c r="BB235" t="inlineStr">
        <is>
          <t>9780226114378</t>
        </is>
      </c>
      <c r="BC235" t="inlineStr">
        <is>
          <t>32285002377926</t>
        </is>
      </c>
      <c r="BD235" t="inlineStr">
        <is>
          <t>893884623</t>
        </is>
      </c>
    </row>
    <row r="236">
      <c r="A236" t="inlineStr">
        <is>
          <t>No</t>
        </is>
      </c>
      <c r="B236" t="inlineStr">
        <is>
          <t>DC201 .H44</t>
        </is>
      </c>
      <c r="C236" t="inlineStr">
        <is>
          <t>0                      DC 0201000H  44</t>
        </is>
      </c>
      <c r="D236" t="inlineStr">
        <is>
          <t>The age of Napoleon.</t>
        </is>
      </c>
      <c r="F236" t="inlineStr">
        <is>
          <t>No</t>
        </is>
      </c>
      <c r="G236" t="inlineStr">
        <is>
          <t>1</t>
        </is>
      </c>
      <c r="H236" t="inlineStr">
        <is>
          <t>No</t>
        </is>
      </c>
      <c r="I236" t="inlineStr">
        <is>
          <t>Yes</t>
        </is>
      </c>
      <c r="J236" t="inlineStr">
        <is>
          <t>0</t>
        </is>
      </c>
      <c r="K236" t="inlineStr">
        <is>
          <t>Herold, J. Christopher.</t>
        </is>
      </c>
      <c r="L236" t="inlineStr">
        <is>
          <t>New York, American Heritage Pub. Co.; book trade distribution by Harper &amp; Row [c1963]</t>
        </is>
      </c>
      <c r="M236" t="inlineStr">
        <is>
          <t>1963</t>
        </is>
      </c>
      <c r="N236" t="inlineStr">
        <is>
          <t>[English-language ed.]</t>
        </is>
      </c>
      <c r="O236" t="inlineStr">
        <is>
          <t>eng</t>
        </is>
      </c>
      <c r="P236" t="inlineStr">
        <is>
          <t>nyu</t>
        </is>
      </c>
      <c r="R236" t="inlineStr">
        <is>
          <t xml:space="preserve">DC </t>
        </is>
      </c>
      <c r="S236" t="n">
        <v>4</v>
      </c>
      <c r="T236" t="n">
        <v>4</v>
      </c>
      <c r="U236" t="inlineStr">
        <is>
          <t>2000-03-17</t>
        </is>
      </c>
      <c r="V236" t="inlineStr">
        <is>
          <t>2000-03-17</t>
        </is>
      </c>
      <c r="W236" t="inlineStr">
        <is>
          <t>1996-05-14</t>
        </is>
      </c>
      <c r="X236" t="inlineStr">
        <is>
          <t>1996-05-14</t>
        </is>
      </c>
      <c r="Y236" t="n">
        <v>1540</v>
      </c>
      <c r="Z236" t="n">
        <v>1458</v>
      </c>
      <c r="AA236" t="n">
        <v>2756</v>
      </c>
      <c r="AB236" t="n">
        <v>15</v>
      </c>
      <c r="AC236" t="n">
        <v>24</v>
      </c>
      <c r="AD236" t="n">
        <v>41</v>
      </c>
      <c r="AE236" t="n">
        <v>63</v>
      </c>
      <c r="AF236" t="n">
        <v>18</v>
      </c>
      <c r="AG236" t="n">
        <v>25</v>
      </c>
      <c r="AH236" t="n">
        <v>6</v>
      </c>
      <c r="AI236" t="n">
        <v>10</v>
      </c>
      <c r="AJ236" t="n">
        <v>17</v>
      </c>
      <c r="AK236" t="n">
        <v>25</v>
      </c>
      <c r="AL236" t="n">
        <v>7</v>
      </c>
      <c r="AM236" t="n">
        <v>11</v>
      </c>
      <c r="AN236" t="n">
        <v>0</v>
      </c>
      <c r="AO236" t="n">
        <v>5</v>
      </c>
      <c r="AP236" t="inlineStr">
        <is>
          <t>No</t>
        </is>
      </c>
      <c r="AQ236" t="inlineStr">
        <is>
          <t>Yes</t>
        </is>
      </c>
      <c r="AR236">
        <f>HYPERLINK("http://catalog.hathitrust.org/Record/000605387","HathiTrust Record")</f>
        <v/>
      </c>
      <c r="AS236">
        <f>HYPERLINK("https://creighton-primo.hosted.exlibrisgroup.com/primo-explore/search?tab=default_tab&amp;search_scope=EVERYTHING&amp;vid=01CRU&amp;lang=en_US&amp;offset=0&amp;query=any,contains,991003429259702656","Catalog Record")</f>
        <v/>
      </c>
      <c r="AT236">
        <f>HYPERLINK("http://www.worldcat.org/oclc/965205","WorldCat Record")</f>
        <v/>
      </c>
      <c r="AU236" t="inlineStr">
        <is>
          <t>1068386:eng</t>
        </is>
      </c>
      <c r="AV236" t="inlineStr">
        <is>
          <t>965205</t>
        </is>
      </c>
      <c r="AW236" t="inlineStr">
        <is>
          <t>991003429259702656</t>
        </is>
      </c>
      <c r="AX236" t="inlineStr">
        <is>
          <t>991003429259702656</t>
        </is>
      </c>
      <c r="AY236" t="inlineStr">
        <is>
          <t>2258193210002656</t>
        </is>
      </c>
      <c r="AZ236" t="inlineStr">
        <is>
          <t>BOOK</t>
        </is>
      </c>
      <c r="BC236" t="inlineStr">
        <is>
          <t>32285002163813</t>
        </is>
      </c>
      <c r="BD236" t="inlineStr">
        <is>
          <t>893428778</t>
        </is>
      </c>
    </row>
    <row r="237">
      <c r="A237" t="inlineStr">
        <is>
          <t>No</t>
        </is>
      </c>
      <c r="B237" t="inlineStr">
        <is>
          <t>DC201 .H675</t>
        </is>
      </c>
      <c r="C237" t="inlineStr">
        <is>
          <t>0                      DC 0201000H  675</t>
        </is>
      </c>
      <c r="D237" t="inlineStr">
        <is>
          <t>The Napoleonic revolution / [by] Robert B. Holtman.</t>
        </is>
      </c>
      <c r="F237" t="inlineStr">
        <is>
          <t>No</t>
        </is>
      </c>
      <c r="G237" t="inlineStr">
        <is>
          <t>1</t>
        </is>
      </c>
      <c r="H237" t="inlineStr">
        <is>
          <t>No</t>
        </is>
      </c>
      <c r="I237" t="inlineStr">
        <is>
          <t>No</t>
        </is>
      </c>
      <c r="J237" t="inlineStr">
        <is>
          <t>0</t>
        </is>
      </c>
      <c r="K237" t="inlineStr">
        <is>
          <t>Holtman, Robert B.</t>
        </is>
      </c>
      <c r="L237" t="inlineStr">
        <is>
          <t>Philadelphia : Lippincott, [1967]</t>
        </is>
      </c>
      <c r="M237" t="inlineStr">
        <is>
          <t>1967</t>
        </is>
      </c>
      <c r="N237" t="inlineStr">
        <is>
          <t>[1st ed.]</t>
        </is>
      </c>
      <c r="O237" t="inlineStr">
        <is>
          <t>eng</t>
        </is>
      </c>
      <c r="P237" t="inlineStr">
        <is>
          <t>pau</t>
        </is>
      </c>
      <c r="Q237" t="inlineStr">
        <is>
          <t>Critical periods of history</t>
        </is>
      </c>
      <c r="R237" t="inlineStr">
        <is>
          <t xml:space="preserve">DC </t>
        </is>
      </c>
      <c r="S237" t="n">
        <v>3</v>
      </c>
      <c r="T237" t="n">
        <v>3</v>
      </c>
      <c r="U237" t="inlineStr">
        <is>
          <t>2008-02-24</t>
        </is>
      </c>
      <c r="V237" t="inlineStr">
        <is>
          <t>2008-02-24</t>
        </is>
      </c>
      <c r="W237" t="inlineStr">
        <is>
          <t>1991-02-14</t>
        </is>
      </c>
      <c r="X237" t="inlineStr">
        <is>
          <t>1991-02-14</t>
        </is>
      </c>
      <c r="Y237" t="n">
        <v>1161</v>
      </c>
      <c r="Z237" t="n">
        <v>1029</v>
      </c>
      <c r="AA237" t="n">
        <v>1147</v>
      </c>
      <c r="AB237" t="n">
        <v>9</v>
      </c>
      <c r="AC237" t="n">
        <v>10</v>
      </c>
      <c r="AD237" t="n">
        <v>35</v>
      </c>
      <c r="AE237" t="n">
        <v>39</v>
      </c>
      <c r="AF237" t="n">
        <v>13</v>
      </c>
      <c r="AG237" t="n">
        <v>15</v>
      </c>
      <c r="AH237" t="n">
        <v>9</v>
      </c>
      <c r="AI237" t="n">
        <v>10</v>
      </c>
      <c r="AJ237" t="n">
        <v>13</v>
      </c>
      <c r="AK237" t="n">
        <v>16</v>
      </c>
      <c r="AL237" t="n">
        <v>7</v>
      </c>
      <c r="AM237" t="n">
        <v>7</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HYPERLINK("https://creighton-primo.hosted.exlibrisgroup.com/primo-explore/search?tab=default_tab&amp;search_scope=EVERYTHING&amp;vid=01CRU&amp;lang=en_US&amp;offset=0&amp;query=any,contains,991002560159702656","Catalog Record")</f>
        <v/>
      </c>
      <c r="AT237">
        <f>HYPERLINK("http://www.worldcat.org/oclc/371587","WorldCat Record")</f>
        <v/>
      </c>
      <c r="AU237" t="inlineStr">
        <is>
          <t>579278:eng</t>
        </is>
      </c>
      <c r="AV237" t="inlineStr">
        <is>
          <t>371587</t>
        </is>
      </c>
      <c r="AW237" t="inlineStr">
        <is>
          <t>991002560159702656</t>
        </is>
      </c>
      <c r="AX237" t="inlineStr">
        <is>
          <t>991002560159702656</t>
        </is>
      </c>
      <c r="AY237" t="inlineStr">
        <is>
          <t>2260001030002656</t>
        </is>
      </c>
      <c r="AZ237" t="inlineStr">
        <is>
          <t>BOOK</t>
        </is>
      </c>
      <c r="BC237" t="inlineStr">
        <is>
          <t>32285000510072</t>
        </is>
      </c>
      <c r="BD237" t="inlineStr">
        <is>
          <t>893886445</t>
        </is>
      </c>
    </row>
    <row r="238">
      <c r="A238" t="inlineStr">
        <is>
          <t>No</t>
        </is>
      </c>
      <c r="B238" t="inlineStr">
        <is>
          <t>DC201 .H678 2006</t>
        </is>
      </c>
      <c r="C238" t="inlineStr">
        <is>
          <t>0                      DC 0201000H  678         2006</t>
        </is>
      </c>
      <c r="D238" t="inlineStr">
        <is>
          <t>The age of Napoleon / Alistair Horne.</t>
        </is>
      </c>
      <c r="F238" t="inlineStr">
        <is>
          <t>No</t>
        </is>
      </c>
      <c r="G238" t="inlineStr">
        <is>
          <t>1</t>
        </is>
      </c>
      <c r="H238" t="inlineStr">
        <is>
          <t>No</t>
        </is>
      </c>
      <c r="I238" t="inlineStr">
        <is>
          <t>No</t>
        </is>
      </c>
      <c r="J238" t="inlineStr">
        <is>
          <t>0</t>
        </is>
      </c>
      <c r="K238" t="inlineStr">
        <is>
          <t>Horne, Alistair.</t>
        </is>
      </c>
      <c r="L238" t="inlineStr">
        <is>
          <t>New York : Modern Library, 2006, c2004.</t>
        </is>
      </c>
      <c r="M238" t="inlineStr">
        <is>
          <t>2006</t>
        </is>
      </c>
      <c r="N238" t="inlineStr">
        <is>
          <t>Modern Library pbk. ed.</t>
        </is>
      </c>
      <c r="O238" t="inlineStr">
        <is>
          <t>eng</t>
        </is>
      </c>
      <c r="P238" t="inlineStr">
        <is>
          <t>nyu</t>
        </is>
      </c>
      <c r="Q238" t="inlineStr">
        <is>
          <t>Modern Library chronicles book</t>
        </is>
      </c>
      <c r="R238" t="inlineStr">
        <is>
          <t xml:space="preserve">DC </t>
        </is>
      </c>
      <c r="S238" t="n">
        <v>6</v>
      </c>
      <c r="T238" t="n">
        <v>6</v>
      </c>
      <c r="U238" t="inlineStr">
        <is>
          <t>2009-11-10</t>
        </is>
      </c>
      <c r="V238" t="inlineStr">
        <is>
          <t>2009-11-10</t>
        </is>
      </c>
      <c r="W238" t="inlineStr">
        <is>
          <t>2004-06-29</t>
        </is>
      </c>
      <c r="X238" t="inlineStr">
        <is>
          <t>2004-06-29</t>
        </is>
      </c>
      <c r="Y238" t="n">
        <v>469</v>
      </c>
      <c r="Z238" t="n">
        <v>442</v>
      </c>
      <c r="AA238" t="n">
        <v>554</v>
      </c>
      <c r="AB238" t="n">
        <v>8</v>
      </c>
      <c r="AC238" t="n">
        <v>9</v>
      </c>
      <c r="AD238" t="n">
        <v>16</v>
      </c>
      <c r="AE238" t="n">
        <v>17</v>
      </c>
      <c r="AF238" t="n">
        <v>4</v>
      </c>
      <c r="AG238" t="n">
        <v>4</v>
      </c>
      <c r="AH238" t="n">
        <v>3</v>
      </c>
      <c r="AI238" t="n">
        <v>4</v>
      </c>
      <c r="AJ238" t="n">
        <v>7</v>
      </c>
      <c r="AK238" t="n">
        <v>7</v>
      </c>
      <c r="AL238" t="n">
        <v>5</v>
      </c>
      <c r="AM238" t="n">
        <v>5</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HYPERLINK("https://creighton-primo.hosted.exlibrisgroup.com/primo-explore/search?tab=default_tab&amp;search_scope=EVERYTHING&amp;vid=01CRU&amp;lang=en_US&amp;offset=0&amp;query=any,contains,991004303899702656","Catalog Record")</f>
        <v/>
      </c>
      <c r="AT238">
        <f>HYPERLINK("http://www.worldcat.org/oclc/54998996","WorldCat Record")</f>
        <v/>
      </c>
      <c r="AU238" t="inlineStr">
        <is>
          <t>725394:eng</t>
        </is>
      </c>
      <c r="AV238" t="inlineStr">
        <is>
          <t>54998996</t>
        </is>
      </c>
      <c r="AW238" t="inlineStr">
        <is>
          <t>991004303899702656</t>
        </is>
      </c>
      <c r="AX238" t="inlineStr">
        <is>
          <t>991004303899702656</t>
        </is>
      </c>
      <c r="AY238" t="inlineStr">
        <is>
          <t>2265208810002656</t>
        </is>
      </c>
      <c r="AZ238" t="inlineStr">
        <is>
          <t>BOOK</t>
        </is>
      </c>
      <c r="BB238" t="inlineStr">
        <is>
          <t>9780679642633</t>
        </is>
      </c>
      <c r="BC238" t="inlineStr">
        <is>
          <t>32285005550545</t>
        </is>
      </c>
      <c r="BD238" t="inlineStr">
        <is>
          <t>893869567</t>
        </is>
      </c>
    </row>
    <row r="239">
      <c r="A239" t="inlineStr">
        <is>
          <t>No</t>
        </is>
      </c>
      <c r="B239" t="inlineStr">
        <is>
          <t>DC201 .L3413 1969</t>
        </is>
      </c>
      <c r="C239" t="inlineStr">
        <is>
          <t>0                      DC 0201000L  3413        1969</t>
        </is>
      </c>
      <c r="D239" t="inlineStr">
        <is>
          <t>Napoleon, from 18 Brumaire to Tilsit, 1799-1807 / translated from the French by Henry F. Stockhold.</t>
        </is>
      </c>
      <c r="F239" t="inlineStr">
        <is>
          <t>No</t>
        </is>
      </c>
      <c r="G239" t="inlineStr">
        <is>
          <t>1</t>
        </is>
      </c>
      <c r="H239" t="inlineStr">
        <is>
          <t>No</t>
        </is>
      </c>
      <c r="I239" t="inlineStr">
        <is>
          <t>Yes</t>
        </is>
      </c>
      <c r="J239" t="inlineStr">
        <is>
          <t>0</t>
        </is>
      </c>
      <c r="K239" t="inlineStr">
        <is>
          <t>Lefebvre, Georges, 1874-1959.</t>
        </is>
      </c>
      <c r="L239" t="inlineStr">
        <is>
          <t>New York : Columbia University Press, 1969.</t>
        </is>
      </c>
      <c r="M239" t="inlineStr">
        <is>
          <t>1969</t>
        </is>
      </c>
      <c r="O239" t="inlineStr">
        <is>
          <t>eng</t>
        </is>
      </c>
      <c r="P239" t="inlineStr">
        <is>
          <t>nyu</t>
        </is>
      </c>
      <c r="R239" t="inlineStr">
        <is>
          <t xml:space="preserve">DC </t>
        </is>
      </c>
      <c r="S239" t="n">
        <v>1</v>
      </c>
      <c r="T239" t="n">
        <v>1</v>
      </c>
      <c r="U239" t="inlineStr">
        <is>
          <t>1993-02-27</t>
        </is>
      </c>
      <c r="V239" t="inlineStr">
        <is>
          <t>1993-02-27</t>
        </is>
      </c>
      <c r="W239" t="inlineStr">
        <is>
          <t>1992-02-27</t>
        </is>
      </c>
      <c r="X239" t="inlineStr">
        <is>
          <t>1992-02-27</t>
        </is>
      </c>
      <c r="Y239" t="n">
        <v>1323</v>
      </c>
      <c r="Z239" t="n">
        <v>1244</v>
      </c>
      <c r="AA239" t="n">
        <v>1790</v>
      </c>
      <c r="AB239" t="n">
        <v>12</v>
      </c>
      <c r="AC239" t="n">
        <v>22</v>
      </c>
      <c r="AD239" t="n">
        <v>54</v>
      </c>
      <c r="AE239" t="n">
        <v>65</v>
      </c>
      <c r="AF239" t="n">
        <v>22</v>
      </c>
      <c r="AG239" t="n">
        <v>25</v>
      </c>
      <c r="AH239" t="n">
        <v>9</v>
      </c>
      <c r="AI239" t="n">
        <v>11</v>
      </c>
      <c r="AJ239" t="n">
        <v>23</v>
      </c>
      <c r="AK239" t="n">
        <v>26</v>
      </c>
      <c r="AL239" t="n">
        <v>10</v>
      </c>
      <c r="AM239" t="n">
        <v>16</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HYPERLINK("https://creighton-primo.hosted.exlibrisgroup.com/primo-explore/search?tab=default_tab&amp;search_scope=EVERYTHING&amp;vid=01CRU&amp;lang=en_US&amp;offset=0&amp;query=any,contains,991003321799702656","Catalog Record")</f>
        <v/>
      </c>
      <c r="AT239">
        <f>HYPERLINK("http://www.worldcat.org/oclc/849778","WorldCat Record")</f>
        <v/>
      </c>
      <c r="AU239" t="inlineStr">
        <is>
          <t>3943711586:eng</t>
        </is>
      </c>
      <c r="AV239" t="inlineStr">
        <is>
          <t>849778</t>
        </is>
      </c>
      <c r="AW239" t="inlineStr">
        <is>
          <t>991003321799702656</t>
        </is>
      </c>
      <c r="AX239" t="inlineStr">
        <is>
          <t>991003321799702656</t>
        </is>
      </c>
      <c r="AY239" t="inlineStr">
        <is>
          <t>2269412440002656</t>
        </is>
      </c>
      <c r="AZ239" t="inlineStr">
        <is>
          <t>BOOK</t>
        </is>
      </c>
      <c r="BC239" t="inlineStr">
        <is>
          <t>32285000977883</t>
        </is>
      </c>
      <c r="BD239" t="inlineStr">
        <is>
          <t>893721896</t>
        </is>
      </c>
    </row>
    <row r="240">
      <c r="A240" t="inlineStr">
        <is>
          <t>No</t>
        </is>
      </c>
      <c r="B240" t="inlineStr">
        <is>
          <t>DC201 .L3513</t>
        </is>
      </c>
      <c r="C240" t="inlineStr">
        <is>
          <t>0                      DC 0201000L  3513</t>
        </is>
      </c>
      <c r="D240" t="inlineStr">
        <is>
          <t>Napoleon : from Tilsit to Waterloo, 1807-1815 / translated from the French by J. E. Anderson.</t>
        </is>
      </c>
      <c r="F240" t="inlineStr">
        <is>
          <t>No</t>
        </is>
      </c>
      <c r="G240" t="inlineStr">
        <is>
          <t>1</t>
        </is>
      </c>
      <c r="H240" t="inlineStr">
        <is>
          <t>No</t>
        </is>
      </c>
      <c r="I240" t="inlineStr">
        <is>
          <t>Yes</t>
        </is>
      </c>
      <c r="J240" t="inlineStr">
        <is>
          <t>0</t>
        </is>
      </c>
      <c r="K240" t="inlineStr">
        <is>
          <t>Lefebvre, Georges, 1874-1959.</t>
        </is>
      </c>
      <c r="L240" t="inlineStr">
        <is>
          <t>New York : Columbia University Press, 1969 [c1936]</t>
        </is>
      </c>
      <c r="M240" t="inlineStr">
        <is>
          <t>1969</t>
        </is>
      </c>
      <c r="O240" t="inlineStr">
        <is>
          <t>eng</t>
        </is>
      </c>
      <c r="P240" t="inlineStr">
        <is>
          <t>nyu</t>
        </is>
      </c>
      <c r="R240" t="inlineStr">
        <is>
          <t xml:space="preserve">DC </t>
        </is>
      </c>
      <c r="S240" t="n">
        <v>3</v>
      </c>
      <c r="T240" t="n">
        <v>3</v>
      </c>
      <c r="U240" t="inlineStr">
        <is>
          <t>1992-11-29</t>
        </is>
      </c>
      <c r="V240" t="inlineStr">
        <is>
          <t>1992-11-29</t>
        </is>
      </c>
      <c r="W240" t="inlineStr">
        <is>
          <t>1990-04-18</t>
        </is>
      </c>
      <c r="X240" t="inlineStr">
        <is>
          <t>1990-04-18</t>
        </is>
      </c>
      <c r="Y240" t="n">
        <v>1202</v>
      </c>
      <c r="Z240" t="n">
        <v>1137</v>
      </c>
      <c r="AA240" t="n">
        <v>1790</v>
      </c>
      <c r="AB240" t="n">
        <v>11</v>
      </c>
      <c r="AC240" t="n">
        <v>22</v>
      </c>
      <c r="AD240" t="n">
        <v>49</v>
      </c>
      <c r="AE240" t="n">
        <v>65</v>
      </c>
      <c r="AF240" t="n">
        <v>21</v>
      </c>
      <c r="AG240" t="n">
        <v>25</v>
      </c>
      <c r="AH240" t="n">
        <v>9</v>
      </c>
      <c r="AI240" t="n">
        <v>11</v>
      </c>
      <c r="AJ240" t="n">
        <v>20</v>
      </c>
      <c r="AK240" t="n">
        <v>26</v>
      </c>
      <c r="AL240" t="n">
        <v>9</v>
      </c>
      <c r="AM240" t="n">
        <v>16</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HYPERLINK("https://creighton-primo.hosted.exlibrisgroup.com/primo-explore/search?tab=default_tab&amp;search_scope=EVERYTHING&amp;vid=01CRU&amp;lang=en_US&amp;offset=0&amp;query=any,contains,991000073589702656","Catalog Record")</f>
        <v/>
      </c>
      <c r="AT240">
        <f>HYPERLINK("http://www.worldcat.org/oclc/29264","WorldCat Record")</f>
        <v/>
      </c>
      <c r="AU240" t="inlineStr">
        <is>
          <t>3943711586:eng</t>
        </is>
      </c>
      <c r="AV240" t="inlineStr">
        <is>
          <t>29264</t>
        </is>
      </c>
      <c r="AW240" t="inlineStr">
        <is>
          <t>991000073589702656</t>
        </is>
      </c>
      <c r="AX240" t="inlineStr">
        <is>
          <t>991000073589702656</t>
        </is>
      </c>
      <c r="AY240" t="inlineStr">
        <is>
          <t>2266296110002656</t>
        </is>
      </c>
      <c r="AZ240" t="inlineStr">
        <is>
          <t>BOOK</t>
        </is>
      </c>
      <c r="BC240" t="inlineStr">
        <is>
          <t>32285000116219</t>
        </is>
      </c>
      <c r="BD240" t="inlineStr">
        <is>
          <t>893601424</t>
        </is>
      </c>
    </row>
    <row r="241">
      <c r="A241" t="inlineStr">
        <is>
          <t>No</t>
        </is>
      </c>
      <c r="B241" t="inlineStr">
        <is>
          <t>DC202 .C6</t>
        </is>
      </c>
      <c r="C241" t="inlineStr">
        <is>
          <t>0                      DC 0202000C  6</t>
        </is>
      </c>
      <c r="D241" t="inlineStr">
        <is>
          <t>Napoleon's satellite kingdoms.</t>
        </is>
      </c>
      <c r="F241" t="inlineStr">
        <is>
          <t>No</t>
        </is>
      </c>
      <c r="G241" t="inlineStr">
        <is>
          <t>1</t>
        </is>
      </c>
      <c r="H241" t="inlineStr">
        <is>
          <t>No</t>
        </is>
      </c>
      <c r="I241" t="inlineStr">
        <is>
          <t>No</t>
        </is>
      </c>
      <c r="J241" t="inlineStr">
        <is>
          <t>0</t>
        </is>
      </c>
      <c r="K241" t="inlineStr">
        <is>
          <t>Connelly, Owen, 1924-2011.</t>
        </is>
      </c>
      <c r="L241" t="inlineStr">
        <is>
          <t>New York, Free Press [1966, c1965]</t>
        </is>
      </c>
      <c r="M241" t="inlineStr">
        <is>
          <t>1966</t>
        </is>
      </c>
      <c r="O241" t="inlineStr">
        <is>
          <t>eng</t>
        </is>
      </c>
      <c r="P241" t="inlineStr">
        <is>
          <t>nyu</t>
        </is>
      </c>
      <c r="R241" t="inlineStr">
        <is>
          <t xml:space="preserve">DC </t>
        </is>
      </c>
      <c r="S241" t="n">
        <v>2</v>
      </c>
      <c r="T241" t="n">
        <v>2</v>
      </c>
      <c r="U241" t="inlineStr">
        <is>
          <t>2007-09-30</t>
        </is>
      </c>
      <c r="V241" t="inlineStr">
        <is>
          <t>2007-09-30</t>
        </is>
      </c>
      <c r="W241" t="inlineStr">
        <is>
          <t>1996-05-14</t>
        </is>
      </c>
      <c r="X241" t="inlineStr">
        <is>
          <t>1996-05-14</t>
        </is>
      </c>
      <c r="Y241" t="n">
        <v>843</v>
      </c>
      <c r="Z241" t="n">
        <v>787</v>
      </c>
      <c r="AA241" t="n">
        <v>883</v>
      </c>
      <c r="AB241" t="n">
        <v>8</v>
      </c>
      <c r="AC241" t="n">
        <v>10</v>
      </c>
      <c r="AD241" t="n">
        <v>46</v>
      </c>
      <c r="AE241" t="n">
        <v>49</v>
      </c>
      <c r="AF241" t="n">
        <v>19</v>
      </c>
      <c r="AG241" t="n">
        <v>19</v>
      </c>
      <c r="AH241" t="n">
        <v>8</v>
      </c>
      <c r="AI241" t="n">
        <v>9</v>
      </c>
      <c r="AJ241" t="n">
        <v>23</v>
      </c>
      <c r="AK241" t="n">
        <v>24</v>
      </c>
      <c r="AL241" t="n">
        <v>7</v>
      </c>
      <c r="AM241" t="n">
        <v>9</v>
      </c>
      <c r="AN241" t="n">
        <v>0</v>
      </c>
      <c r="AO241" t="n">
        <v>0</v>
      </c>
      <c r="AP241" t="inlineStr">
        <is>
          <t>No</t>
        </is>
      </c>
      <c r="AQ241" t="inlineStr">
        <is>
          <t>Yes</t>
        </is>
      </c>
      <c r="AR241">
        <f>HYPERLINK("http://catalog.hathitrust.org/Record/000644761","HathiTrust Record")</f>
        <v/>
      </c>
      <c r="AS241">
        <f>HYPERLINK("https://creighton-primo.hosted.exlibrisgroup.com/primo-explore/search?tab=default_tab&amp;search_scope=EVERYTHING&amp;vid=01CRU&amp;lang=en_US&amp;offset=0&amp;query=any,contains,991002691259702656","Catalog Record")</f>
        <v/>
      </c>
      <c r="AT241">
        <f>HYPERLINK("http://www.worldcat.org/oclc/401656","WorldCat Record")</f>
        <v/>
      </c>
      <c r="AU241" t="inlineStr">
        <is>
          <t>569827:eng</t>
        </is>
      </c>
      <c r="AV241" t="inlineStr">
        <is>
          <t>401656</t>
        </is>
      </c>
      <c r="AW241" t="inlineStr">
        <is>
          <t>991002691259702656</t>
        </is>
      </c>
      <c r="AX241" t="inlineStr">
        <is>
          <t>991002691259702656</t>
        </is>
      </c>
      <c r="AY241" t="inlineStr">
        <is>
          <t>2268248560002656</t>
        </is>
      </c>
      <c r="AZ241" t="inlineStr">
        <is>
          <t>BOOK</t>
        </is>
      </c>
      <c r="BC241" t="inlineStr">
        <is>
          <t>32285002163821</t>
        </is>
      </c>
      <c r="BD241" t="inlineStr">
        <is>
          <t>893873868</t>
        </is>
      </c>
    </row>
    <row r="242">
      <c r="A242" t="inlineStr">
        <is>
          <t>No</t>
        </is>
      </c>
      <c r="B242" t="inlineStr">
        <is>
          <t>DC202 .R8</t>
        </is>
      </c>
      <c r="C242" t="inlineStr">
        <is>
          <t>0                      DC 0202000R  8</t>
        </is>
      </c>
      <c r="D242" t="inlineStr">
        <is>
          <t>Napoleonic studies, by J. Holland Rose ...</t>
        </is>
      </c>
      <c r="F242" t="inlineStr">
        <is>
          <t>No</t>
        </is>
      </c>
      <c r="G242" t="inlineStr">
        <is>
          <t>1</t>
        </is>
      </c>
      <c r="H242" t="inlineStr">
        <is>
          <t>No</t>
        </is>
      </c>
      <c r="I242" t="inlineStr">
        <is>
          <t>No</t>
        </is>
      </c>
      <c r="J242" t="inlineStr">
        <is>
          <t>0</t>
        </is>
      </c>
      <c r="K242" t="inlineStr">
        <is>
          <t>Rose, J. Holland (John Holland), 1855-1942.</t>
        </is>
      </c>
      <c r="L242" t="inlineStr">
        <is>
          <t>London, G. Bell, 1904.</t>
        </is>
      </c>
      <c r="M242" t="inlineStr">
        <is>
          <t>1904</t>
        </is>
      </c>
      <c r="O242" t="inlineStr">
        <is>
          <t>eng</t>
        </is>
      </c>
      <c r="P242" t="inlineStr">
        <is>
          <t>enk</t>
        </is>
      </c>
      <c r="R242" t="inlineStr">
        <is>
          <t xml:space="preserve">DC </t>
        </is>
      </c>
      <c r="S242" t="n">
        <v>1</v>
      </c>
      <c r="T242" t="n">
        <v>1</v>
      </c>
      <c r="U242" t="inlineStr">
        <is>
          <t>2000-09-22</t>
        </is>
      </c>
      <c r="V242" t="inlineStr">
        <is>
          <t>2000-09-22</t>
        </is>
      </c>
      <c r="W242" t="inlineStr">
        <is>
          <t>1996-11-11</t>
        </is>
      </c>
      <c r="X242" t="inlineStr">
        <is>
          <t>1996-11-11</t>
        </is>
      </c>
      <c r="Y242" t="n">
        <v>162</v>
      </c>
      <c r="Z242" t="n">
        <v>109</v>
      </c>
      <c r="AA242" t="n">
        <v>155</v>
      </c>
      <c r="AB242" t="n">
        <v>1</v>
      </c>
      <c r="AC242" t="n">
        <v>2</v>
      </c>
      <c r="AD242" t="n">
        <v>12</v>
      </c>
      <c r="AE242" t="n">
        <v>14</v>
      </c>
      <c r="AF242" t="n">
        <v>3</v>
      </c>
      <c r="AG242" t="n">
        <v>3</v>
      </c>
      <c r="AH242" t="n">
        <v>5</v>
      </c>
      <c r="AI242" t="n">
        <v>6</v>
      </c>
      <c r="AJ242" t="n">
        <v>8</v>
      </c>
      <c r="AK242" t="n">
        <v>8</v>
      </c>
      <c r="AL242" t="n">
        <v>0</v>
      </c>
      <c r="AM242" t="n">
        <v>1</v>
      </c>
      <c r="AN242" t="n">
        <v>0</v>
      </c>
      <c r="AO242" t="n">
        <v>0</v>
      </c>
      <c r="AP242" t="inlineStr">
        <is>
          <t>Yes</t>
        </is>
      </c>
      <c r="AQ242" t="inlineStr">
        <is>
          <t>No</t>
        </is>
      </c>
      <c r="AR242">
        <f>HYPERLINK("http://catalog.hathitrust.org/Record/006591755","HathiTrust Record")</f>
        <v/>
      </c>
      <c r="AS242">
        <f>HYPERLINK("https://creighton-primo.hosted.exlibrisgroup.com/primo-explore/search?tab=default_tab&amp;search_scope=EVERYTHING&amp;vid=01CRU&amp;lang=en_US&amp;offset=0&amp;query=any,contains,991002727849702656","Catalog Record")</f>
        <v/>
      </c>
      <c r="AT242">
        <f>HYPERLINK("http://www.worldcat.org/oclc/414912","WorldCat Record")</f>
        <v/>
      </c>
      <c r="AU242" t="inlineStr">
        <is>
          <t>1472617:eng</t>
        </is>
      </c>
      <c r="AV242" t="inlineStr">
        <is>
          <t>414912</t>
        </is>
      </c>
      <c r="AW242" t="inlineStr">
        <is>
          <t>991002727849702656</t>
        </is>
      </c>
      <c r="AX242" t="inlineStr">
        <is>
          <t>991002727849702656</t>
        </is>
      </c>
      <c r="AY242" t="inlineStr">
        <is>
          <t>2265506980002656</t>
        </is>
      </c>
      <c r="AZ242" t="inlineStr">
        <is>
          <t>BOOK</t>
        </is>
      </c>
      <c r="BC242" t="inlineStr">
        <is>
          <t>32285002343365</t>
        </is>
      </c>
      <c r="BD242" t="inlineStr">
        <is>
          <t>893698179</t>
        </is>
      </c>
    </row>
    <row r="243">
      <c r="A243" t="inlineStr">
        <is>
          <t>No</t>
        </is>
      </c>
      <c r="B243" t="inlineStr">
        <is>
          <t>DC202.5 .B76 1996</t>
        </is>
      </c>
      <c r="C243" t="inlineStr">
        <is>
          <t>0                      DC 0202500B  76          1996</t>
        </is>
      </c>
      <c r="D243" t="inlineStr">
        <is>
          <t>Europe under Napoleon 1799-1815 / Michael Broers.</t>
        </is>
      </c>
      <c r="F243" t="inlineStr">
        <is>
          <t>No</t>
        </is>
      </c>
      <c r="G243" t="inlineStr">
        <is>
          <t>1</t>
        </is>
      </c>
      <c r="H243" t="inlineStr">
        <is>
          <t>No</t>
        </is>
      </c>
      <c r="I243" t="inlineStr">
        <is>
          <t>No</t>
        </is>
      </c>
      <c r="J243" t="inlineStr">
        <is>
          <t>0</t>
        </is>
      </c>
      <c r="K243" t="inlineStr">
        <is>
          <t>Broers, Michael.</t>
        </is>
      </c>
      <c r="L243" t="inlineStr">
        <is>
          <t>London ; New York : Arnold ; New York : Distributed exclusively in the USA by St. Martin's Press, 1996.</t>
        </is>
      </c>
      <c r="M243" t="inlineStr">
        <is>
          <t>1996</t>
        </is>
      </c>
      <c r="O243" t="inlineStr">
        <is>
          <t>eng</t>
        </is>
      </c>
      <c r="P243" t="inlineStr">
        <is>
          <t>enk</t>
        </is>
      </c>
      <c r="R243" t="inlineStr">
        <is>
          <t xml:space="preserve">DC </t>
        </is>
      </c>
      <c r="S243" t="n">
        <v>1</v>
      </c>
      <c r="T243" t="n">
        <v>1</v>
      </c>
      <c r="U243" t="inlineStr">
        <is>
          <t>2008-12-17</t>
        </is>
      </c>
      <c r="V243" t="inlineStr">
        <is>
          <t>2008-12-17</t>
        </is>
      </c>
      <c r="W243" t="inlineStr">
        <is>
          <t>2008-12-17</t>
        </is>
      </c>
      <c r="X243" t="inlineStr">
        <is>
          <t>2008-12-17</t>
        </is>
      </c>
      <c r="Y243" t="n">
        <v>462</v>
      </c>
      <c r="Z243" t="n">
        <v>315</v>
      </c>
      <c r="AA243" t="n">
        <v>315</v>
      </c>
      <c r="AB243" t="n">
        <v>1</v>
      </c>
      <c r="AC243" t="n">
        <v>1</v>
      </c>
      <c r="AD243" t="n">
        <v>19</v>
      </c>
      <c r="AE243" t="n">
        <v>19</v>
      </c>
      <c r="AF243" t="n">
        <v>8</v>
      </c>
      <c r="AG243" t="n">
        <v>8</v>
      </c>
      <c r="AH243" t="n">
        <v>6</v>
      </c>
      <c r="AI243" t="n">
        <v>6</v>
      </c>
      <c r="AJ243" t="n">
        <v>10</v>
      </c>
      <c r="AK243" t="n">
        <v>10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HYPERLINK("https://creighton-primo.hosted.exlibrisgroup.com/primo-explore/search?tab=default_tab&amp;search_scope=EVERYTHING&amp;vid=01CRU&amp;lang=en_US&amp;offset=0&amp;query=any,contains,991005285259702656","Catalog Record")</f>
        <v/>
      </c>
      <c r="AT243">
        <f>HYPERLINK("http://www.worldcat.org/oclc/34669237","WorldCat Record")</f>
        <v/>
      </c>
      <c r="AU243" t="inlineStr">
        <is>
          <t>39984791:eng</t>
        </is>
      </c>
      <c r="AV243" t="inlineStr">
        <is>
          <t>34669237</t>
        </is>
      </c>
      <c r="AW243" t="inlineStr">
        <is>
          <t>991005285259702656</t>
        </is>
      </c>
      <c r="AX243" t="inlineStr">
        <is>
          <t>991005285259702656</t>
        </is>
      </c>
      <c r="AY243" t="inlineStr">
        <is>
          <t>2271335210002656</t>
        </is>
      </c>
      <c r="AZ243" t="inlineStr">
        <is>
          <t>BOOK</t>
        </is>
      </c>
      <c r="BB243" t="inlineStr">
        <is>
          <t>9780340662649</t>
        </is>
      </c>
      <c r="BC243" t="inlineStr">
        <is>
          <t>32285005474233</t>
        </is>
      </c>
      <c r="BD243" t="inlineStr">
        <is>
          <t>893783353</t>
        </is>
      </c>
    </row>
    <row r="244">
      <c r="A244" t="inlineStr">
        <is>
          <t>No</t>
        </is>
      </c>
      <c r="B244" t="inlineStr">
        <is>
          <t>DC203 .A65</t>
        </is>
      </c>
      <c r="C244" t="inlineStr">
        <is>
          <t>0                      DC 0203000A  65</t>
        </is>
      </c>
      <c r="D244" t="inlineStr">
        <is>
          <t>Napoleon in review / by George Gordon Andrews ; with an introduction by Carl L. Becker.</t>
        </is>
      </c>
      <c r="F244" t="inlineStr">
        <is>
          <t>No</t>
        </is>
      </c>
      <c r="G244" t="inlineStr">
        <is>
          <t>1</t>
        </is>
      </c>
      <c r="H244" t="inlineStr">
        <is>
          <t>No</t>
        </is>
      </c>
      <c r="I244" t="inlineStr">
        <is>
          <t>No</t>
        </is>
      </c>
      <c r="J244" t="inlineStr">
        <is>
          <t>0</t>
        </is>
      </c>
      <c r="K244" t="inlineStr">
        <is>
          <t>Andrews, George Gordon, 1887-1938.</t>
        </is>
      </c>
      <c r="L244" t="inlineStr">
        <is>
          <t>New York : A.A. Knopf, 1939.</t>
        </is>
      </c>
      <c r="M244" t="inlineStr">
        <is>
          <t>1939</t>
        </is>
      </c>
      <c r="O244" t="inlineStr">
        <is>
          <t>eng</t>
        </is>
      </c>
      <c r="P244" t="inlineStr">
        <is>
          <t>nyu</t>
        </is>
      </c>
      <c r="R244" t="inlineStr">
        <is>
          <t xml:space="preserve">DC </t>
        </is>
      </c>
      <c r="S244" t="n">
        <v>5</v>
      </c>
      <c r="T244" t="n">
        <v>5</v>
      </c>
      <c r="U244" t="inlineStr">
        <is>
          <t>2001-03-20</t>
        </is>
      </c>
      <c r="V244" t="inlineStr">
        <is>
          <t>2001-03-20</t>
        </is>
      </c>
      <c r="W244" t="inlineStr">
        <is>
          <t>1991-04-10</t>
        </is>
      </c>
      <c r="X244" t="inlineStr">
        <is>
          <t>1991-04-10</t>
        </is>
      </c>
      <c r="Y244" t="n">
        <v>304</v>
      </c>
      <c r="Z244" t="n">
        <v>287</v>
      </c>
      <c r="AA244" t="n">
        <v>288</v>
      </c>
      <c r="AB244" t="n">
        <v>4</v>
      </c>
      <c r="AC244" t="n">
        <v>4</v>
      </c>
      <c r="AD244" t="n">
        <v>14</v>
      </c>
      <c r="AE244" t="n">
        <v>14</v>
      </c>
      <c r="AF244" t="n">
        <v>6</v>
      </c>
      <c r="AG244" t="n">
        <v>6</v>
      </c>
      <c r="AH244" t="n">
        <v>3</v>
      </c>
      <c r="AI244" t="n">
        <v>3</v>
      </c>
      <c r="AJ244" t="n">
        <v>6</v>
      </c>
      <c r="AK244" t="n">
        <v>6</v>
      </c>
      <c r="AL244" t="n">
        <v>3</v>
      </c>
      <c r="AM244" t="n">
        <v>3</v>
      </c>
      <c r="AN244" t="n">
        <v>0</v>
      </c>
      <c r="AO244" t="n">
        <v>0</v>
      </c>
      <c r="AP244" t="inlineStr">
        <is>
          <t>No</t>
        </is>
      </c>
      <c r="AQ244" t="inlineStr">
        <is>
          <t>Yes</t>
        </is>
      </c>
      <c r="AR244">
        <f>HYPERLINK("http://catalog.hathitrust.org/Record/006063078","HathiTrust Record")</f>
        <v/>
      </c>
      <c r="AS244">
        <f>HYPERLINK("https://creighton-primo.hosted.exlibrisgroup.com/primo-explore/search?tab=default_tab&amp;search_scope=EVERYTHING&amp;vid=01CRU&amp;lang=en_US&amp;offset=0&amp;query=any,contains,991001400449702656","Catalog Record")</f>
        <v/>
      </c>
      <c r="AT244">
        <f>HYPERLINK("http://www.worldcat.org/oclc/229175","WorldCat Record")</f>
        <v/>
      </c>
      <c r="AU244" t="inlineStr">
        <is>
          <t>1348922:eng</t>
        </is>
      </c>
      <c r="AV244" t="inlineStr">
        <is>
          <t>229175</t>
        </is>
      </c>
      <c r="AW244" t="inlineStr">
        <is>
          <t>991001400449702656</t>
        </is>
      </c>
      <c r="AX244" t="inlineStr">
        <is>
          <t>991001400449702656</t>
        </is>
      </c>
      <c r="AY244" t="inlineStr">
        <is>
          <t>2256706490002656</t>
        </is>
      </c>
      <c r="AZ244" t="inlineStr">
        <is>
          <t>BOOK</t>
        </is>
      </c>
      <c r="BC244" t="inlineStr">
        <is>
          <t>32285000580521</t>
        </is>
      </c>
      <c r="BD244" t="inlineStr">
        <is>
          <t>893408111</t>
        </is>
      </c>
    </row>
    <row r="245">
      <c r="A245" t="inlineStr">
        <is>
          <t>No</t>
        </is>
      </c>
      <c r="B245" t="inlineStr">
        <is>
          <t>DC203 .A8753</t>
        </is>
      </c>
      <c r="C245" t="inlineStr">
        <is>
          <t>0                      DC 0203000A  8753</t>
        </is>
      </c>
      <c r="D245" t="inlineStr">
        <is>
          <t>The private life of Napoleon / [by] Octave Aubry ; translated from the French by Elisabeth Abbott.</t>
        </is>
      </c>
      <c r="F245" t="inlineStr">
        <is>
          <t>No</t>
        </is>
      </c>
      <c r="G245" t="inlineStr">
        <is>
          <t>1</t>
        </is>
      </c>
      <c r="H245" t="inlineStr">
        <is>
          <t>No</t>
        </is>
      </c>
      <c r="I245" t="inlineStr">
        <is>
          <t>No</t>
        </is>
      </c>
      <c r="J245" t="inlineStr">
        <is>
          <t>0</t>
        </is>
      </c>
      <c r="K245" t="inlineStr">
        <is>
          <t>Aubry, Octave, 1881-1946.</t>
        </is>
      </c>
      <c r="L245" t="inlineStr">
        <is>
          <t>Philadelphia and New York : J.B. Lippincott company, [1947]</t>
        </is>
      </c>
      <c r="M245" t="inlineStr">
        <is>
          <t>1947</t>
        </is>
      </c>
      <c r="O245" t="inlineStr">
        <is>
          <t>eng</t>
        </is>
      </c>
      <c r="P245" t="inlineStr">
        <is>
          <t xml:space="preserve">xx </t>
        </is>
      </c>
      <c r="R245" t="inlineStr">
        <is>
          <t xml:space="preserve">DC </t>
        </is>
      </c>
      <c r="S245" t="n">
        <v>4</v>
      </c>
      <c r="T245" t="n">
        <v>4</v>
      </c>
      <c r="U245" t="inlineStr">
        <is>
          <t>2003-12-17</t>
        </is>
      </c>
      <c r="V245" t="inlineStr">
        <is>
          <t>2003-12-17</t>
        </is>
      </c>
      <c r="W245" t="inlineStr">
        <is>
          <t>1993-03-09</t>
        </is>
      </c>
      <c r="X245" t="inlineStr">
        <is>
          <t>1993-03-09</t>
        </is>
      </c>
      <c r="Y245" t="n">
        <v>154</v>
      </c>
      <c r="Z245" t="n">
        <v>144</v>
      </c>
      <c r="AA245" t="n">
        <v>154</v>
      </c>
      <c r="AB245" t="n">
        <v>1</v>
      </c>
      <c r="AC245" t="n">
        <v>1</v>
      </c>
      <c r="AD245" t="n">
        <v>4</v>
      </c>
      <c r="AE245" t="n">
        <v>4</v>
      </c>
      <c r="AF245" t="n">
        <v>2</v>
      </c>
      <c r="AG245" t="n">
        <v>2</v>
      </c>
      <c r="AH245" t="n">
        <v>0</v>
      </c>
      <c r="AI245" t="n">
        <v>0</v>
      </c>
      <c r="AJ245" t="n">
        <v>4</v>
      </c>
      <c r="AK245" t="n">
        <v>4</v>
      </c>
      <c r="AL245" t="n">
        <v>0</v>
      </c>
      <c r="AM245" t="n">
        <v>0</v>
      </c>
      <c r="AN245" t="n">
        <v>0</v>
      </c>
      <c r="AO245" t="n">
        <v>0</v>
      </c>
      <c r="AP245" t="inlineStr">
        <is>
          <t>No</t>
        </is>
      </c>
      <c r="AQ245" t="inlineStr">
        <is>
          <t>Yes</t>
        </is>
      </c>
      <c r="AR245">
        <f>HYPERLINK("http://catalog.hathitrust.org/Record/000024814","HathiTrust Record")</f>
        <v/>
      </c>
      <c r="AS245">
        <f>HYPERLINK("https://creighton-primo.hosted.exlibrisgroup.com/primo-explore/search?tab=default_tab&amp;search_scope=EVERYTHING&amp;vid=01CRU&amp;lang=en_US&amp;offset=0&amp;query=any,contains,991003648559702656","Catalog Record")</f>
        <v/>
      </c>
      <c r="AT245">
        <f>HYPERLINK("http://www.worldcat.org/oclc/1251704","WorldCat Record")</f>
        <v/>
      </c>
      <c r="AU245" t="inlineStr">
        <is>
          <t>2864323036:eng</t>
        </is>
      </c>
      <c r="AV245" t="inlineStr">
        <is>
          <t>1251704</t>
        </is>
      </c>
      <c r="AW245" t="inlineStr">
        <is>
          <t>991003648559702656</t>
        </is>
      </c>
      <c r="AX245" t="inlineStr">
        <is>
          <t>991003648559702656</t>
        </is>
      </c>
      <c r="AY245" t="inlineStr">
        <is>
          <t>2260542610002656</t>
        </is>
      </c>
      <c r="AZ245" t="inlineStr">
        <is>
          <t>BOOK</t>
        </is>
      </c>
      <c r="BC245" t="inlineStr">
        <is>
          <t>32285001570711</t>
        </is>
      </c>
      <c r="BD245" t="inlineStr">
        <is>
          <t>893246577</t>
        </is>
      </c>
    </row>
    <row r="246">
      <c r="A246" t="inlineStr">
        <is>
          <t>No</t>
        </is>
      </c>
      <c r="B246" t="inlineStr">
        <is>
          <t>DC203 .B83 1975</t>
        </is>
      </c>
      <c r="C246" t="inlineStr">
        <is>
          <t>0                      DC 0203000B  83          1975</t>
        </is>
      </c>
      <c r="D246" t="inlineStr">
        <is>
          <t>Napoleon / John Bowle ; introd. by Elizabeth Longford.</t>
        </is>
      </c>
      <c r="F246" t="inlineStr">
        <is>
          <t>No</t>
        </is>
      </c>
      <c r="G246" t="inlineStr">
        <is>
          <t>1</t>
        </is>
      </c>
      <c r="H246" t="inlineStr">
        <is>
          <t>No</t>
        </is>
      </c>
      <c r="I246" t="inlineStr">
        <is>
          <t>No</t>
        </is>
      </c>
      <c r="J246" t="inlineStr">
        <is>
          <t>0</t>
        </is>
      </c>
      <c r="K246" t="inlineStr">
        <is>
          <t>Bowle, John.</t>
        </is>
      </c>
      <c r="L246" t="inlineStr">
        <is>
          <t>Chicago : Follett, 1975, c1973.</t>
        </is>
      </c>
      <c r="M246" t="inlineStr">
        <is>
          <t>1975</t>
        </is>
      </c>
      <c r="O246" t="inlineStr">
        <is>
          <t>eng</t>
        </is>
      </c>
      <c r="P246" t="inlineStr">
        <is>
          <t>ilu</t>
        </is>
      </c>
      <c r="R246" t="inlineStr">
        <is>
          <t xml:space="preserve">DC </t>
        </is>
      </c>
      <c r="S246" t="n">
        <v>5</v>
      </c>
      <c r="T246" t="n">
        <v>5</v>
      </c>
      <c r="U246" t="inlineStr">
        <is>
          <t>2004-08-27</t>
        </is>
      </c>
      <c r="V246" t="inlineStr">
        <is>
          <t>2004-08-27</t>
        </is>
      </c>
      <c r="W246" t="inlineStr">
        <is>
          <t>1993-03-09</t>
        </is>
      </c>
      <c r="X246" t="inlineStr">
        <is>
          <t>1993-03-09</t>
        </is>
      </c>
      <c r="Y246" t="n">
        <v>166</v>
      </c>
      <c r="Z246" t="n">
        <v>162</v>
      </c>
      <c r="AA246" t="n">
        <v>232</v>
      </c>
      <c r="AB246" t="n">
        <v>3</v>
      </c>
      <c r="AC246" t="n">
        <v>3</v>
      </c>
      <c r="AD246" t="n">
        <v>8</v>
      </c>
      <c r="AE246" t="n">
        <v>9</v>
      </c>
      <c r="AF246" t="n">
        <v>5</v>
      </c>
      <c r="AG246" t="n">
        <v>5</v>
      </c>
      <c r="AH246" t="n">
        <v>2</v>
      </c>
      <c r="AI246" t="n">
        <v>2</v>
      </c>
      <c r="AJ246" t="n">
        <v>3</v>
      </c>
      <c r="AK246" t="n">
        <v>4</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HYPERLINK("https://creighton-primo.hosted.exlibrisgroup.com/primo-explore/search?tab=default_tab&amp;search_scope=EVERYTHING&amp;vid=01CRU&amp;lang=en_US&amp;offset=0&amp;query=any,contains,991003870609702656","Catalog Record")</f>
        <v/>
      </c>
      <c r="AT246">
        <f>HYPERLINK("http://www.worldcat.org/oclc/1692212","WorldCat Record")</f>
        <v/>
      </c>
      <c r="AU246" t="inlineStr">
        <is>
          <t>2021658:eng</t>
        </is>
      </c>
      <c r="AV246" t="inlineStr">
        <is>
          <t>1692212</t>
        </is>
      </c>
      <c r="AW246" t="inlineStr">
        <is>
          <t>991003870609702656</t>
        </is>
      </c>
      <c r="AX246" t="inlineStr">
        <is>
          <t>991003870609702656</t>
        </is>
      </c>
      <c r="AY246" t="inlineStr">
        <is>
          <t>2256170500002656</t>
        </is>
      </c>
      <c r="AZ246" t="inlineStr">
        <is>
          <t>BOOK</t>
        </is>
      </c>
      <c r="BB246" t="inlineStr">
        <is>
          <t>9780695805432</t>
        </is>
      </c>
      <c r="BC246" t="inlineStr">
        <is>
          <t>32285001570703</t>
        </is>
      </c>
      <c r="BD246" t="inlineStr">
        <is>
          <t>893228579</t>
        </is>
      </c>
    </row>
    <row r="247">
      <c r="A247" t="inlineStr">
        <is>
          <t>No</t>
        </is>
      </c>
      <c r="B247" t="inlineStr">
        <is>
          <t>DC203 .C23</t>
        </is>
      </c>
      <c r="C247" t="inlineStr">
        <is>
          <t>0                      DC 0203000C  23</t>
        </is>
      </c>
      <c r="D247" t="inlineStr">
        <is>
          <t>Napoleon speaks / by Albert Carr; translation of Napoleonic documents by Julia Van Huele.</t>
        </is>
      </c>
      <c r="F247" t="inlineStr">
        <is>
          <t>No</t>
        </is>
      </c>
      <c r="G247" t="inlineStr">
        <is>
          <t>1</t>
        </is>
      </c>
      <c r="H247" t="inlineStr">
        <is>
          <t>No</t>
        </is>
      </c>
      <c r="I247" t="inlineStr">
        <is>
          <t>No</t>
        </is>
      </c>
      <c r="J247" t="inlineStr">
        <is>
          <t>0</t>
        </is>
      </c>
      <c r="K247" t="inlineStr">
        <is>
          <t>Carr, Albert H. Z. (Albert H. Zolotkoff), 1902-1971.</t>
        </is>
      </c>
      <c r="L247" t="inlineStr">
        <is>
          <t>New York : The Viking press, 1941.</t>
        </is>
      </c>
      <c r="M247" t="inlineStr">
        <is>
          <t>1941</t>
        </is>
      </c>
      <c r="O247" t="inlineStr">
        <is>
          <t>eng</t>
        </is>
      </c>
      <c r="P247" t="inlineStr">
        <is>
          <t xml:space="preserve">xx </t>
        </is>
      </c>
      <c r="R247" t="inlineStr">
        <is>
          <t xml:space="preserve">DC </t>
        </is>
      </c>
      <c r="S247" t="n">
        <v>2</v>
      </c>
      <c r="T247" t="n">
        <v>2</v>
      </c>
      <c r="U247" t="inlineStr">
        <is>
          <t>1995-02-13</t>
        </is>
      </c>
      <c r="V247" t="inlineStr">
        <is>
          <t>1995-02-13</t>
        </is>
      </c>
      <c r="W247" t="inlineStr">
        <is>
          <t>1993-03-23</t>
        </is>
      </c>
      <c r="X247" t="inlineStr">
        <is>
          <t>1993-03-23</t>
        </is>
      </c>
      <c r="Y247" t="n">
        <v>352</v>
      </c>
      <c r="Z247" t="n">
        <v>336</v>
      </c>
      <c r="AA247" t="n">
        <v>342</v>
      </c>
      <c r="AB247" t="n">
        <v>2</v>
      </c>
      <c r="AC247" t="n">
        <v>2</v>
      </c>
      <c r="AD247" t="n">
        <v>17</v>
      </c>
      <c r="AE247" t="n">
        <v>17</v>
      </c>
      <c r="AF247" t="n">
        <v>7</v>
      </c>
      <c r="AG247" t="n">
        <v>7</v>
      </c>
      <c r="AH247" t="n">
        <v>4</v>
      </c>
      <c r="AI247" t="n">
        <v>4</v>
      </c>
      <c r="AJ247" t="n">
        <v>11</v>
      </c>
      <c r="AK247" t="n">
        <v>11</v>
      </c>
      <c r="AL247" t="n">
        <v>1</v>
      </c>
      <c r="AM247" t="n">
        <v>1</v>
      </c>
      <c r="AN247" t="n">
        <v>0</v>
      </c>
      <c r="AO247" t="n">
        <v>0</v>
      </c>
      <c r="AP247" t="inlineStr">
        <is>
          <t>No</t>
        </is>
      </c>
      <c r="AQ247" t="inlineStr">
        <is>
          <t>Yes</t>
        </is>
      </c>
      <c r="AR247">
        <f>HYPERLINK("http://catalog.hathitrust.org/Record/000645759","HathiTrust Record")</f>
        <v/>
      </c>
      <c r="AS247">
        <f>HYPERLINK("https://creighton-primo.hosted.exlibrisgroup.com/primo-explore/search?tab=default_tab&amp;search_scope=EVERYTHING&amp;vid=01CRU&amp;lang=en_US&amp;offset=0&amp;query=any,contains,991003500119702656","Catalog Record")</f>
        <v/>
      </c>
      <c r="AT247">
        <f>HYPERLINK("http://www.worldcat.org/oclc/1052697","WorldCat Record")</f>
        <v/>
      </c>
      <c r="AU247" t="inlineStr">
        <is>
          <t>1966900:eng</t>
        </is>
      </c>
      <c r="AV247" t="inlineStr">
        <is>
          <t>1052697</t>
        </is>
      </c>
      <c r="AW247" t="inlineStr">
        <is>
          <t>991003500119702656</t>
        </is>
      </c>
      <c r="AX247" t="inlineStr">
        <is>
          <t>991003500119702656</t>
        </is>
      </c>
      <c r="AY247" t="inlineStr">
        <is>
          <t>2270052030002656</t>
        </is>
      </c>
      <c r="AZ247" t="inlineStr">
        <is>
          <t>BOOK</t>
        </is>
      </c>
      <c r="BC247" t="inlineStr">
        <is>
          <t>32285001578268</t>
        </is>
      </c>
      <c r="BD247" t="inlineStr">
        <is>
          <t>893623552</t>
        </is>
      </c>
    </row>
    <row r="248">
      <c r="A248" t="inlineStr">
        <is>
          <t>No</t>
        </is>
      </c>
      <c r="B248" t="inlineStr">
        <is>
          <t>DC203 .C746</t>
        </is>
      </c>
      <c r="C248" t="inlineStr">
        <is>
          <t>0                      DC 0203000C  746</t>
        </is>
      </c>
      <c r="D248" t="inlineStr">
        <is>
          <t>The epoch of Napoleon.</t>
        </is>
      </c>
      <c r="F248" t="inlineStr">
        <is>
          <t>No</t>
        </is>
      </c>
      <c r="G248" t="inlineStr">
        <is>
          <t>1</t>
        </is>
      </c>
      <c r="H248" t="inlineStr">
        <is>
          <t>No</t>
        </is>
      </c>
      <c r="I248" t="inlineStr">
        <is>
          <t>No</t>
        </is>
      </c>
      <c r="J248" t="inlineStr">
        <is>
          <t>0</t>
        </is>
      </c>
      <c r="K248" t="inlineStr">
        <is>
          <t>Connelly, Owen, 1924-2011.</t>
        </is>
      </c>
      <c r="L248" t="inlineStr">
        <is>
          <t>New York : Holt, Rinehart and Winston, [1972]</t>
        </is>
      </c>
      <c r="M248" t="inlineStr">
        <is>
          <t>1972</t>
        </is>
      </c>
      <c r="O248" t="inlineStr">
        <is>
          <t>eng</t>
        </is>
      </c>
      <c r="P248" t="inlineStr">
        <is>
          <t>nyu</t>
        </is>
      </c>
      <c r="Q248" t="inlineStr">
        <is>
          <t>Berkshire studies in history</t>
        </is>
      </c>
      <c r="R248" t="inlineStr">
        <is>
          <t xml:space="preserve">DC </t>
        </is>
      </c>
      <c r="S248" t="n">
        <v>9</v>
      </c>
      <c r="T248" t="n">
        <v>9</v>
      </c>
      <c r="U248" t="inlineStr">
        <is>
          <t>2004-11-10</t>
        </is>
      </c>
      <c r="V248" t="inlineStr">
        <is>
          <t>2004-11-10</t>
        </is>
      </c>
      <c r="W248" t="inlineStr">
        <is>
          <t>1993-03-09</t>
        </is>
      </c>
      <c r="X248" t="inlineStr">
        <is>
          <t>1993-03-09</t>
        </is>
      </c>
      <c r="Y248" t="n">
        <v>164</v>
      </c>
      <c r="Z248" t="n">
        <v>129</v>
      </c>
      <c r="AA248" t="n">
        <v>239</v>
      </c>
      <c r="AB248" t="n">
        <v>2</v>
      </c>
      <c r="AC248" t="n">
        <v>3</v>
      </c>
      <c r="AD248" t="n">
        <v>5</v>
      </c>
      <c r="AE248" t="n">
        <v>13</v>
      </c>
      <c r="AF248" t="n">
        <v>0</v>
      </c>
      <c r="AG248" t="n">
        <v>4</v>
      </c>
      <c r="AH248" t="n">
        <v>2</v>
      </c>
      <c r="AI248" t="n">
        <v>6</v>
      </c>
      <c r="AJ248" t="n">
        <v>3</v>
      </c>
      <c r="AK248" t="n">
        <v>4</v>
      </c>
      <c r="AL248" t="n">
        <v>1</v>
      </c>
      <c r="AM248" t="n">
        <v>2</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HYPERLINK("https://creighton-primo.hosted.exlibrisgroup.com/primo-explore/search?tab=default_tab&amp;search_scope=EVERYTHING&amp;vid=01CRU&amp;lang=en_US&amp;offset=0&amp;query=any,contains,991002272319702656","Catalog Record")</f>
        <v/>
      </c>
      <c r="AT248">
        <f>HYPERLINK("http://www.worldcat.org/oclc/308669","WorldCat Record")</f>
        <v/>
      </c>
      <c r="AU248" t="inlineStr">
        <is>
          <t>542517:eng</t>
        </is>
      </c>
      <c r="AV248" t="inlineStr">
        <is>
          <t>308669</t>
        </is>
      </c>
      <c r="AW248" t="inlineStr">
        <is>
          <t>991002272319702656</t>
        </is>
      </c>
      <c r="AX248" t="inlineStr">
        <is>
          <t>991002272319702656</t>
        </is>
      </c>
      <c r="AY248" t="inlineStr">
        <is>
          <t>2266200220002656</t>
        </is>
      </c>
      <c r="AZ248" t="inlineStr">
        <is>
          <t>BOOK</t>
        </is>
      </c>
      <c r="BB248" t="inlineStr">
        <is>
          <t>9780030851797</t>
        </is>
      </c>
      <c r="BC248" t="inlineStr">
        <is>
          <t>32285001498178</t>
        </is>
      </c>
      <c r="BD248" t="inlineStr">
        <is>
          <t>893804411</t>
        </is>
      </c>
    </row>
    <row r="249">
      <c r="A249" t="inlineStr">
        <is>
          <t>No</t>
        </is>
      </c>
      <c r="B249" t="inlineStr">
        <is>
          <t>DC203 .C9 1972</t>
        </is>
      </c>
      <c r="C249" t="inlineStr">
        <is>
          <t>0                      DC 0203000C  9           1972</t>
        </is>
      </c>
      <c r="D249" t="inlineStr">
        <is>
          <t>Napoleon Bonaparte : an intimate biography.</t>
        </is>
      </c>
      <c r="F249" t="inlineStr">
        <is>
          <t>No</t>
        </is>
      </c>
      <c r="G249" t="inlineStr">
        <is>
          <t>1</t>
        </is>
      </c>
      <c r="H249" t="inlineStr">
        <is>
          <t>No</t>
        </is>
      </c>
      <c r="I249" t="inlineStr">
        <is>
          <t>No</t>
        </is>
      </c>
      <c r="J249" t="inlineStr">
        <is>
          <t>0</t>
        </is>
      </c>
      <c r="K249" t="inlineStr">
        <is>
          <t>Cronin, Vincent.</t>
        </is>
      </c>
      <c r="L249" t="inlineStr">
        <is>
          <t>New York : Morrow, 1972 [c1971]</t>
        </is>
      </c>
      <c r="M249" t="inlineStr">
        <is>
          <t>1972</t>
        </is>
      </c>
      <c r="O249" t="inlineStr">
        <is>
          <t>eng</t>
        </is>
      </c>
      <c r="P249" t="inlineStr">
        <is>
          <t>nyu</t>
        </is>
      </c>
      <c r="R249" t="inlineStr">
        <is>
          <t xml:space="preserve">DC </t>
        </is>
      </c>
      <c r="S249" t="n">
        <v>8</v>
      </c>
      <c r="T249" t="n">
        <v>8</v>
      </c>
      <c r="U249" t="inlineStr">
        <is>
          <t>2003-02-27</t>
        </is>
      </c>
      <c r="V249" t="inlineStr">
        <is>
          <t>2003-02-27</t>
        </is>
      </c>
      <c r="W249" t="inlineStr">
        <is>
          <t>1991-01-10</t>
        </is>
      </c>
      <c r="X249" t="inlineStr">
        <is>
          <t>1991-01-10</t>
        </is>
      </c>
      <c r="Y249" t="n">
        <v>937</v>
      </c>
      <c r="Z249" t="n">
        <v>914</v>
      </c>
      <c r="AA249" t="n">
        <v>954</v>
      </c>
      <c r="AB249" t="n">
        <v>9</v>
      </c>
      <c r="AC249" t="n">
        <v>10</v>
      </c>
      <c r="AD249" t="n">
        <v>30</v>
      </c>
      <c r="AE249" t="n">
        <v>31</v>
      </c>
      <c r="AF249" t="n">
        <v>13</v>
      </c>
      <c r="AG249" t="n">
        <v>13</v>
      </c>
      <c r="AH249" t="n">
        <v>8</v>
      </c>
      <c r="AI249" t="n">
        <v>8</v>
      </c>
      <c r="AJ249" t="n">
        <v>13</v>
      </c>
      <c r="AK249" t="n">
        <v>13</v>
      </c>
      <c r="AL249" t="n">
        <v>5</v>
      </c>
      <c r="AM249" t="n">
        <v>6</v>
      </c>
      <c r="AN249" t="n">
        <v>0</v>
      </c>
      <c r="AO249" t="n">
        <v>0</v>
      </c>
      <c r="AP249" t="inlineStr">
        <is>
          <t>No</t>
        </is>
      </c>
      <c r="AQ249" t="inlineStr">
        <is>
          <t>Yes</t>
        </is>
      </c>
      <c r="AR249">
        <f>HYPERLINK("http://catalog.hathitrust.org/Record/000603759","HathiTrust Record")</f>
        <v/>
      </c>
      <c r="AS249">
        <f>HYPERLINK("https://creighton-primo.hosted.exlibrisgroup.com/primo-explore/search?tab=default_tab&amp;search_scope=EVERYTHING&amp;vid=01CRU&amp;lang=en_US&amp;offset=0&amp;query=any,contains,991002173329702656","Catalog Record")</f>
        <v/>
      </c>
      <c r="AT249">
        <f>HYPERLINK("http://www.worldcat.org/oclc/277444","WorldCat Record")</f>
        <v/>
      </c>
      <c r="AU249" t="inlineStr">
        <is>
          <t>3901470885:eng</t>
        </is>
      </c>
      <c r="AV249" t="inlineStr">
        <is>
          <t>277444</t>
        </is>
      </c>
      <c r="AW249" t="inlineStr">
        <is>
          <t>991002173329702656</t>
        </is>
      </c>
      <c r="AX249" t="inlineStr">
        <is>
          <t>991002173329702656</t>
        </is>
      </c>
      <c r="AY249" t="inlineStr">
        <is>
          <t>2260290810002656</t>
        </is>
      </c>
      <c r="AZ249" t="inlineStr">
        <is>
          <t>BOOK</t>
        </is>
      </c>
      <c r="BC249" t="inlineStr">
        <is>
          <t>32285000430412</t>
        </is>
      </c>
      <c r="BD249" t="inlineStr">
        <is>
          <t>893885932</t>
        </is>
      </c>
    </row>
    <row r="250">
      <c r="A250" t="inlineStr">
        <is>
          <t>No</t>
        </is>
      </c>
      <c r="B250" t="inlineStr">
        <is>
          <t>DC203 .E4 1997</t>
        </is>
      </c>
      <c r="C250" t="inlineStr">
        <is>
          <t>0                      DC 0203000E  4           1997</t>
        </is>
      </c>
      <c r="D250" t="inlineStr">
        <is>
          <t>Napoleon / Geoffrey Ellis.</t>
        </is>
      </c>
      <c r="F250" t="inlineStr">
        <is>
          <t>No</t>
        </is>
      </c>
      <c r="G250" t="inlineStr">
        <is>
          <t>1</t>
        </is>
      </c>
      <c r="H250" t="inlineStr">
        <is>
          <t>No</t>
        </is>
      </c>
      <c r="I250" t="inlineStr">
        <is>
          <t>No</t>
        </is>
      </c>
      <c r="J250" t="inlineStr">
        <is>
          <t>0</t>
        </is>
      </c>
      <c r="K250" t="inlineStr">
        <is>
          <t>Ellis, Geoffrey James.</t>
        </is>
      </c>
      <c r="L250" t="inlineStr">
        <is>
          <t>London ; New York : Longman, 1997.</t>
        </is>
      </c>
      <c r="M250" t="inlineStr">
        <is>
          <t>1997</t>
        </is>
      </c>
      <c r="O250" t="inlineStr">
        <is>
          <t>eng</t>
        </is>
      </c>
      <c r="P250" t="inlineStr">
        <is>
          <t>enk</t>
        </is>
      </c>
      <c r="Q250" t="inlineStr">
        <is>
          <t>Profiles in power</t>
        </is>
      </c>
      <c r="R250" t="inlineStr">
        <is>
          <t xml:space="preserve">DC </t>
        </is>
      </c>
      <c r="S250" t="n">
        <v>9</v>
      </c>
      <c r="T250" t="n">
        <v>9</v>
      </c>
      <c r="U250" t="inlineStr">
        <is>
          <t>2009-10-14</t>
        </is>
      </c>
      <c r="V250" t="inlineStr">
        <is>
          <t>2009-10-14</t>
        </is>
      </c>
      <c r="W250" t="inlineStr">
        <is>
          <t>1997-02-19</t>
        </is>
      </c>
      <c r="X250" t="inlineStr">
        <is>
          <t>1997-02-19</t>
        </is>
      </c>
      <c r="Y250" t="n">
        <v>315</v>
      </c>
      <c r="Z250" t="n">
        <v>231</v>
      </c>
      <c r="AA250" t="n">
        <v>333</v>
      </c>
      <c r="AB250" t="n">
        <v>1</v>
      </c>
      <c r="AC250" t="n">
        <v>1</v>
      </c>
      <c r="AD250" t="n">
        <v>10</v>
      </c>
      <c r="AE250" t="n">
        <v>12</v>
      </c>
      <c r="AF250" t="n">
        <v>4</v>
      </c>
      <c r="AG250" t="n">
        <v>6</v>
      </c>
      <c r="AH250" t="n">
        <v>6</v>
      </c>
      <c r="AI250" t="n">
        <v>6</v>
      </c>
      <c r="AJ250" t="n">
        <v>5</v>
      </c>
      <c r="AK250" t="n">
        <v>5</v>
      </c>
      <c r="AL250" t="n">
        <v>0</v>
      </c>
      <c r="AM250" t="n">
        <v>0</v>
      </c>
      <c r="AN250" t="n">
        <v>0</v>
      </c>
      <c r="AO250" t="n">
        <v>0</v>
      </c>
      <c r="AP250" t="inlineStr">
        <is>
          <t>No</t>
        </is>
      </c>
      <c r="AQ250" t="inlineStr">
        <is>
          <t>Yes</t>
        </is>
      </c>
      <c r="AR250">
        <f>HYPERLINK("http://catalog.hathitrust.org/Record/003118367","HathiTrust Record")</f>
        <v/>
      </c>
      <c r="AS250">
        <f>HYPERLINK("https://creighton-primo.hosted.exlibrisgroup.com/primo-explore/search?tab=default_tab&amp;search_scope=EVERYTHING&amp;vid=01CRU&amp;lang=en_US&amp;offset=0&amp;query=any,contains,991002677829702656","Catalog Record")</f>
        <v/>
      </c>
      <c r="AT250">
        <f>HYPERLINK("http://www.worldcat.org/oclc/35008146","WorldCat Record")</f>
        <v/>
      </c>
      <c r="AU250" t="inlineStr">
        <is>
          <t>6594997:eng</t>
        </is>
      </c>
      <c r="AV250" t="inlineStr">
        <is>
          <t>35008146</t>
        </is>
      </c>
      <c r="AW250" t="inlineStr">
        <is>
          <t>991002677829702656</t>
        </is>
      </c>
      <c r="AX250" t="inlineStr">
        <is>
          <t>991002677829702656</t>
        </is>
      </c>
      <c r="AY250" t="inlineStr">
        <is>
          <t>2262382320002656</t>
        </is>
      </c>
      <c r="AZ250" t="inlineStr">
        <is>
          <t>BOOK</t>
        </is>
      </c>
      <c r="BB250" t="inlineStr">
        <is>
          <t>9780582025479</t>
        </is>
      </c>
      <c r="BC250" t="inlineStr">
        <is>
          <t>32285002431863</t>
        </is>
      </c>
      <c r="BD250" t="inlineStr">
        <is>
          <t>893523913</t>
        </is>
      </c>
    </row>
    <row r="251">
      <c r="A251" t="inlineStr">
        <is>
          <t>No</t>
        </is>
      </c>
      <c r="B251" t="inlineStr">
        <is>
          <t>DC203 .F5 1913a</t>
        </is>
      </c>
      <c r="C251" t="inlineStr">
        <is>
          <t>0                      DC 0203000F  5           1913a</t>
        </is>
      </c>
      <c r="D251" t="inlineStr">
        <is>
          <t>Napoleon / by Herbert Fisher.</t>
        </is>
      </c>
      <c r="F251" t="inlineStr">
        <is>
          <t>No</t>
        </is>
      </c>
      <c r="G251" t="inlineStr">
        <is>
          <t>1</t>
        </is>
      </c>
      <c r="H251" t="inlineStr">
        <is>
          <t>No</t>
        </is>
      </c>
      <c r="I251" t="inlineStr">
        <is>
          <t>No</t>
        </is>
      </c>
      <c r="J251" t="inlineStr">
        <is>
          <t>0</t>
        </is>
      </c>
      <c r="K251" t="inlineStr">
        <is>
          <t>Fisher, H. A. L. (Herbert Albert Laurens), 1865-1940.</t>
        </is>
      </c>
      <c r="L251" t="inlineStr">
        <is>
          <t>New York : H. Holt and Company, c1913]</t>
        </is>
      </c>
      <c r="M251" t="inlineStr">
        <is>
          <t>1913</t>
        </is>
      </c>
      <c r="O251" t="inlineStr">
        <is>
          <t>eng</t>
        </is>
      </c>
      <c r="P251" t="inlineStr">
        <is>
          <t>nyu</t>
        </is>
      </c>
      <c r="Q251" t="inlineStr">
        <is>
          <t>Home university library of modern knowledge ; no. 57</t>
        </is>
      </c>
      <c r="R251" t="inlineStr">
        <is>
          <t xml:space="preserve">DC </t>
        </is>
      </c>
      <c r="S251" t="n">
        <v>5</v>
      </c>
      <c r="T251" t="n">
        <v>5</v>
      </c>
      <c r="U251" t="inlineStr">
        <is>
          <t>2001-04-02</t>
        </is>
      </c>
      <c r="V251" t="inlineStr">
        <is>
          <t>2001-04-02</t>
        </is>
      </c>
      <c r="W251" t="inlineStr">
        <is>
          <t>1993-03-16</t>
        </is>
      </c>
      <c r="X251" t="inlineStr">
        <is>
          <t>1993-03-16</t>
        </is>
      </c>
      <c r="Y251" t="n">
        <v>294</v>
      </c>
      <c r="Z251" t="n">
        <v>279</v>
      </c>
      <c r="AA251" t="n">
        <v>654</v>
      </c>
      <c r="AB251" t="n">
        <v>3</v>
      </c>
      <c r="AC251" t="n">
        <v>6</v>
      </c>
      <c r="AD251" t="n">
        <v>15</v>
      </c>
      <c r="AE251" t="n">
        <v>36</v>
      </c>
      <c r="AF251" t="n">
        <v>8</v>
      </c>
      <c r="AG251" t="n">
        <v>15</v>
      </c>
      <c r="AH251" t="n">
        <v>4</v>
      </c>
      <c r="AI251" t="n">
        <v>7</v>
      </c>
      <c r="AJ251" t="n">
        <v>4</v>
      </c>
      <c r="AK251" t="n">
        <v>18</v>
      </c>
      <c r="AL251" t="n">
        <v>2</v>
      </c>
      <c r="AM251" t="n">
        <v>5</v>
      </c>
      <c r="AN251" t="n">
        <v>0</v>
      </c>
      <c r="AO251" t="n">
        <v>0</v>
      </c>
      <c r="AP251" t="inlineStr">
        <is>
          <t>Yes</t>
        </is>
      </c>
      <c r="AQ251" t="inlineStr">
        <is>
          <t>No</t>
        </is>
      </c>
      <c r="AR251">
        <f>HYPERLINK("http://catalog.hathitrust.org/Record/000645293","HathiTrust Record")</f>
        <v/>
      </c>
      <c r="AS251">
        <f>HYPERLINK("https://creighton-primo.hosted.exlibrisgroup.com/primo-explore/search?tab=default_tab&amp;search_scope=EVERYTHING&amp;vid=01CRU&amp;lang=en_US&amp;offset=0&amp;query=any,contains,991003244699702656","Catalog Record")</f>
        <v/>
      </c>
      <c r="AT251">
        <f>HYPERLINK("http://www.worldcat.org/oclc/767632","WorldCat Record")</f>
        <v/>
      </c>
      <c r="AU251" t="inlineStr">
        <is>
          <t>1663371:eng</t>
        </is>
      </c>
      <c r="AV251" t="inlineStr">
        <is>
          <t>767632</t>
        </is>
      </c>
      <c r="AW251" t="inlineStr">
        <is>
          <t>991003244699702656</t>
        </is>
      </c>
      <c r="AX251" t="inlineStr">
        <is>
          <t>991003244699702656</t>
        </is>
      </c>
      <c r="AY251" t="inlineStr">
        <is>
          <t>2267429890002656</t>
        </is>
      </c>
      <c r="AZ251" t="inlineStr">
        <is>
          <t>BOOK</t>
        </is>
      </c>
      <c r="BC251" t="inlineStr">
        <is>
          <t>32285001498095</t>
        </is>
      </c>
      <c r="BD251" t="inlineStr">
        <is>
          <t>893227851</t>
        </is>
      </c>
    </row>
    <row r="252">
      <c r="A252" t="inlineStr">
        <is>
          <t>No</t>
        </is>
      </c>
      <c r="B252" t="inlineStr">
        <is>
          <t>DC203 .H8</t>
        </is>
      </c>
      <c r="C252" t="inlineStr">
        <is>
          <t>0                      DC 0203000H  8</t>
        </is>
      </c>
      <c r="D252" t="inlineStr">
        <is>
          <t>Napoleon in Victory and defeat, by T. M. Hunter. Maps drawn by E. H. Ellwand.</t>
        </is>
      </c>
      <c r="F252" t="inlineStr">
        <is>
          <t>No</t>
        </is>
      </c>
      <c r="G252" t="inlineStr">
        <is>
          <t>1</t>
        </is>
      </c>
      <c r="H252" t="inlineStr">
        <is>
          <t>No</t>
        </is>
      </c>
      <c r="I252" t="inlineStr">
        <is>
          <t>No</t>
        </is>
      </c>
      <c r="J252" t="inlineStr">
        <is>
          <t>0</t>
        </is>
      </c>
      <c r="K252" t="inlineStr">
        <is>
          <t>Hunter, T. M.</t>
        </is>
      </c>
      <c r="L252" t="inlineStr">
        <is>
          <t>[Ottawa] Directorate of Military Training, Army Headquarters [1964].</t>
        </is>
      </c>
      <c r="M252" t="inlineStr">
        <is>
          <t>1964</t>
        </is>
      </c>
      <c r="O252" t="inlineStr">
        <is>
          <t>eng</t>
        </is>
      </c>
      <c r="P252" t="inlineStr">
        <is>
          <t>onc</t>
        </is>
      </c>
      <c r="R252" t="inlineStr">
        <is>
          <t xml:space="preserve">DC </t>
        </is>
      </c>
      <c r="S252" t="n">
        <v>2</v>
      </c>
      <c r="T252" t="n">
        <v>2</v>
      </c>
      <c r="U252" t="inlineStr">
        <is>
          <t>1995-03-22</t>
        </is>
      </c>
      <c r="V252" t="inlineStr">
        <is>
          <t>1995-03-22</t>
        </is>
      </c>
      <c r="W252" t="inlineStr">
        <is>
          <t>1992-03-31</t>
        </is>
      </c>
      <c r="X252" t="inlineStr">
        <is>
          <t>1992-03-31</t>
        </is>
      </c>
      <c r="Y252" t="n">
        <v>126</v>
      </c>
      <c r="Z252" t="n">
        <v>66</v>
      </c>
      <c r="AA252" t="n">
        <v>68</v>
      </c>
      <c r="AB252" t="n">
        <v>1</v>
      </c>
      <c r="AC252" t="n">
        <v>1</v>
      </c>
      <c r="AD252" t="n">
        <v>5</v>
      </c>
      <c r="AE252" t="n">
        <v>5</v>
      </c>
      <c r="AF252" t="n">
        <v>0</v>
      </c>
      <c r="AG252" t="n">
        <v>0</v>
      </c>
      <c r="AH252" t="n">
        <v>2</v>
      </c>
      <c r="AI252" t="n">
        <v>2</v>
      </c>
      <c r="AJ252" t="n">
        <v>4</v>
      </c>
      <c r="AK252" t="n">
        <v>4</v>
      </c>
      <c r="AL252" t="n">
        <v>0</v>
      </c>
      <c r="AM252" t="n">
        <v>0</v>
      </c>
      <c r="AN252" t="n">
        <v>0</v>
      </c>
      <c r="AO252" t="n">
        <v>0</v>
      </c>
      <c r="AP252" t="inlineStr">
        <is>
          <t>No</t>
        </is>
      </c>
      <c r="AQ252" t="inlineStr">
        <is>
          <t>Yes</t>
        </is>
      </c>
      <c r="AR252">
        <f>HYPERLINK("http://catalog.hathitrust.org/Record/008446380","HathiTrust Record")</f>
        <v/>
      </c>
      <c r="AS252">
        <f>HYPERLINK("https://creighton-primo.hosted.exlibrisgroup.com/primo-explore/search?tab=default_tab&amp;search_scope=EVERYTHING&amp;vid=01CRU&amp;lang=en_US&amp;offset=0&amp;query=any,contains,991004069589702656","Catalog Record")</f>
        <v/>
      </c>
      <c r="AT252">
        <f>HYPERLINK("http://www.worldcat.org/oclc/2296380","WorldCat Record")</f>
        <v/>
      </c>
      <c r="AU252" t="inlineStr">
        <is>
          <t>4771753:eng</t>
        </is>
      </c>
      <c r="AV252" t="inlineStr">
        <is>
          <t>2296380</t>
        </is>
      </c>
      <c r="AW252" t="inlineStr">
        <is>
          <t>991004069589702656</t>
        </is>
      </c>
      <c r="AX252" t="inlineStr">
        <is>
          <t>991004069589702656</t>
        </is>
      </c>
      <c r="AY252" t="inlineStr">
        <is>
          <t>2265128210002656</t>
        </is>
      </c>
      <c r="AZ252" t="inlineStr">
        <is>
          <t>BOOK</t>
        </is>
      </c>
      <c r="BC252" t="inlineStr">
        <is>
          <t>32285000529940</t>
        </is>
      </c>
      <c r="BD252" t="inlineStr">
        <is>
          <t>893624313</t>
        </is>
      </c>
    </row>
    <row r="253">
      <c r="A253" t="inlineStr">
        <is>
          <t>No</t>
        </is>
      </c>
      <c r="B253" t="inlineStr">
        <is>
          <t>DC203 .J68</t>
        </is>
      </c>
      <c r="C253" t="inlineStr">
        <is>
          <t>0                      DC 0203000J  68</t>
        </is>
      </c>
      <c r="D253" t="inlineStr">
        <is>
          <t>Napoleon : man and myth / [by] R. Ben Jones.</t>
        </is>
      </c>
      <c r="F253" t="inlineStr">
        <is>
          <t>No</t>
        </is>
      </c>
      <c r="G253" t="inlineStr">
        <is>
          <t>1</t>
        </is>
      </c>
      <c r="H253" t="inlineStr">
        <is>
          <t>No</t>
        </is>
      </c>
      <c r="I253" t="inlineStr">
        <is>
          <t>No</t>
        </is>
      </c>
      <c r="J253" t="inlineStr">
        <is>
          <t>0</t>
        </is>
      </c>
      <c r="K253" t="inlineStr">
        <is>
          <t>Jones, R. Ben.</t>
        </is>
      </c>
      <c r="L253" t="inlineStr">
        <is>
          <t>New York : Holmes &amp; Meier, 1977.</t>
        </is>
      </c>
      <c r="M253" t="inlineStr">
        <is>
          <t>1977</t>
        </is>
      </c>
      <c r="O253" t="inlineStr">
        <is>
          <t>eng</t>
        </is>
      </c>
      <c r="P253" t="inlineStr">
        <is>
          <t>nyu</t>
        </is>
      </c>
      <c r="R253" t="inlineStr">
        <is>
          <t xml:space="preserve">DC </t>
        </is>
      </c>
      <c r="S253" t="n">
        <v>12</v>
      </c>
      <c r="T253" t="n">
        <v>12</v>
      </c>
      <c r="U253" t="inlineStr">
        <is>
          <t>2006-11-12</t>
        </is>
      </c>
      <c r="V253" t="inlineStr">
        <is>
          <t>2006-11-12</t>
        </is>
      </c>
      <c r="W253" t="inlineStr">
        <is>
          <t>1990-03-12</t>
        </is>
      </c>
      <c r="X253" t="inlineStr">
        <is>
          <t>1990-03-12</t>
        </is>
      </c>
      <c r="Y253" t="n">
        <v>496</v>
      </c>
      <c r="Z253" t="n">
        <v>360</v>
      </c>
      <c r="AA253" t="n">
        <v>546</v>
      </c>
      <c r="AB253" t="n">
        <v>3</v>
      </c>
      <c r="AC253" t="n">
        <v>4</v>
      </c>
      <c r="AD253" t="n">
        <v>18</v>
      </c>
      <c r="AE253" t="n">
        <v>29</v>
      </c>
      <c r="AF253" t="n">
        <v>5</v>
      </c>
      <c r="AG253" t="n">
        <v>11</v>
      </c>
      <c r="AH253" t="n">
        <v>6</v>
      </c>
      <c r="AI253" t="n">
        <v>10</v>
      </c>
      <c r="AJ253" t="n">
        <v>9</v>
      </c>
      <c r="AK253" t="n">
        <v>14</v>
      </c>
      <c r="AL253" t="n">
        <v>2</v>
      </c>
      <c r="AM253" t="n">
        <v>3</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HYPERLINK("https://creighton-primo.hosted.exlibrisgroup.com/primo-explore/search?tab=default_tab&amp;search_scope=EVERYTHING&amp;vid=01CRU&amp;lang=en_US&amp;offset=0&amp;query=any,contains,991004488129702656","Catalog Record")</f>
        <v/>
      </c>
      <c r="AT253">
        <f>HYPERLINK("http://www.worldcat.org/oclc/3650078","WorldCat Record")</f>
        <v/>
      </c>
      <c r="AU253" t="inlineStr">
        <is>
          <t>505656:eng</t>
        </is>
      </c>
      <c r="AV253" t="inlineStr">
        <is>
          <t>3650078</t>
        </is>
      </c>
      <c r="AW253" t="inlineStr">
        <is>
          <t>991004488129702656</t>
        </is>
      </c>
      <c r="AX253" t="inlineStr">
        <is>
          <t>991004488129702656</t>
        </is>
      </c>
      <c r="AY253" t="inlineStr">
        <is>
          <t>2261097090002656</t>
        </is>
      </c>
      <c r="AZ253" t="inlineStr">
        <is>
          <t>BOOK</t>
        </is>
      </c>
      <c r="BB253" t="inlineStr">
        <is>
          <t>9780340175545</t>
        </is>
      </c>
      <c r="BC253" t="inlineStr">
        <is>
          <t>32285000079128</t>
        </is>
      </c>
      <c r="BD253" t="inlineStr">
        <is>
          <t>893628185</t>
        </is>
      </c>
    </row>
    <row r="254">
      <c r="A254" t="inlineStr">
        <is>
          <t>No</t>
        </is>
      </c>
      <c r="B254" t="inlineStr">
        <is>
          <t>DC203 .J84</t>
        </is>
      </c>
      <c r="C254" t="inlineStr">
        <is>
          <t>0                      DC 0203000J  84</t>
        </is>
      </c>
      <c r="D254" t="inlineStr">
        <is>
          <t>The true Napoleon : a cyclopedia of events in his life / by Charles Josselyn.</t>
        </is>
      </c>
      <c r="F254" t="inlineStr">
        <is>
          <t>No</t>
        </is>
      </c>
      <c r="G254" t="inlineStr">
        <is>
          <t>1</t>
        </is>
      </c>
      <c r="H254" t="inlineStr">
        <is>
          <t>No</t>
        </is>
      </c>
      <c r="I254" t="inlineStr">
        <is>
          <t>No</t>
        </is>
      </c>
      <c r="J254" t="inlineStr">
        <is>
          <t>0</t>
        </is>
      </c>
      <c r="K254" t="inlineStr">
        <is>
          <t>Josselyn, Charles.</t>
        </is>
      </c>
      <c r="L254" t="inlineStr">
        <is>
          <t>New York : R. H. Russell, 1902.</t>
        </is>
      </c>
      <c r="M254" t="inlineStr">
        <is>
          <t>1902</t>
        </is>
      </c>
      <c r="O254" t="inlineStr">
        <is>
          <t>eng</t>
        </is>
      </c>
      <c r="P254" t="inlineStr">
        <is>
          <t xml:space="preserve">xx </t>
        </is>
      </c>
      <c r="R254" t="inlineStr">
        <is>
          <t xml:space="preserve">DC </t>
        </is>
      </c>
      <c r="S254" t="n">
        <v>2</v>
      </c>
      <c r="T254" t="n">
        <v>2</v>
      </c>
      <c r="U254" t="inlineStr">
        <is>
          <t>2003-11-12</t>
        </is>
      </c>
      <c r="V254" t="inlineStr">
        <is>
          <t>2003-11-12</t>
        </is>
      </c>
      <c r="W254" t="inlineStr">
        <is>
          <t>1993-03-09</t>
        </is>
      </c>
      <c r="X254" t="inlineStr">
        <is>
          <t>1993-03-09</t>
        </is>
      </c>
      <c r="Y254" t="n">
        <v>60</v>
      </c>
      <c r="Z254" t="n">
        <v>58</v>
      </c>
      <c r="AA254" t="n">
        <v>67</v>
      </c>
      <c r="AB254" t="n">
        <v>1</v>
      </c>
      <c r="AC254" t="n">
        <v>1</v>
      </c>
      <c r="AD254" t="n">
        <v>3</v>
      </c>
      <c r="AE254" t="n">
        <v>3</v>
      </c>
      <c r="AF254" t="n">
        <v>0</v>
      </c>
      <c r="AG254" t="n">
        <v>0</v>
      </c>
      <c r="AH254" t="n">
        <v>1</v>
      </c>
      <c r="AI254" t="n">
        <v>1</v>
      </c>
      <c r="AJ254" t="n">
        <v>2</v>
      </c>
      <c r="AK254" t="n">
        <v>2</v>
      </c>
      <c r="AL254" t="n">
        <v>0</v>
      </c>
      <c r="AM254" t="n">
        <v>0</v>
      </c>
      <c r="AN254" t="n">
        <v>0</v>
      </c>
      <c r="AO254" t="n">
        <v>0</v>
      </c>
      <c r="AP254" t="inlineStr">
        <is>
          <t>Yes</t>
        </is>
      </c>
      <c r="AQ254" t="inlineStr">
        <is>
          <t>No</t>
        </is>
      </c>
      <c r="AR254">
        <f>HYPERLINK("http://catalog.hathitrust.org/Record/006560738","HathiTrust Record")</f>
        <v/>
      </c>
      <c r="AS254">
        <f>HYPERLINK("https://creighton-primo.hosted.exlibrisgroup.com/primo-explore/search?tab=default_tab&amp;search_scope=EVERYTHING&amp;vid=01CRU&amp;lang=en_US&amp;offset=0&amp;query=any,contains,991004183869702656","Catalog Record")</f>
        <v/>
      </c>
      <c r="AT254">
        <f>HYPERLINK("http://www.worldcat.org/oclc/2612834","WorldCat Record")</f>
        <v/>
      </c>
      <c r="AU254" t="inlineStr">
        <is>
          <t>431038340:eng</t>
        </is>
      </c>
      <c r="AV254" t="inlineStr">
        <is>
          <t>2612834</t>
        </is>
      </c>
      <c r="AW254" t="inlineStr">
        <is>
          <t>991004183869702656</t>
        </is>
      </c>
      <c r="AX254" t="inlineStr">
        <is>
          <t>991004183869702656</t>
        </is>
      </c>
      <c r="AY254" t="inlineStr">
        <is>
          <t>2271410980002656</t>
        </is>
      </c>
      <c r="AZ254" t="inlineStr">
        <is>
          <t>BOOK</t>
        </is>
      </c>
      <c r="BC254" t="inlineStr">
        <is>
          <t>32285001570695</t>
        </is>
      </c>
      <c r="BD254" t="inlineStr">
        <is>
          <t>893882154</t>
        </is>
      </c>
    </row>
    <row r="255">
      <c r="A255" t="inlineStr">
        <is>
          <t>No</t>
        </is>
      </c>
      <c r="B255" t="inlineStr">
        <is>
          <t>DC203 .L49513 2005</t>
        </is>
      </c>
      <c r="C255" t="inlineStr">
        <is>
          <t>0                      DC 0203000L  49513       2005</t>
        </is>
      </c>
      <c r="D255" t="inlineStr">
        <is>
          <t>Napoléon : "my ambition was great" / Thierry Lentz.</t>
        </is>
      </c>
      <c r="F255" t="inlineStr">
        <is>
          <t>No</t>
        </is>
      </c>
      <c r="G255" t="inlineStr">
        <is>
          <t>1</t>
        </is>
      </c>
      <c r="H255" t="inlineStr">
        <is>
          <t>No</t>
        </is>
      </c>
      <c r="I255" t="inlineStr">
        <is>
          <t>No</t>
        </is>
      </c>
      <c r="J255" t="inlineStr">
        <is>
          <t>0</t>
        </is>
      </c>
      <c r="K255" t="inlineStr">
        <is>
          <t>Lentz, Thierry.</t>
        </is>
      </c>
      <c r="L255" t="inlineStr">
        <is>
          <t>New York : Harry N. Abrams, 2005.</t>
        </is>
      </c>
      <c r="M255" t="inlineStr">
        <is>
          <t>2005</t>
        </is>
      </c>
      <c r="O255" t="inlineStr">
        <is>
          <t>eng</t>
        </is>
      </c>
      <c r="P255" t="inlineStr">
        <is>
          <t>nyu</t>
        </is>
      </c>
      <c r="Q255" t="inlineStr">
        <is>
          <t>Discoveries</t>
        </is>
      </c>
      <c r="R255" t="inlineStr">
        <is>
          <t xml:space="preserve">DC </t>
        </is>
      </c>
      <c r="S255" t="n">
        <v>5</v>
      </c>
      <c r="T255" t="n">
        <v>5</v>
      </c>
      <c r="U255" t="inlineStr">
        <is>
          <t>2009-10-14</t>
        </is>
      </c>
      <c r="V255" t="inlineStr">
        <is>
          <t>2009-10-14</t>
        </is>
      </c>
      <c r="W255" t="inlineStr">
        <is>
          <t>2006-04-26</t>
        </is>
      </c>
      <c r="X255" t="inlineStr">
        <is>
          <t>2006-04-26</t>
        </is>
      </c>
      <c r="Y255" t="n">
        <v>75</v>
      </c>
      <c r="Z255" t="n">
        <v>70</v>
      </c>
      <c r="AA255" t="n">
        <v>72</v>
      </c>
      <c r="AB255" t="n">
        <v>1</v>
      </c>
      <c r="AC255" t="n">
        <v>1</v>
      </c>
      <c r="AD255" t="n">
        <v>0</v>
      </c>
      <c r="AE255" t="n">
        <v>0</v>
      </c>
      <c r="AF255" t="n">
        <v>0</v>
      </c>
      <c r="AG255" t="n">
        <v>0</v>
      </c>
      <c r="AH255" t="n">
        <v>0</v>
      </c>
      <c r="AI255" t="n">
        <v>0</v>
      </c>
      <c r="AJ255" t="n">
        <v>0</v>
      </c>
      <c r="AK255" t="n">
        <v>0</v>
      </c>
      <c r="AL255" t="n">
        <v>0</v>
      </c>
      <c r="AM255" t="n">
        <v>0</v>
      </c>
      <c r="AN255" t="n">
        <v>0</v>
      </c>
      <c r="AO255" t="n">
        <v>0</v>
      </c>
      <c r="AP255" t="inlineStr">
        <is>
          <t>No</t>
        </is>
      </c>
      <c r="AQ255" t="inlineStr">
        <is>
          <t>Yes</t>
        </is>
      </c>
      <c r="AR255">
        <f>HYPERLINK("http://catalog.hathitrust.org/Record/008446382","HathiTrust Record")</f>
        <v/>
      </c>
      <c r="AS255">
        <f>HYPERLINK("https://creighton-primo.hosted.exlibrisgroup.com/primo-explore/search?tab=default_tab&amp;search_scope=EVERYTHING&amp;vid=01CRU&amp;lang=en_US&amp;offset=0&amp;query=any,contains,991004800939702656","Catalog Record")</f>
        <v/>
      </c>
      <c r="AT255">
        <f>HYPERLINK("http://www.worldcat.org/oclc/56753206","WorldCat Record")</f>
        <v/>
      </c>
      <c r="AU255" t="inlineStr">
        <is>
          <t>3901332421:eng</t>
        </is>
      </c>
      <c r="AV255" t="inlineStr">
        <is>
          <t>56753206</t>
        </is>
      </c>
      <c r="AW255" t="inlineStr">
        <is>
          <t>991004800939702656</t>
        </is>
      </c>
      <c r="AX255" t="inlineStr">
        <is>
          <t>991004800939702656</t>
        </is>
      </c>
      <c r="AY255" t="inlineStr">
        <is>
          <t>2271316400002656</t>
        </is>
      </c>
      <c r="AZ255" t="inlineStr">
        <is>
          <t>BOOK</t>
        </is>
      </c>
      <c r="BB255" t="inlineStr">
        <is>
          <t>9780810992085</t>
        </is>
      </c>
      <c r="BC255" t="inlineStr">
        <is>
          <t>32285005182778</t>
        </is>
      </c>
      <c r="BD255" t="inlineStr">
        <is>
          <t>893889309</t>
        </is>
      </c>
    </row>
    <row r="256">
      <c r="A256" t="inlineStr">
        <is>
          <t>No</t>
        </is>
      </c>
      <c r="B256" t="inlineStr">
        <is>
          <t>DC203 .M36 1987</t>
        </is>
      </c>
      <c r="C256" t="inlineStr">
        <is>
          <t>0                      DC 0203000M  36          1987</t>
        </is>
      </c>
      <c r="D256" t="inlineStr">
        <is>
          <t>The eagle in splendour : Napoleon I and his court / Philip Mansel.</t>
        </is>
      </c>
      <c r="F256" t="inlineStr">
        <is>
          <t>No</t>
        </is>
      </c>
      <c r="G256" t="inlineStr">
        <is>
          <t>1</t>
        </is>
      </c>
      <c r="H256" t="inlineStr">
        <is>
          <t>No</t>
        </is>
      </c>
      <c r="I256" t="inlineStr">
        <is>
          <t>No</t>
        </is>
      </c>
      <c r="J256" t="inlineStr">
        <is>
          <t>0</t>
        </is>
      </c>
      <c r="K256" t="inlineStr">
        <is>
          <t>Mansel, Philip, 1951-</t>
        </is>
      </c>
      <c r="L256" t="inlineStr">
        <is>
          <t>London : George Philip, 1987.</t>
        </is>
      </c>
      <c r="M256" t="inlineStr">
        <is>
          <t>1987</t>
        </is>
      </c>
      <c r="O256" t="inlineStr">
        <is>
          <t>eng</t>
        </is>
      </c>
      <c r="P256" t="inlineStr">
        <is>
          <t>enk</t>
        </is>
      </c>
      <c r="R256" t="inlineStr">
        <is>
          <t xml:space="preserve">DC </t>
        </is>
      </c>
      <c r="S256" t="n">
        <v>4</v>
      </c>
      <c r="T256" t="n">
        <v>4</v>
      </c>
      <c r="U256" t="inlineStr">
        <is>
          <t>2002-08-21</t>
        </is>
      </c>
      <c r="V256" t="inlineStr">
        <is>
          <t>2002-08-21</t>
        </is>
      </c>
      <c r="W256" t="inlineStr">
        <is>
          <t>1990-12-13</t>
        </is>
      </c>
      <c r="X256" t="inlineStr">
        <is>
          <t>1990-12-13</t>
        </is>
      </c>
      <c r="Y256" t="n">
        <v>73</v>
      </c>
      <c r="Z256" t="n">
        <v>46</v>
      </c>
      <c r="AA256" t="n">
        <v>150</v>
      </c>
      <c r="AB256" t="n">
        <v>3</v>
      </c>
      <c r="AC256" t="n">
        <v>3</v>
      </c>
      <c r="AD256" t="n">
        <v>2</v>
      </c>
      <c r="AE256" t="n">
        <v>7</v>
      </c>
      <c r="AF256" t="n">
        <v>0</v>
      </c>
      <c r="AG256" t="n">
        <v>2</v>
      </c>
      <c r="AH256" t="n">
        <v>0</v>
      </c>
      <c r="AI256" t="n">
        <v>2</v>
      </c>
      <c r="AJ256" t="n">
        <v>0</v>
      </c>
      <c r="AK256" t="n">
        <v>3</v>
      </c>
      <c r="AL256" t="n">
        <v>2</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HYPERLINK("https://creighton-primo.hosted.exlibrisgroup.com/primo-explore/search?tab=default_tab&amp;search_scope=EVERYTHING&amp;vid=01CRU&amp;lang=en_US&amp;offset=0&amp;query=any,contains,991000953729702656","Catalog Record")</f>
        <v/>
      </c>
      <c r="AT256">
        <f>HYPERLINK("http://www.worldcat.org/oclc/59258153","WorldCat Record")</f>
        <v/>
      </c>
      <c r="AU256" t="inlineStr">
        <is>
          <t>475194471:eng</t>
        </is>
      </c>
      <c r="AV256" t="inlineStr">
        <is>
          <t>59258153</t>
        </is>
      </c>
      <c r="AW256" t="inlineStr">
        <is>
          <t>991000953729702656</t>
        </is>
      </c>
      <c r="AX256" t="inlineStr">
        <is>
          <t>991000953729702656</t>
        </is>
      </c>
      <c r="AY256" t="inlineStr">
        <is>
          <t>2259361300002656</t>
        </is>
      </c>
      <c r="AZ256" t="inlineStr">
        <is>
          <t>BOOK</t>
        </is>
      </c>
      <c r="BB256" t="inlineStr">
        <is>
          <t>9780540011216</t>
        </is>
      </c>
      <c r="BC256" t="inlineStr">
        <is>
          <t>32285000394576</t>
        </is>
      </c>
      <c r="BD256" t="inlineStr">
        <is>
          <t>893321519</t>
        </is>
      </c>
    </row>
    <row r="257">
      <c r="A257" t="inlineStr">
        <is>
          <t>No</t>
        </is>
      </c>
      <c r="B257" t="inlineStr">
        <is>
          <t>DC203 .M49 2002</t>
        </is>
      </c>
      <c r="C257" t="inlineStr">
        <is>
          <t>0                      DC 0203000M  49          2002</t>
        </is>
      </c>
      <c r="D257" t="inlineStr">
        <is>
          <t>Napoleon : a biography / Frank McLynn.</t>
        </is>
      </c>
      <c r="F257" t="inlineStr">
        <is>
          <t>No</t>
        </is>
      </c>
      <c r="G257" t="inlineStr">
        <is>
          <t>1</t>
        </is>
      </c>
      <c r="H257" t="inlineStr">
        <is>
          <t>No</t>
        </is>
      </c>
      <c r="I257" t="inlineStr">
        <is>
          <t>No</t>
        </is>
      </c>
      <c r="J257" t="inlineStr">
        <is>
          <t>0</t>
        </is>
      </c>
      <c r="K257" t="inlineStr">
        <is>
          <t>McLynn, Frank.</t>
        </is>
      </c>
      <c r="L257" t="inlineStr">
        <is>
          <t>New York : Arcade Pub., 2002.</t>
        </is>
      </c>
      <c r="M257" t="inlineStr">
        <is>
          <t>2002</t>
        </is>
      </c>
      <c r="N257" t="inlineStr">
        <is>
          <t>1st U.S. ed.</t>
        </is>
      </c>
      <c r="O257" t="inlineStr">
        <is>
          <t>eng</t>
        </is>
      </c>
      <c r="P257" t="inlineStr">
        <is>
          <t>nyu</t>
        </is>
      </c>
      <c r="R257" t="inlineStr">
        <is>
          <t xml:space="preserve">DC </t>
        </is>
      </c>
      <c r="S257" t="n">
        <v>4</v>
      </c>
      <c r="T257" t="n">
        <v>4</v>
      </c>
      <c r="U257" t="inlineStr">
        <is>
          <t>2007-08-28</t>
        </is>
      </c>
      <c r="V257" t="inlineStr">
        <is>
          <t>2007-08-28</t>
        </is>
      </c>
      <c r="W257" t="inlineStr">
        <is>
          <t>2002-07-17</t>
        </is>
      </c>
      <c r="X257" t="inlineStr">
        <is>
          <t>2002-07-17</t>
        </is>
      </c>
      <c r="Y257" t="n">
        <v>700</v>
      </c>
      <c r="Z257" t="n">
        <v>682</v>
      </c>
      <c r="AA257" t="n">
        <v>905</v>
      </c>
      <c r="AB257" t="n">
        <v>5</v>
      </c>
      <c r="AC257" t="n">
        <v>6</v>
      </c>
      <c r="AD257" t="n">
        <v>17</v>
      </c>
      <c r="AE257" t="n">
        <v>21</v>
      </c>
      <c r="AF257" t="n">
        <v>8</v>
      </c>
      <c r="AG257" t="n">
        <v>8</v>
      </c>
      <c r="AH257" t="n">
        <v>3</v>
      </c>
      <c r="AI257" t="n">
        <v>6</v>
      </c>
      <c r="AJ257" t="n">
        <v>7</v>
      </c>
      <c r="AK257" t="n">
        <v>10</v>
      </c>
      <c r="AL257" t="n">
        <v>1</v>
      </c>
      <c r="AM257" t="n">
        <v>2</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HYPERLINK("https://creighton-primo.hosted.exlibrisgroup.com/primo-explore/search?tab=default_tab&amp;search_scope=EVERYTHING&amp;vid=01CRU&amp;lang=en_US&amp;offset=0&amp;query=any,contains,991003839839702656","Catalog Record")</f>
        <v/>
      </c>
      <c r="AT257">
        <f>HYPERLINK("http://www.worldcat.org/oclc/49351026","WorldCat Record")</f>
        <v/>
      </c>
      <c r="AU257" t="inlineStr">
        <is>
          <t>796421993:eng</t>
        </is>
      </c>
      <c r="AV257" t="inlineStr">
        <is>
          <t>49351026</t>
        </is>
      </c>
      <c r="AW257" t="inlineStr">
        <is>
          <t>991003839839702656</t>
        </is>
      </c>
      <c r="AX257" t="inlineStr">
        <is>
          <t>991003839839702656</t>
        </is>
      </c>
      <c r="AY257" t="inlineStr">
        <is>
          <t>2271131110002656</t>
        </is>
      </c>
      <c r="AZ257" t="inlineStr">
        <is>
          <t>BOOK</t>
        </is>
      </c>
      <c r="BB257" t="inlineStr">
        <is>
          <t>9781559706315</t>
        </is>
      </c>
      <c r="BC257" t="inlineStr">
        <is>
          <t>32285004498795</t>
        </is>
      </c>
      <c r="BD257" t="inlineStr">
        <is>
          <t>893687021</t>
        </is>
      </c>
    </row>
    <row r="258">
      <c r="A258" t="inlineStr">
        <is>
          <t>No</t>
        </is>
      </c>
      <c r="B258" t="inlineStr">
        <is>
          <t>DC203 .R68 2001</t>
        </is>
      </c>
      <c r="C258" t="inlineStr">
        <is>
          <t>0                      DC 0203000R  68          2001</t>
        </is>
      </c>
      <c r="D258" t="inlineStr">
        <is>
          <t>Napoleon and Wellington : the Battle of Waterloo- and the great commanders who fought it / Andrew Roberts.</t>
        </is>
      </c>
      <c r="F258" t="inlineStr">
        <is>
          <t>No</t>
        </is>
      </c>
      <c r="G258" t="inlineStr">
        <is>
          <t>1</t>
        </is>
      </c>
      <c r="H258" t="inlineStr">
        <is>
          <t>No</t>
        </is>
      </c>
      <c r="I258" t="inlineStr">
        <is>
          <t>No</t>
        </is>
      </c>
      <c r="J258" t="inlineStr">
        <is>
          <t>0</t>
        </is>
      </c>
      <c r="K258" t="inlineStr">
        <is>
          <t>Roberts, Andrew, 1963-</t>
        </is>
      </c>
      <c r="L258" t="inlineStr">
        <is>
          <t>New York : Simon &amp; Schuster, 2001.</t>
        </is>
      </c>
      <c r="M258" t="inlineStr">
        <is>
          <t>2001</t>
        </is>
      </c>
      <c r="O258" t="inlineStr">
        <is>
          <t>eng</t>
        </is>
      </c>
      <c r="P258" t="inlineStr">
        <is>
          <t>nyu</t>
        </is>
      </c>
      <c r="R258" t="inlineStr">
        <is>
          <t xml:space="preserve">DC </t>
        </is>
      </c>
      <c r="S258" t="n">
        <v>4</v>
      </c>
      <c r="T258" t="n">
        <v>4</v>
      </c>
      <c r="U258" t="inlineStr">
        <is>
          <t>2003-02-07</t>
        </is>
      </c>
      <c r="V258" t="inlineStr">
        <is>
          <t>2003-02-07</t>
        </is>
      </c>
      <c r="W258" t="inlineStr">
        <is>
          <t>2002-11-05</t>
        </is>
      </c>
      <c r="X258" t="inlineStr">
        <is>
          <t>2002-11-05</t>
        </is>
      </c>
      <c r="Y258" t="n">
        <v>680</v>
      </c>
      <c r="Z258" t="n">
        <v>657</v>
      </c>
      <c r="AA258" t="n">
        <v>763</v>
      </c>
      <c r="AB258" t="n">
        <v>4</v>
      </c>
      <c r="AC258" t="n">
        <v>4</v>
      </c>
      <c r="AD258" t="n">
        <v>18</v>
      </c>
      <c r="AE258" t="n">
        <v>22</v>
      </c>
      <c r="AF258" t="n">
        <v>9</v>
      </c>
      <c r="AG258" t="n">
        <v>10</v>
      </c>
      <c r="AH258" t="n">
        <v>3</v>
      </c>
      <c r="AI258" t="n">
        <v>6</v>
      </c>
      <c r="AJ258" t="n">
        <v>9</v>
      </c>
      <c r="AK258" t="n">
        <v>11</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HYPERLINK("https://creighton-primo.hosted.exlibrisgroup.com/primo-explore/search?tab=default_tab&amp;search_scope=EVERYTHING&amp;vid=01CRU&amp;lang=en_US&amp;offset=0&amp;query=any,contains,991003908799702656","Catalog Record")</f>
        <v/>
      </c>
      <c r="AT258">
        <f>HYPERLINK("http://www.worldcat.org/oclc/50491301","WorldCat Record")</f>
        <v/>
      </c>
      <c r="AU258" t="inlineStr">
        <is>
          <t>9286872:eng</t>
        </is>
      </c>
      <c r="AV258" t="inlineStr">
        <is>
          <t>50491301</t>
        </is>
      </c>
      <c r="AW258" t="inlineStr">
        <is>
          <t>991003908799702656</t>
        </is>
      </c>
      <c r="AX258" t="inlineStr">
        <is>
          <t>991003908799702656</t>
        </is>
      </c>
      <c r="AY258" t="inlineStr">
        <is>
          <t>2265578350002656</t>
        </is>
      </c>
      <c r="AZ258" t="inlineStr">
        <is>
          <t>BOOK</t>
        </is>
      </c>
      <c r="BB258" t="inlineStr">
        <is>
          <t>9780743228329</t>
        </is>
      </c>
      <c r="BC258" t="inlineStr">
        <is>
          <t>32285004660535</t>
        </is>
      </c>
      <c r="BD258" t="inlineStr">
        <is>
          <t>893718219</t>
        </is>
      </c>
    </row>
    <row r="259">
      <c r="A259" t="inlineStr">
        <is>
          <t>No</t>
        </is>
      </c>
      <c r="B259" t="inlineStr">
        <is>
          <t>DC203 .R8</t>
        </is>
      </c>
      <c r="C259" t="inlineStr">
        <is>
          <t>0                      DC 0203000R  8</t>
        </is>
      </c>
      <c r="D259" t="inlineStr">
        <is>
          <t>The life of Napoleon I, including new materials from the British official records, by John Holland Rose.</t>
        </is>
      </c>
      <c r="F259" t="inlineStr">
        <is>
          <t>Yes</t>
        </is>
      </c>
      <c r="G259" t="inlineStr">
        <is>
          <t>1</t>
        </is>
      </c>
      <c r="H259" t="inlineStr">
        <is>
          <t>No</t>
        </is>
      </c>
      <c r="I259" t="inlineStr">
        <is>
          <t>No</t>
        </is>
      </c>
      <c r="J259" t="inlineStr">
        <is>
          <t>0</t>
        </is>
      </c>
      <c r="K259" t="inlineStr">
        <is>
          <t>Rose, J. Holland (John Holland), 1855-1942.</t>
        </is>
      </c>
      <c r="L259" t="inlineStr">
        <is>
          <t>New York, The Macmillan company; London, Macmillan &amp; co., ltd., 1901-02.</t>
        </is>
      </c>
      <c r="M259" t="inlineStr">
        <is>
          <t>1901</t>
        </is>
      </c>
      <c r="O259" t="inlineStr">
        <is>
          <t>eng</t>
        </is>
      </c>
      <c r="P259" t="inlineStr">
        <is>
          <t>nyu</t>
        </is>
      </c>
      <c r="R259" t="inlineStr">
        <is>
          <t xml:space="preserve">DC </t>
        </is>
      </c>
      <c r="S259" t="n">
        <v>0</v>
      </c>
      <c r="T259" t="n">
        <v>0</v>
      </c>
      <c r="U259" t="inlineStr">
        <is>
          <t>2005-06-10</t>
        </is>
      </c>
      <c r="V259" t="inlineStr">
        <is>
          <t>2005-06-10</t>
        </is>
      </c>
      <c r="W259" t="inlineStr">
        <is>
          <t>1996-11-11</t>
        </is>
      </c>
      <c r="X259" t="inlineStr">
        <is>
          <t>1996-11-11</t>
        </is>
      </c>
      <c r="Y259" t="n">
        <v>176</v>
      </c>
      <c r="Z259" t="n">
        <v>170</v>
      </c>
      <c r="AA259" t="n">
        <v>636</v>
      </c>
      <c r="AB259" t="n">
        <v>1</v>
      </c>
      <c r="AC259" t="n">
        <v>4</v>
      </c>
      <c r="AD259" t="n">
        <v>6</v>
      </c>
      <c r="AE259" t="n">
        <v>37</v>
      </c>
      <c r="AF259" t="n">
        <v>1</v>
      </c>
      <c r="AG259" t="n">
        <v>16</v>
      </c>
      <c r="AH259" t="n">
        <v>1</v>
      </c>
      <c r="AI259" t="n">
        <v>8</v>
      </c>
      <c r="AJ259" t="n">
        <v>5</v>
      </c>
      <c r="AK259" t="n">
        <v>17</v>
      </c>
      <c r="AL259" t="n">
        <v>0</v>
      </c>
      <c r="AM259" t="n">
        <v>3</v>
      </c>
      <c r="AN259" t="n">
        <v>0</v>
      </c>
      <c r="AO259" t="n">
        <v>0</v>
      </c>
      <c r="AP259" t="inlineStr">
        <is>
          <t>Yes</t>
        </is>
      </c>
      <c r="AQ259" t="inlineStr">
        <is>
          <t>No</t>
        </is>
      </c>
      <c r="AR259">
        <f>HYPERLINK("http://catalog.hathitrust.org/Record/000554730","HathiTrust Record")</f>
        <v/>
      </c>
      <c r="AS259">
        <f>HYPERLINK("https://creighton-primo.hosted.exlibrisgroup.com/primo-explore/search?tab=default_tab&amp;search_scope=EVERYTHING&amp;vid=01CRU&amp;lang=en_US&amp;offset=0&amp;query=any,contains,991003104729702656","Catalog Record")</f>
        <v/>
      </c>
      <c r="AT259">
        <f>HYPERLINK("http://www.worldcat.org/oclc/653457","WorldCat Record")</f>
        <v/>
      </c>
      <c r="AU259" t="inlineStr">
        <is>
          <t>1610773:eng</t>
        </is>
      </c>
      <c r="AV259" t="inlineStr">
        <is>
          <t>653457</t>
        </is>
      </c>
      <c r="AW259" t="inlineStr">
        <is>
          <t>991003104729702656</t>
        </is>
      </c>
      <c r="AX259" t="inlineStr">
        <is>
          <t>991003104729702656</t>
        </is>
      </c>
      <c r="AY259" t="inlineStr">
        <is>
          <t>2264050530002656</t>
        </is>
      </c>
      <c r="AZ259" t="inlineStr">
        <is>
          <t>BOOK</t>
        </is>
      </c>
      <c r="BC259" t="inlineStr">
        <is>
          <t>32285002343753</t>
        </is>
      </c>
      <c r="BD259" t="inlineStr">
        <is>
          <t>893428450</t>
        </is>
      </c>
    </row>
    <row r="260">
      <c r="A260" t="inlineStr">
        <is>
          <t>No</t>
        </is>
      </c>
      <c r="B260" t="inlineStr">
        <is>
          <t>DC203 .S52</t>
        </is>
      </c>
      <c r="C260" t="inlineStr">
        <is>
          <t>0                      DC 0203000S  52</t>
        </is>
      </c>
      <c r="D260" t="inlineStr">
        <is>
          <t>A short history of Napoleon the First / by John Robert Seeley ...</t>
        </is>
      </c>
      <c r="F260" t="inlineStr">
        <is>
          <t>No</t>
        </is>
      </c>
      <c r="G260" t="inlineStr">
        <is>
          <t>1</t>
        </is>
      </c>
      <c r="H260" t="inlineStr">
        <is>
          <t>No</t>
        </is>
      </c>
      <c r="I260" t="inlineStr">
        <is>
          <t>No</t>
        </is>
      </c>
      <c r="J260" t="inlineStr">
        <is>
          <t>0</t>
        </is>
      </c>
      <c r="K260" t="inlineStr">
        <is>
          <t>Seeley, J. R. (John Robert), Sir, 1834-1895.</t>
        </is>
      </c>
      <c r="L260" t="inlineStr">
        <is>
          <t>Boston : Little, Brown, and Company, 1901.</t>
        </is>
      </c>
      <c r="M260" t="inlineStr">
        <is>
          <t>1901</t>
        </is>
      </c>
      <c r="O260" t="inlineStr">
        <is>
          <t>eng</t>
        </is>
      </c>
      <c r="P260" t="inlineStr">
        <is>
          <t>mau</t>
        </is>
      </c>
      <c r="R260" t="inlineStr">
        <is>
          <t xml:space="preserve">DC </t>
        </is>
      </c>
      <c r="S260" t="n">
        <v>4</v>
      </c>
      <c r="T260" t="n">
        <v>4</v>
      </c>
      <c r="U260" t="inlineStr">
        <is>
          <t>2000-02-24</t>
        </is>
      </c>
      <c r="V260" t="inlineStr">
        <is>
          <t>2000-02-24</t>
        </is>
      </c>
      <c r="W260" t="inlineStr">
        <is>
          <t>1993-03-09</t>
        </is>
      </c>
      <c r="X260" t="inlineStr">
        <is>
          <t>1993-03-09</t>
        </is>
      </c>
      <c r="Y260" t="n">
        <v>24</v>
      </c>
      <c r="Z260" t="n">
        <v>24</v>
      </c>
      <c r="AA260" t="n">
        <v>200</v>
      </c>
      <c r="AB260" t="n">
        <v>1</v>
      </c>
      <c r="AC260" t="n">
        <v>2</v>
      </c>
      <c r="AD260" t="n">
        <v>1</v>
      </c>
      <c r="AE260" t="n">
        <v>8</v>
      </c>
      <c r="AF260" t="n">
        <v>1</v>
      </c>
      <c r="AG260" t="n">
        <v>1</v>
      </c>
      <c r="AH260" t="n">
        <v>1</v>
      </c>
      <c r="AI260" t="n">
        <v>3</v>
      </c>
      <c r="AJ260" t="n">
        <v>0</v>
      </c>
      <c r="AK260" t="n">
        <v>4</v>
      </c>
      <c r="AL260" t="n">
        <v>0</v>
      </c>
      <c r="AM260" t="n">
        <v>1</v>
      </c>
      <c r="AN260" t="n">
        <v>0</v>
      </c>
      <c r="AO260" t="n">
        <v>0</v>
      </c>
      <c r="AP260" t="inlineStr">
        <is>
          <t>Yes</t>
        </is>
      </c>
      <c r="AQ260" t="inlineStr">
        <is>
          <t>No</t>
        </is>
      </c>
      <c r="AR260">
        <f>HYPERLINK("http://catalog.hathitrust.org/Record/006505398","HathiTrust Record")</f>
        <v/>
      </c>
      <c r="AS260">
        <f>HYPERLINK("https://creighton-primo.hosted.exlibrisgroup.com/primo-explore/search?tab=default_tab&amp;search_scope=EVERYTHING&amp;vid=01CRU&amp;lang=en_US&amp;offset=0&amp;query=any,contains,991000551969702656","Catalog Record")</f>
        <v/>
      </c>
      <c r="AT260">
        <f>HYPERLINK("http://www.worldcat.org/oclc/11537949","WorldCat Record")</f>
        <v/>
      </c>
      <c r="AU260" t="inlineStr">
        <is>
          <t>1605710:eng</t>
        </is>
      </c>
      <c r="AV260" t="inlineStr">
        <is>
          <t>11537949</t>
        </is>
      </c>
      <c r="AW260" t="inlineStr">
        <is>
          <t>991000551969702656</t>
        </is>
      </c>
      <c r="AX260" t="inlineStr">
        <is>
          <t>991000551969702656</t>
        </is>
      </c>
      <c r="AY260" t="inlineStr">
        <is>
          <t>2268494340002656</t>
        </is>
      </c>
      <c r="AZ260" t="inlineStr">
        <is>
          <t>BOOK</t>
        </is>
      </c>
      <c r="BC260" t="inlineStr">
        <is>
          <t>32285001570679</t>
        </is>
      </c>
      <c r="BD260" t="inlineStr">
        <is>
          <t>893339654</t>
        </is>
      </c>
    </row>
    <row r="261">
      <c r="A261" t="inlineStr">
        <is>
          <t>No</t>
        </is>
      </c>
      <c r="B261" t="inlineStr">
        <is>
          <t>DC203 .S65</t>
        </is>
      </c>
      <c r="C261" t="inlineStr">
        <is>
          <t>0                      DC 0203000S  65</t>
        </is>
      </c>
      <c r="D261" t="inlineStr">
        <is>
          <t>Life of Napoleon Bonaparte.</t>
        </is>
      </c>
      <c r="E261" t="inlineStr">
        <is>
          <t>V. 3</t>
        </is>
      </c>
      <c r="F261" t="inlineStr">
        <is>
          <t>Yes</t>
        </is>
      </c>
      <c r="G261" t="inlineStr">
        <is>
          <t>1</t>
        </is>
      </c>
      <c r="H261" t="inlineStr">
        <is>
          <t>No</t>
        </is>
      </c>
      <c r="I261" t="inlineStr">
        <is>
          <t>No</t>
        </is>
      </c>
      <c r="J261" t="inlineStr">
        <is>
          <t>0</t>
        </is>
      </c>
      <c r="K261" t="inlineStr">
        <is>
          <t>Sloane, William Milligan, 1850-1928.</t>
        </is>
      </c>
      <c r="L261" t="inlineStr">
        <is>
          <t>New York : The Century Co., [1909, c1894]</t>
        </is>
      </c>
      <c r="M261" t="inlineStr">
        <is>
          <t>1909</t>
        </is>
      </c>
      <c r="O261" t="inlineStr">
        <is>
          <t>eng</t>
        </is>
      </c>
      <c r="P261" t="inlineStr">
        <is>
          <t>nyu</t>
        </is>
      </c>
      <c r="R261" t="inlineStr">
        <is>
          <t xml:space="preserve">DC </t>
        </is>
      </c>
      <c r="S261" t="n">
        <v>1</v>
      </c>
      <c r="T261" t="n">
        <v>6</v>
      </c>
      <c r="U261" t="inlineStr">
        <is>
          <t>2019-11-01</t>
        </is>
      </c>
      <c r="V261" t="inlineStr">
        <is>
          <t>2002-08-21</t>
        </is>
      </c>
      <c r="W261" t="inlineStr">
        <is>
          <t>1997-02-21</t>
        </is>
      </c>
      <c r="X261" t="inlineStr">
        <is>
          <t>1997-02-21</t>
        </is>
      </c>
      <c r="Y261" t="n">
        <v>98</v>
      </c>
      <c r="Z261" t="n">
        <v>88</v>
      </c>
      <c r="AA261" t="n">
        <v>585</v>
      </c>
      <c r="AB261" t="n">
        <v>2</v>
      </c>
      <c r="AC261" t="n">
        <v>6</v>
      </c>
      <c r="AD261" t="n">
        <v>2</v>
      </c>
      <c r="AE261" t="n">
        <v>35</v>
      </c>
      <c r="AF261" t="n">
        <v>1</v>
      </c>
      <c r="AG261" t="n">
        <v>10</v>
      </c>
      <c r="AH261" t="n">
        <v>0</v>
      </c>
      <c r="AI261" t="n">
        <v>8</v>
      </c>
      <c r="AJ261" t="n">
        <v>1</v>
      </c>
      <c r="AK261" t="n">
        <v>20</v>
      </c>
      <c r="AL261" t="n">
        <v>0</v>
      </c>
      <c r="AM261" t="n">
        <v>4</v>
      </c>
      <c r="AN261" t="n">
        <v>0</v>
      </c>
      <c r="AO261" t="n">
        <v>1</v>
      </c>
      <c r="AP261" t="inlineStr">
        <is>
          <t>Yes</t>
        </is>
      </c>
      <c r="AQ261" t="inlineStr">
        <is>
          <t>No</t>
        </is>
      </c>
      <c r="AR261">
        <f>HYPERLINK("http://catalog.hathitrust.org/Record/008888094","HathiTrust Record")</f>
        <v/>
      </c>
      <c r="AS261">
        <f>HYPERLINK("https://creighton-primo.hosted.exlibrisgroup.com/primo-explore/search?tab=default_tab&amp;search_scope=EVERYTHING&amp;vid=01CRU&amp;lang=en_US&amp;offset=0&amp;query=any,contains,991003232029702656","Catalog Record")</f>
        <v/>
      </c>
      <c r="AT261">
        <f>HYPERLINK("http://www.worldcat.org/oclc/756576","WorldCat Record")</f>
        <v/>
      </c>
      <c r="AU261" t="inlineStr">
        <is>
          <t>1277258:eng</t>
        </is>
      </c>
      <c r="AV261" t="inlineStr">
        <is>
          <t>756576</t>
        </is>
      </c>
      <c r="AW261" t="inlineStr">
        <is>
          <t>991003232029702656</t>
        </is>
      </c>
      <c r="AX261" t="inlineStr">
        <is>
          <t>991003232029702656</t>
        </is>
      </c>
      <c r="AY261" t="inlineStr">
        <is>
          <t>2271198720002656</t>
        </is>
      </c>
      <c r="AZ261" t="inlineStr">
        <is>
          <t>BOOK</t>
        </is>
      </c>
      <c r="BC261" t="inlineStr">
        <is>
          <t>32285002468139</t>
        </is>
      </c>
      <c r="BD261" t="inlineStr">
        <is>
          <t>893441050</t>
        </is>
      </c>
    </row>
    <row r="262">
      <c r="A262" t="inlineStr">
        <is>
          <t>No</t>
        </is>
      </c>
      <c r="B262" t="inlineStr">
        <is>
          <t>DC203 .S65</t>
        </is>
      </c>
      <c r="C262" t="inlineStr">
        <is>
          <t>0                      DC 0203000S  65</t>
        </is>
      </c>
      <c r="D262" t="inlineStr">
        <is>
          <t>Life of Napoleon Bonaparte.</t>
        </is>
      </c>
      <c r="E262" t="inlineStr">
        <is>
          <t>V. 2</t>
        </is>
      </c>
      <c r="F262" t="inlineStr">
        <is>
          <t>Yes</t>
        </is>
      </c>
      <c r="G262" t="inlineStr">
        <is>
          <t>1</t>
        </is>
      </c>
      <c r="H262" t="inlineStr">
        <is>
          <t>No</t>
        </is>
      </c>
      <c r="I262" t="inlineStr">
        <is>
          <t>No</t>
        </is>
      </c>
      <c r="J262" t="inlineStr">
        <is>
          <t>0</t>
        </is>
      </c>
      <c r="K262" t="inlineStr">
        <is>
          <t>Sloane, William Milligan, 1850-1928.</t>
        </is>
      </c>
      <c r="L262" t="inlineStr">
        <is>
          <t>New York : The Century Co., [1909, c1894]</t>
        </is>
      </c>
      <c r="M262" t="inlineStr">
        <is>
          <t>1909</t>
        </is>
      </c>
      <c r="O262" t="inlineStr">
        <is>
          <t>eng</t>
        </is>
      </c>
      <c r="P262" t="inlineStr">
        <is>
          <t>nyu</t>
        </is>
      </c>
      <c r="R262" t="inlineStr">
        <is>
          <t xml:space="preserve">DC </t>
        </is>
      </c>
      <c r="S262" t="n">
        <v>1</v>
      </c>
      <c r="T262" t="n">
        <v>6</v>
      </c>
      <c r="U262" t="inlineStr">
        <is>
          <t>2019-12-04</t>
        </is>
      </c>
      <c r="V262" t="inlineStr">
        <is>
          <t>2002-08-21</t>
        </is>
      </c>
      <c r="W262" t="inlineStr">
        <is>
          <t>1993-03-23</t>
        </is>
      </c>
      <c r="X262" t="inlineStr">
        <is>
          <t>1997-02-21</t>
        </is>
      </c>
      <c r="Y262" t="n">
        <v>98</v>
      </c>
      <c r="Z262" t="n">
        <v>88</v>
      </c>
      <c r="AA262" t="n">
        <v>585</v>
      </c>
      <c r="AB262" t="n">
        <v>2</v>
      </c>
      <c r="AC262" t="n">
        <v>6</v>
      </c>
      <c r="AD262" t="n">
        <v>2</v>
      </c>
      <c r="AE262" t="n">
        <v>35</v>
      </c>
      <c r="AF262" t="n">
        <v>1</v>
      </c>
      <c r="AG262" t="n">
        <v>10</v>
      </c>
      <c r="AH262" t="n">
        <v>0</v>
      </c>
      <c r="AI262" t="n">
        <v>8</v>
      </c>
      <c r="AJ262" t="n">
        <v>1</v>
      </c>
      <c r="AK262" t="n">
        <v>20</v>
      </c>
      <c r="AL262" t="n">
        <v>0</v>
      </c>
      <c r="AM262" t="n">
        <v>4</v>
      </c>
      <c r="AN262" t="n">
        <v>0</v>
      </c>
      <c r="AO262" t="n">
        <v>1</v>
      </c>
      <c r="AP262" t="inlineStr">
        <is>
          <t>Yes</t>
        </is>
      </c>
      <c r="AQ262" t="inlineStr">
        <is>
          <t>No</t>
        </is>
      </c>
      <c r="AR262">
        <f>HYPERLINK("http://catalog.hathitrust.org/Record/008888094","HathiTrust Record")</f>
        <v/>
      </c>
      <c r="AS262">
        <f>HYPERLINK("https://creighton-primo.hosted.exlibrisgroup.com/primo-explore/search?tab=default_tab&amp;search_scope=EVERYTHING&amp;vid=01CRU&amp;lang=en_US&amp;offset=0&amp;query=any,contains,991003232029702656","Catalog Record")</f>
        <v/>
      </c>
      <c r="AT262">
        <f>HYPERLINK("http://www.worldcat.org/oclc/756576","WorldCat Record")</f>
        <v/>
      </c>
      <c r="AU262" t="inlineStr">
        <is>
          <t>1277258:eng</t>
        </is>
      </c>
      <c r="AV262" t="inlineStr">
        <is>
          <t>756576</t>
        </is>
      </c>
      <c r="AW262" t="inlineStr">
        <is>
          <t>991003232029702656</t>
        </is>
      </c>
      <c r="AX262" t="inlineStr">
        <is>
          <t>991003232029702656</t>
        </is>
      </c>
      <c r="AY262" t="inlineStr">
        <is>
          <t>2271198720002656</t>
        </is>
      </c>
      <c r="AZ262" t="inlineStr">
        <is>
          <t>BOOK</t>
        </is>
      </c>
      <c r="BC262" t="inlineStr">
        <is>
          <t>32285001578243</t>
        </is>
      </c>
      <c r="BD262" t="inlineStr">
        <is>
          <t>893428580</t>
        </is>
      </c>
    </row>
    <row r="263">
      <c r="A263" t="inlineStr">
        <is>
          <t>No</t>
        </is>
      </c>
      <c r="B263" t="inlineStr">
        <is>
          <t>DC203 .S65</t>
        </is>
      </c>
      <c r="C263" t="inlineStr">
        <is>
          <t>0                      DC 0203000S  65</t>
        </is>
      </c>
      <c r="D263" t="inlineStr">
        <is>
          <t>Life of Napoleon Bonaparte.</t>
        </is>
      </c>
      <c r="E263" t="inlineStr">
        <is>
          <t>V. 4</t>
        </is>
      </c>
      <c r="F263" t="inlineStr">
        <is>
          <t>Yes</t>
        </is>
      </c>
      <c r="G263" t="inlineStr">
        <is>
          <t>1</t>
        </is>
      </c>
      <c r="H263" t="inlineStr">
        <is>
          <t>No</t>
        </is>
      </c>
      <c r="I263" t="inlineStr">
        <is>
          <t>No</t>
        </is>
      </c>
      <c r="J263" t="inlineStr">
        <is>
          <t>0</t>
        </is>
      </c>
      <c r="K263" t="inlineStr">
        <is>
          <t>Sloane, William Milligan, 1850-1928.</t>
        </is>
      </c>
      <c r="L263" t="inlineStr">
        <is>
          <t>New York : The Century Co., [1909, c1894]</t>
        </is>
      </c>
      <c r="M263" t="inlineStr">
        <is>
          <t>1909</t>
        </is>
      </c>
      <c r="O263" t="inlineStr">
        <is>
          <t>eng</t>
        </is>
      </c>
      <c r="P263" t="inlineStr">
        <is>
          <t>nyu</t>
        </is>
      </c>
      <c r="R263" t="inlineStr">
        <is>
          <t xml:space="preserve">DC </t>
        </is>
      </c>
      <c r="S263" t="n">
        <v>3</v>
      </c>
      <c r="T263" t="n">
        <v>6</v>
      </c>
      <c r="U263" t="inlineStr">
        <is>
          <t>2002-08-21</t>
        </is>
      </c>
      <c r="V263" t="inlineStr">
        <is>
          <t>2002-08-21</t>
        </is>
      </c>
      <c r="W263" t="inlineStr">
        <is>
          <t>1993-04-07</t>
        </is>
      </c>
      <c r="X263" t="inlineStr">
        <is>
          <t>1997-02-21</t>
        </is>
      </c>
      <c r="Y263" t="n">
        <v>98</v>
      </c>
      <c r="Z263" t="n">
        <v>88</v>
      </c>
      <c r="AA263" t="n">
        <v>585</v>
      </c>
      <c r="AB263" t="n">
        <v>2</v>
      </c>
      <c r="AC263" t="n">
        <v>6</v>
      </c>
      <c r="AD263" t="n">
        <v>2</v>
      </c>
      <c r="AE263" t="n">
        <v>35</v>
      </c>
      <c r="AF263" t="n">
        <v>1</v>
      </c>
      <c r="AG263" t="n">
        <v>10</v>
      </c>
      <c r="AH263" t="n">
        <v>0</v>
      </c>
      <c r="AI263" t="n">
        <v>8</v>
      </c>
      <c r="AJ263" t="n">
        <v>1</v>
      </c>
      <c r="AK263" t="n">
        <v>20</v>
      </c>
      <c r="AL263" t="n">
        <v>0</v>
      </c>
      <c r="AM263" t="n">
        <v>4</v>
      </c>
      <c r="AN263" t="n">
        <v>0</v>
      </c>
      <c r="AO263" t="n">
        <v>1</v>
      </c>
      <c r="AP263" t="inlineStr">
        <is>
          <t>Yes</t>
        </is>
      </c>
      <c r="AQ263" t="inlineStr">
        <is>
          <t>No</t>
        </is>
      </c>
      <c r="AR263">
        <f>HYPERLINK("http://catalog.hathitrust.org/Record/008888094","HathiTrust Record")</f>
        <v/>
      </c>
      <c r="AS263">
        <f>HYPERLINK("https://creighton-primo.hosted.exlibrisgroup.com/primo-explore/search?tab=default_tab&amp;search_scope=EVERYTHING&amp;vid=01CRU&amp;lang=en_US&amp;offset=0&amp;query=any,contains,991003232029702656","Catalog Record")</f>
        <v/>
      </c>
      <c r="AT263">
        <f>HYPERLINK("http://www.worldcat.org/oclc/756576","WorldCat Record")</f>
        <v/>
      </c>
      <c r="AU263" t="inlineStr">
        <is>
          <t>1277258:eng</t>
        </is>
      </c>
      <c r="AV263" t="inlineStr">
        <is>
          <t>756576</t>
        </is>
      </c>
      <c r="AW263" t="inlineStr">
        <is>
          <t>991003232029702656</t>
        </is>
      </c>
      <c r="AX263" t="inlineStr">
        <is>
          <t>991003232029702656</t>
        </is>
      </c>
      <c r="AY263" t="inlineStr">
        <is>
          <t>2271198720002656</t>
        </is>
      </c>
      <c r="AZ263" t="inlineStr">
        <is>
          <t>BOOK</t>
        </is>
      </c>
      <c r="BC263" t="inlineStr">
        <is>
          <t>32285001604940</t>
        </is>
      </c>
      <c r="BD263" t="inlineStr">
        <is>
          <t>893410060</t>
        </is>
      </c>
    </row>
    <row r="264">
      <c r="A264" t="inlineStr">
        <is>
          <t>No</t>
        </is>
      </c>
      <c r="B264" t="inlineStr">
        <is>
          <t>DC203 .S65</t>
        </is>
      </c>
      <c r="C264" t="inlineStr">
        <is>
          <t>0                      DC 0203000S  65</t>
        </is>
      </c>
      <c r="D264" t="inlineStr">
        <is>
          <t>Life of Napoleon Bonaparte.</t>
        </is>
      </c>
      <c r="E264" t="inlineStr">
        <is>
          <t>V. 1</t>
        </is>
      </c>
      <c r="F264" t="inlineStr">
        <is>
          <t>Yes</t>
        </is>
      </c>
      <c r="G264" t="inlineStr">
        <is>
          <t>1</t>
        </is>
      </c>
      <c r="H264" t="inlineStr">
        <is>
          <t>No</t>
        </is>
      </c>
      <c r="I264" t="inlineStr">
        <is>
          <t>No</t>
        </is>
      </c>
      <c r="J264" t="inlineStr">
        <is>
          <t>0</t>
        </is>
      </c>
      <c r="K264" t="inlineStr">
        <is>
          <t>Sloane, William Milligan, 1850-1928.</t>
        </is>
      </c>
      <c r="L264" t="inlineStr">
        <is>
          <t>New York : The Century Co., [1909, c1894]</t>
        </is>
      </c>
      <c r="M264" t="inlineStr">
        <is>
          <t>1909</t>
        </is>
      </c>
      <c r="O264" t="inlineStr">
        <is>
          <t>eng</t>
        </is>
      </c>
      <c r="P264" t="inlineStr">
        <is>
          <t>nyu</t>
        </is>
      </c>
      <c r="R264" t="inlineStr">
        <is>
          <t xml:space="preserve">DC </t>
        </is>
      </c>
      <c r="S264" t="n">
        <v>1</v>
      </c>
      <c r="T264" t="n">
        <v>6</v>
      </c>
      <c r="U264" t="inlineStr">
        <is>
          <t>2019-12-04</t>
        </is>
      </c>
      <c r="V264" t="inlineStr">
        <is>
          <t>2002-08-21</t>
        </is>
      </c>
      <c r="W264" t="inlineStr">
        <is>
          <t>1993-04-12</t>
        </is>
      </c>
      <c r="X264" t="inlineStr">
        <is>
          <t>1997-02-21</t>
        </is>
      </c>
      <c r="Y264" t="n">
        <v>98</v>
      </c>
      <c r="Z264" t="n">
        <v>88</v>
      </c>
      <c r="AA264" t="n">
        <v>585</v>
      </c>
      <c r="AB264" t="n">
        <v>2</v>
      </c>
      <c r="AC264" t="n">
        <v>6</v>
      </c>
      <c r="AD264" t="n">
        <v>2</v>
      </c>
      <c r="AE264" t="n">
        <v>35</v>
      </c>
      <c r="AF264" t="n">
        <v>1</v>
      </c>
      <c r="AG264" t="n">
        <v>10</v>
      </c>
      <c r="AH264" t="n">
        <v>0</v>
      </c>
      <c r="AI264" t="n">
        <v>8</v>
      </c>
      <c r="AJ264" t="n">
        <v>1</v>
      </c>
      <c r="AK264" t="n">
        <v>20</v>
      </c>
      <c r="AL264" t="n">
        <v>0</v>
      </c>
      <c r="AM264" t="n">
        <v>4</v>
      </c>
      <c r="AN264" t="n">
        <v>0</v>
      </c>
      <c r="AO264" t="n">
        <v>1</v>
      </c>
      <c r="AP264" t="inlineStr">
        <is>
          <t>Yes</t>
        </is>
      </c>
      <c r="AQ264" t="inlineStr">
        <is>
          <t>No</t>
        </is>
      </c>
      <c r="AR264">
        <f>HYPERLINK("http://catalog.hathitrust.org/Record/008888094","HathiTrust Record")</f>
        <v/>
      </c>
      <c r="AS264">
        <f>HYPERLINK("https://creighton-primo.hosted.exlibrisgroup.com/primo-explore/search?tab=default_tab&amp;search_scope=EVERYTHING&amp;vid=01CRU&amp;lang=en_US&amp;offset=0&amp;query=any,contains,991003232029702656","Catalog Record")</f>
        <v/>
      </c>
      <c r="AT264">
        <f>HYPERLINK("http://www.worldcat.org/oclc/756576","WorldCat Record")</f>
        <v/>
      </c>
      <c r="AU264" t="inlineStr">
        <is>
          <t>1277258:eng</t>
        </is>
      </c>
      <c r="AV264" t="inlineStr">
        <is>
          <t>756576</t>
        </is>
      </c>
      <c r="AW264" t="inlineStr">
        <is>
          <t>991003232029702656</t>
        </is>
      </c>
      <c r="AX264" t="inlineStr">
        <is>
          <t>991003232029702656</t>
        </is>
      </c>
      <c r="AY264" t="inlineStr">
        <is>
          <t>2271198720002656</t>
        </is>
      </c>
      <c r="AZ264" t="inlineStr">
        <is>
          <t>BOOK</t>
        </is>
      </c>
      <c r="BC264" t="inlineStr">
        <is>
          <t>32285001617249</t>
        </is>
      </c>
      <c r="BD264" t="inlineStr">
        <is>
          <t>893434784</t>
        </is>
      </c>
    </row>
    <row r="265">
      <c r="A265" t="inlineStr">
        <is>
          <t>No</t>
        </is>
      </c>
      <c r="B265" t="inlineStr">
        <is>
          <t>DC203 .T8413 1984</t>
        </is>
      </c>
      <c r="C265" t="inlineStr">
        <is>
          <t>0                      DC 0203000T  8413        1984</t>
        </is>
      </c>
      <c r="D265" t="inlineStr">
        <is>
          <t>Napoléon, the myth of the saviour / Jean Tulard ; translated by Teresa Waugh.</t>
        </is>
      </c>
      <c r="F265" t="inlineStr">
        <is>
          <t>No</t>
        </is>
      </c>
      <c r="G265" t="inlineStr">
        <is>
          <t>1</t>
        </is>
      </c>
      <c r="H265" t="inlineStr">
        <is>
          <t>No</t>
        </is>
      </c>
      <c r="I265" t="inlineStr">
        <is>
          <t>No</t>
        </is>
      </c>
      <c r="J265" t="inlineStr">
        <is>
          <t>0</t>
        </is>
      </c>
      <c r="K265" t="inlineStr">
        <is>
          <t>Tulard, Jean.</t>
        </is>
      </c>
      <c r="L265" t="inlineStr">
        <is>
          <t>London : Weidenfeld and Nicolson, 1984, c1977.</t>
        </is>
      </c>
      <c r="M265" t="inlineStr">
        <is>
          <t>1984</t>
        </is>
      </c>
      <c r="O265" t="inlineStr">
        <is>
          <t>eng</t>
        </is>
      </c>
      <c r="P265" t="inlineStr">
        <is>
          <t>enk</t>
        </is>
      </c>
      <c r="R265" t="inlineStr">
        <is>
          <t xml:space="preserve">DC </t>
        </is>
      </c>
      <c r="S265" t="n">
        <v>8</v>
      </c>
      <c r="T265" t="n">
        <v>8</v>
      </c>
      <c r="U265" t="inlineStr">
        <is>
          <t>1997-03-07</t>
        </is>
      </c>
      <c r="V265" t="inlineStr">
        <is>
          <t>1997-03-07</t>
        </is>
      </c>
      <c r="W265" t="inlineStr">
        <is>
          <t>1990-07-19</t>
        </is>
      </c>
      <c r="X265" t="inlineStr">
        <is>
          <t>1990-07-19</t>
        </is>
      </c>
      <c r="Y265" t="n">
        <v>432</v>
      </c>
      <c r="Z265" t="n">
        <v>318</v>
      </c>
      <c r="AA265" t="n">
        <v>327</v>
      </c>
      <c r="AB265" t="n">
        <v>1</v>
      </c>
      <c r="AC265" t="n">
        <v>1</v>
      </c>
      <c r="AD265" t="n">
        <v>13</v>
      </c>
      <c r="AE265" t="n">
        <v>14</v>
      </c>
      <c r="AF265" t="n">
        <v>5</v>
      </c>
      <c r="AG265" t="n">
        <v>6</v>
      </c>
      <c r="AH265" t="n">
        <v>5</v>
      </c>
      <c r="AI265" t="n">
        <v>5</v>
      </c>
      <c r="AJ265" t="n">
        <v>8</v>
      </c>
      <c r="AK265" t="n">
        <v>9</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HYPERLINK("https://creighton-primo.hosted.exlibrisgroup.com/primo-explore/search?tab=default_tab&amp;search_scope=EVERYTHING&amp;vid=01CRU&amp;lang=en_US&amp;offset=0&amp;query=any,contains,991000474769702656","Catalog Record")</f>
        <v/>
      </c>
      <c r="AT265">
        <f>HYPERLINK("http://www.worldcat.org/oclc/12839217","WorldCat Record")</f>
        <v/>
      </c>
      <c r="AU265" t="inlineStr">
        <is>
          <t>3372192536:eng</t>
        </is>
      </c>
      <c r="AV265" t="inlineStr">
        <is>
          <t>12839217</t>
        </is>
      </c>
      <c r="AW265" t="inlineStr">
        <is>
          <t>991000474769702656</t>
        </is>
      </c>
      <c r="AX265" t="inlineStr">
        <is>
          <t>991000474769702656</t>
        </is>
      </c>
      <c r="AY265" t="inlineStr">
        <is>
          <t>2268348920002656</t>
        </is>
      </c>
      <c r="AZ265" t="inlineStr">
        <is>
          <t>BOOK</t>
        </is>
      </c>
      <c r="BB265" t="inlineStr">
        <is>
          <t>9780297784395</t>
        </is>
      </c>
      <c r="BC265" t="inlineStr">
        <is>
          <t>32285000239284</t>
        </is>
      </c>
      <c r="BD265" t="inlineStr">
        <is>
          <t>893607936</t>
        </is>
      </c>
    </row>
    <row r="266">
      <c r="A266" t="inlineStr">
        <is>
          <t>No</t>
        </is>
      </c>
      <c r="B266" t="inlineStr">
        <is>
          <t>DC203 .V613 1960</t>
        </is>
      </c>
      <c r="C266" t="inlineStr">
        <is>
          <t>0                      DC 0203000V  613         1960</t>
        </is>
      </c>
      <c r="D266" t="inlineStr">
        <is>
          <t>Napoleon / Maximilien Vox ; translated by Maurice Thornton.</t>
        </is>
      </c>
      <c r="F266" t="inlineStr">
        <is>
          <t>No</t>
        </is>
      </c>
      <c r="G266" t="inlineStr">
        <is>
          <t>1</t>
        </is>
      </c>
      <c r="H266" t="inlineStr">
        <is>
          <t>No</t>
        </is>
      </c>
      <c r="I266" t="inlineStr">
        <is>
          <t>No</t>
        </is>
      </c>
      <c r="J266" t="inlineStr">
        <is>
          <t>0</t>
        </is>
      </c>
      <c r="K266" t="inlineStr">
        <is>
          <t>Vox, Maximilien.</t>
        </is>
      </c>
      <c r="L266" t="inlineStr">
        <is>
          <t>New York : Grove Press, [1960]</t>
        </is>
      </c>
      <c r="M266" t="inlineStr">
        <is>
          <t>1960</t>
        </is>
      </c>
      <c r="O266" t="inlineStr">
        <is>
          <t>eng</t>
        </is>
      </c>
      <c r="P266" t="inlineStr">
        <is>
          <t>nyu</t>
        </is>
      </c>
      <c r="Q266" t="inlineStr">
        <is>
          <t>Evergreen profile book ; 18</t>
        </is>
      </c>
      <c r="R266" t="inlineStr">
        <is>
          <t xml:space="preserve">DC </t>
        </is>
      </c>
      <c r="S266" t="n">
        <v>3</v>
      </c>
      <c r="T266" t="n">
        <v>3</v>
      </c>
      <c r="U266" t="inlineStr">
        <is>
          <t>2009-10-14</t>
        </is>
      </c>
      <c r="V266" t="inlineStr">
        <is>
          <t>2009-10-14</t>
        </is>
      </c>
      <c r="W266" t="inlineStr">
        <is>
          <t>2001-07-24</t>
        </is>
      </c>
      <c r="X266" t="inlineStr">
        <is>
          <t>2001-07-24</t>
        </is>
      </c>
      <c r="Y266" t="n">
        <v>158</v>
      </c>
      <c r="Z266" t="n">
        <v>142</v>
      </c>
      <c r="AA266" t="n">
        <v>150</v>
      </c>
      <c r="AB266" t="n">
        <v>1</v>
      </c>
      <c r="AC266" t="n">
        <v>1</v>
      </c>
      <c r="AD266" t="n">
        <v>3</v>
      </c>
      <c r="AE266" t="n">
        <v>3</v>
      </c>
      <c r="AF266" t="n">
        <v>2</v>
      </c>
      <c r="AG266" t="n">
        <v>2</v>
      </c>
      <c r="AH266" t="n">
        <v>0</v>
      </c>
      <c r="AI266" t="n">
        <v>0</v>
      </c>
      <c r="AJ266" t="n">
        <v>2</v>
      </c>
      <c r="AK266" t="n">
        <v>2</v>
      </c>
      <c r="AL266" t="n">
        <v>0</v>
      </c>
      <c r="AM266" t="n">
        <v>0</v>
      </c>
      <c r="AN266" t="n">
        <v>0</v>
      </c>
      <c r="AO266" t="n">
        <v>0</v>
      </c>
      <c r="AP266" t="inlineStr">
        <is>
          <t>No</t>
        </is>
      </c>
      <c r="AQ266" t="inlineStr">
        <is>
          <t>Yes</t>
        </is>
      </c>
      <c r="AR266">
        <f>HYPERLINK("http://catalog.hathitrust.org/Record/006063089","HathiTrust Record")</f>
        <v/>
      </c>
      <c r="AS266">
        <f>HYPERLINK("https://creighton-primo.hosted.exlibrisgroup.com/primo-explore/search?tab=default_tab&amp;search_scope=EVERYTHING&amp;vid=01CRU&amp;lang=en_US&amp;offset=0&amp;query=any,contains,991003591759702656","Catalog Record")</f>
        <v/>
      </c>
      <c r="AT266">
        <f>HYPERLINK("http://www.worldcat.org/oclc/1971762","WorldCat Record")</f>
        <v/>
      </c>
      <c r="AU266" t="inlineStr">
        <is>
          <t>2708319:eng</t>
        </is>
      </c>
      <c r="AV266" t="inlineStr">
        <is>
          <t>1971762</t>
        </is>
      </c>
      <c r="AW266" t="inlineStr">
        <is>
          <t>991003591759702656</t>
        </is>
      </c>
      <c r="AX266" t="inlineStr">
        <is>
          <t>991003591759702656</t>
        </is>
      </c>
      <c r="AY266" t="inlineStr">
        <is>
          <t>2264813940002656</t>
        </is>
      </c>
      <c r="AZ266" t="inlineStr">
        <is>
          <t>BOOK</t>
        </is>
      </c>
      <c r="BC266" t="inlineStr">
        <is>
          <t>32285004334990</t>
        </is>
      </c>
      <c r="BD266" t="inlineStr">
        <is>
          <t>893441460</t>
        </is>
      </c>
    </row>
    <row r="267">
      <c r="A267" t="inlineStr">
        <is>
          <t>No</t>
        </is>
      </c>
      <c r="B267" t="inlineStr">
        <is>
          <t>DC203 .W36</t>
        </is>
      </c>
      <c r="C267" t="inlineStr">
        <is>
          <t>0                      DC 0203000W  36</t>
        </is>
      </c>
      <c r="D267" t="inlineStr">
        <is>
          <t>Napoleon : a sketch of his life, character, struggles, and achievements / by Thomas E. Watson. Illustrated with portraits and facsimiles.</t>
        </is>
      </c>
      <c r="F267" t="inlineStr">
        <is>
          <t>No</t>
        </is>
      </c>
      <c r="G267" t="inlineStr">
        <is>
          <t>1</t>
        </is>
      </c>
      <c r="H267" t="inlineStr">
        <is>
          <t>No</t>
        </is>
      </c>
      <c r="I267" t="inlineStr">
        <is>
          <t>No</t>
        </is>
      </c>
      <c r="J267" t="inlineStr">
        <is>
          <t>0</t>
        </is>
      </c>
      <c r="K267" t="inlineStr">
        <is>
          <t>Watson, Thomas E. (Thomas Edward), 1856-1922.</t>
        </is>
      </c>
      <c r="L267" t="inlineStr">
        <is>
          <t>New York ; London : The Macmillan co., 1903.</t>
        </is>
      </c>
      <c r="M267" t="inlineStr">
        <is>
          <t>1903</t>
        </is>
      </c>
      <c r="O267" t="inlineStr">
        <is>
          <t>eng</t>
        </is>
      </c>
      <c r="P267" t="inlineStr">
        <is>
          <t>nyu</t>
        </is>
      </c>
      <c r="R267" t="inlineStr">
        <is>
          <t xml:space="preserve">DC </t>
        </is>
      </c>
      <c r="S267" t="n">
        <v>2</v>
      </c>
      <c r="T267" t="n">
        <v>2</v>
      </c>
      <c r="U267" t="inlineStr">
        <is>
          <t>1993-03-01</t>
        </is>
      </c>
      <c r="V267" t="inlineStr">
        <is>
          <t>1993-03-01</t>
        </is>
      </c>
      <c r="W267" t="inlineStr">
        <is>
          <t>1990-12-18</t>
        </is>
      </c>
      <c r="X267" t="inlineStr">
        <is>
          <t>1990-12-18</t>
        </is>
      </c>
      <c r="Y267" t="n">
        <v>38</v>
      </c>
      <c r="Z267" t="n">
        <v>38</v>
      </c>
      <c r="AA267" t="n">
        <v>354</v>
      </c>
      <c r="AB267" t="n">
        <v>1</v>
      </c>
      <c r="AC267" t="n">
        <v>3</v>
      </c>
      <c r="AD267" t="n">
        <v>1</v>
      </c>
      <c r="AE267" t="n">
        <v>19</v>
      </c>
      <c r="AF267" t="n">
        <v>1</v>
      </c>
      <c r="AG267" t="n">
        <v>10</v>
      </c>
      <c r="AH267" t="n">
        <v>0</v>
      </c>
      <c r="AI267" t="n">
        <v>4</v>
      </c>
      <c r="AJ267" t="n">
        <v>0</v>
      </c>
      <c r="AK267" t="n">
        <v>7</v>
      </c>
      <c r="AL267" t="n">
        <v>0</v>
      </c>
      <c r="AM267" t="n">
        <v>2</v>
      </c>
      <c r="AN267" t="n">
        <v>0</v>
      </c>
      <c r="AO267" t="n">
        <v>0</v>
      </c>
      <c r="AP267" t="inlineStr">
        <is>
          <t>Yes</t>
        </is>
      </c>
      <c r="AQ267" t="inlineStr">
        <is>
          <t>No</t>
        </is>
      </c>
      <c r="AR267">
        <f>HYPERLINK("http://catalog.hathitrust.org/Record/000605713","HathiTrust Record")</f>
        <v/>
      </c>
      <c r="AS267">
        <f>HYPERLINK("https://creighton-primo.hosted.exlibrisgroup.com/primo-explore/search?tab=default_tab&amp;search_scope=EVERYTHING&amp;vid=01CRU&amp;lang=en_US&amp;offset=0&amp;query=any,contains,991004909719702656","Catalog Record")</f>
        <v/>
      </c>
      <c r="AT267">
        <f>HYPERLINK("http://www.worldcat.org/oclc/5987962","WorldCat Record")</f>
        <v/>
      </c>
      <c r="AU267" t="inlineStr">
        <is>
          <t>1450704:eng</t>
        </is>
      </c>
      <c r="AV267" t="inlineStr">
        <is>
          <t>5987962</t>
        </is>
      </c>
      <c r="AW267" t="inlineStr">
        <is>
          <t>991004909719702656</t>
        </is>
      </c>
      <c r="AX267" t="inlineStr">
        <is>
          <t>991004909719702656</t>
        </is>
      </c>
      <c r="AY267" t="inlineStr">
        <is>
          <t>2266978860002656</t>
        </is>
      </c>
      <c r="AZ267" t="inlineStr">
        <is>
          <t>BOOK</t>
        </is>
      </c>
      <c r="BC267" t="inlineStr">
        <is>
          <t>32285000425800</t>
        </is>
      </c>
      <c r="BD267" t="inlineStr">
        <is>
          <t>893338265</t>
        </is>
      </c>
    </row>
    <row r="268">
      <c r="A268" t="inlineStr">
        <is>
          <t>No</t>
        </is>
      </c>
      <c r="B268" t="inlineStr">
        <is>
          <t>DC203.8 .G4</t>
        </is>
      </c>
      <c r="C268" t="inlineStr">
        <is>
          <t>0                      DC 0203800G  4</t>
        </is>
      </c>
      <c r="D268" t="inlineStr">
        <is>
          <t>Napoleon, for and against / by Pieter Geyl ; translated from the Dutch by Olive Renier.</t>
        </is>
      </c>
      <c r="F268" t="inlineStr">
        <is>
          <t>No</t>
        </is>
      </c>
      <c r="G268" t="inlineStr">
        <is>
          <t>1</t>
        </is>
      </c>
      <c r="H268" t="inlineStr">
        <is>
          <t>No</t>
        </is>
      </c>
      <c r="I268" t="inlineStr">
        <is>
          <t>No</t>
        </is>
      </c>
      <c r="J268" t="inlineStr">
        <is>
          <t>0</t>
        </is>
      </c>
      <c r="K268" t="inlineStr">
        <is>
          <t>Geyl, Pieter, 1887-1966.</t>
        </is>
      </c>
      <c r="L268" t="inlineStr">
        <is>
          <t>New Haven : Yale University Press, 1949.</t>
        </is>
      </c>
      <c r="M268" t="inlineStr">
        <is>
          <t>1949</t>
        </is>
      </c>
      <c r="O268" t="inlineStr">
        <is>
          <t>eng</t>
        </is>
      </c>
      <c r="P268" t="inlineStr">
        <is>
          <t>ctu</t>
        </is>
      </c>
      <c r="R268" t="inlineStr">
        <is>
          <t xml:space="preserve">DC </t>
        </is>
      </c>
      <c r="S268" t="n">
        <v>4</v>
      </c>
      <c r="T268" t="n">
        <v>4</v>
      </c>
      <c r="U268" t="inlineStr">
        <is>
          <t>1995-02-20</t>
        </is>
      </c>
      <c r="V268" t="inlineStr">
        <is>
          <t>1995-02-20</t>
        </is>
      </c>
      <c r="W268" t="inlineStr">
        <is>
          <t>1991-02-14</t>
        </is>
      </c>
      <c r="X268" t="inlineStr">
        <is>
          <t>1991-02-14</t>
        </is>
      </c>
      <c r="Y268" t="n">
        <v>1006</v>
      </c>
      <c r="Z268" t="n">
        <v>943</v>
      </c>
      <c r="AA268" t="n">
        <v>1179</v>
      </c>
      <c r="AB268" t="n">
        <v>9</v>
      </c>
      <c r="AC268" t="n">
        <v>11</v>
      </c>
      <c r="AD268" t="n">
        <v>50</v>
      </c>
      <c r="AE268" t="n">
        <v>57</v>
      </c>
      <c r="AF268" t="n">
        <v>21</v>
      </c>
      <c r="AG268" t="n">
        <v>25</v>
      </c>
      <c r="AH268" t="n">
        <v>11</v>
      </c>
      <c r="AI268" t="n">
        <v>11</v>
      </c>
      <c r="AJ268" t="n">
        <v>22</v>
      </c>
      <c r="AK268" t="n">
        <v>24</v>
      </c>
      <c r="AL268" t="n">
        <v>8</v>
      </c>
      <c r="AM268" t="n">
        <v>10</v>
      </c>
      <c r="AN268" t="n">
        <v>0</v>
      </c>
      <c r="AO268" t="n">
        <v>0</v>
      </c>
      <c r="AP268" t="inlineStr">
        <is>
          <t>No</t>
        </is>
      </c>
      <c r="AQ268" t="inlineStr">
        <is>
          <t>Yes</t>
        </is>
      </c>
      <c r="AR268">
        <f>HYPERLINK("http://catalog.hathitrust.org/Record/000603956","HathiTrust Record")</f>
        <v/>
      </c>
      <c r="AS268">
        <f>HYPERLINK("https://creighton-primo.hosted.exlibrisgroup.com/primo-explore/search?tab=default_tab&amp;search_scope=EVERYTHING&amp;vid=01CRU&amp;lang=en_US&amp;offset=0&amp;query=any,contains,991001204959702656","Catalog Record")</f>
        <v/>
      </c>
      <c r="AT268">
        <f>HYPERLINK("http://www.worldcat.org/oclc/191766","WorldCat Record")</f>
        <v/>
      </c>
      <c r="AU268" t="inlineStr">
        <is>
          <t>1352211:eng</t>
        </is>
      </c>
      <c r="AV268" t="inlineStr">
        <is>
          <t>191766</t>
        </is>
      </c>
      <c r="AW268" t="inlineStr">
        <is>
          <t>991001204959702656</t>
        </is>
      </c>
      <c r="AX268" t="inlineStr">
        <is>
          <t>991001204959702656</t>
        </is>
      </c>
      <c r="AY268" t="inlineStr">
        <is>
          <t>2258930030002656</t>
        </is>
      </c>
      <c r="AZ268" t="inlineStr">
        <is>
          <t>BOOK</t>
        </is>
      </c>
      <c r="BC268" t="inlineStr">
        <is>
          <t>32285000510098</t>
        </is>
      </c>
      <c r="BD268" t="inlineStr">
        <is>
          <t>893791267</t>
        </is>
      </c>
    </row>
    <row r="269">
      <c r="A269" t="inlineStr">
        <is>
          <t>No</t>
        </is>
      </c>
      <c r="B269" t="inlineStr">
        <is>
          <t>DC203.9 .C647 2006</t>
        </is>
      </c>
      <c r="C269" t="inlineStr">
        <is>
          <t>0                      DC 0203900C  647         2006</t>
        </is>
      </c>
      <c r="D269" t="inlineStr">
        <is>
          <t>Blundering to glory : Napoleon's military campaigns / Owen Connelly.</t>
        </is>
      </c>
      <c r="F269" t="inlineStr">
        <is>
          <t>No</t>
        </is>
      </c>
      <c r="G269" t="inlineStr">
        <is>
          <t>1</t>
        </is>
      </c>
      <c r="H269" t="inlineStr">
        <is>
          <t>No</t>
        </is>
      </c>
      <c r="I269" t="inlineStr">
        <is>
          <t>No</t>
        </is>
      </c>
      <c r="J269" t="inlineStr">
        <is>
          <t>0</t>
        </is>
      </c>
      <c r="K269" t="inlineStr">
        <is>
          <t>Connelly, Owen, 1924-2011.</t>
        </is>
      </c>
      <c r="L269" t="inlineStr">
        <is>
          <t>Lanham, Md. : Rowman &amp; Littlefield, c2006.</t>
        </is>
      </c>
      <c r="M269" t="inlineStr">
        <is>
          <t>2006</t>
        </is>
      </c>
      <c r="N269" t="inlineStr">
        <is>
          <t>3rd ed.</t>
        </is>
      </c>
      <c r="O269" t="inlineStr">
        <is>
          <t>eng</t>
        </is>
      </c>
      <c r="P269" t="inlineStr">
        <is>
          <t>mdu</t>
        </is>
      </c>
      <c r="R269" t="inlineStr">
        <is>
          <t xml:space="preserve">DC </t>
        </is>
      </c>
      <c r="S269" t="n">
        <v>5</v>
      </c>
      <c r="T269" t="n">
        <v>5</v>
      </c>
      <c r="U269" t="inlineStr">
        <is>
          <t>2010-10-12</t>
        </is>
      </c>
      <c r="V269" t="inlineStr">
        <is>
          <t>2010-10-12</t>
        </is>
      </c>
      <c r="W269" t="inlineStr">
        <is>
          <t>2006-09-13</t>
        </is>
      </c>
      <c r="X269" t="inlineStr">
        <is>
          <t>2006-09-13</t>
        </is>
      </c>
      <c r="Y269" t="n">
        <v>207</v>
      </c>
      <c r="Z269" t="n">
        <v>163</v>
      </c>
      <c r="AA269" t="n">
        <v>1525</v>
      </c>
      <c r="AB269" t="n">
        <v>2</v>
      </c>
      <c r="AC269" t="n">
        <v>8</v>
      </c>
      <c r="AD269" t="n">
        <v>6</v>
      </c>
      <c r="AE269" t="n">
        <v>48</v>
      </c>
      <c r="AF269" t="n">
        <v>2</v>
      </c>
      <c r="AG269" t="n">
        <v>22</v>
      </c>
      <c r="AH269" t="n">
        <v>2</v>
      </c>
      <c r="AI269" t="n">
        <v>10</v>
      </c>
      <c r="AJ269" t="n">
        <v>3</v>
      </c>
      <c r="AK269" t="n">
        <v>20</v>
      </c>
      <c r="AL269" t="n">
        <v>1</v>
      </c>
      <c r="AM269" t="n">
        <v>7</v>
      </c>
      <c r="AN269" t="n">
        <v>0</v>
      </c>
      <c r="AO269" t="n">
        <v>0</v>
      </c>
      <c r="AP269" t="inlineStr">
        <is>
          <t>No</t>
        </is>
      </c>
      <c r="AQ269" t="inlineStr">
        <is>
          <t>Yes</t>
        </is>
      </c>
      <c r="AR269">
        <f>HYPERLINK("http://catalog.hathitrust.org/Record/005239106","HathiTrust Record")</f>
        <v/>
      </c>
      <c r="AS269">
        <f>HYPERLINK("https://creighton-primo.hosted.exlibrisgroup.com/primo-explore/search?tab=default_tab&amp;search_scope=EVERYTHING&amp;vid=01CRU&amp;lang=en_US&amp;offset=0&amp;query=any,contains,991004907979702656","Catalog Record")</f>
        <v/>
      </c>
      <c r="AT269">
        <f>HYPERLINK("http://www.worldcat.org/oclc/62615914","WorldCat Record")</f>
        <v/>
      </c>
      <c r="AU269" t="inlineStr">
        <is>
          <t>1026818:eng</t>
        </is>
      </c>
      <c r="AV269" t="inlineStr">
        <is>
          <t>62615914</t>
        </is>
      </c>
      <c r="AW269" t="inlineStr">
        <is>
          <t>991004907979702656</t>
        </is>
      </c>
      <c r="AX269" t="inlineStr">
        <is>
          <t>991004907979702656</t>
        </is>
      </c>
      <c r="AY269" t="inlineStr">
        <is>
          <t>2260443090002656</t>
        </is>
      </c>
      <c r="AZ269" t="inlineStr">
        <is>
          <t>BOOK</t>
        </is>
      </c>
      <c r="BB269" t="inlineStr">
        <is>
          <t>9780742553170</t>
        </is>
      </c>
      <c r="BC269" t="inlineStr">
        <is>
          <t>32285005222475</t>
        </is>
      </c>
      <c r="BD269" t="inlineStr">
        <is>
          <t>893501074</t>
        </is>
      </c>
    </row>
    <row r="270">
      <c r="A270" t="inlineStr">
        <is>
          <t>No</t>
        </is>
      </c>
      <c r="B270" t="inlineStr">
        <is>
          <t>DC204 .B75 1995</t>
        </is>
      </c>
      <c r="C270" t="inlineStr">
        <is>
          <t>0                      DC 0204000B  75          1995</t>
        </is>
      </c>
      <c r="D270" t="inlineStr">
        <is>
          <t>Napoleon and Josephine : the improbable marriage / Evangeline Bruce.</t>
        </is>
      </c>
      <c r="F270" t="inlineStr">
        <is>
          <t>No</t>
        </is>
      </c>
      <c r="G270" t="inlineStr">
        <is>
          <t>1</t>
        </is>
      </c>
      <c r="H270" t="inlineStr">
        <is>
          <t>No</t>
        </is>
      </c>
      <c r="I270" t="inlineStr">
        <is>
          <t>No</t>
        </is>
      </c>
      <c r="J270" t="inlineStr">
        <is>
          <t>0</t>
        </is>
      </c>
      <c r="K270" t="inlineStr">
        <is>
          <t>Bruce, Evangeline.</t>
        </is>
      </c>
      <c r="L270" t="inlineStr">
        <is>
          <t>New York : Scribner, c1995.</t>
        </is>
      </c>
      <c r="M270" t="inlineStr">
        <is>
          <t>1995</t>
        </is>
      </c>
      <c r="O270" t="inlineStr">
        <is>
          <t>eng</t>
        </is>
      </c>
      <c r="P270" t="inlineStr">
        <is>
          <t>nyu</t>
        </is>
      </c>
      <c r="R270" t="inlineStr">
        <is>
          <t xml:space="preserve">DC </t>
        </is>
      </c>
      <c r="S270" t="n">
        <v>3</v>
      </c>
      <c r="T270" t="n">
        <v>3</v>
      </c>
      <c r="U270" t="inlineStr">
        <is>
          <t>2002-05-07</t>
        </is>
      </c>
      <c r="V270" t="inlineStr">
        <is>
          <t>2002-05-07</t>
        </is>
      </c>
      <c r="W270" t="inlineStr">
        <is>
          <t>1995-04-17</t>
        </is>
      </c>
      <c r="X270" t="inlineStr">
        <is>
          <t>1995-04-17</t>
        </is>
      </c>
      <c r="Y270" t="n">
        <v>753</v>
      </c>
      <c r="Z270" t="n">
        <v>706</v>
      </c>
      <c r="AA270" t="n">
        <v>780</v>
      </c>
      <c r="AB270" t="n">
        <v>4</v>
      </c>
      <c r="AC270" t="n">
        <v>4</v>
      </c>
      <c r="AD270" t="n">
        <v>13</v>
      </c>
      <c r="AE270" t="n">
        <v>15</v>
      </c>
      <c r="AF270" t="n">
        <v>0</v>
      </c>
      <c r="AG270" t="n">
        <v>1</v>
      </c>
      <c r="AH270" t="n">
        <v>4</v>
      </c>
      <c r="AI270" t="n">
        <v>5</v>
      </c>
      <c r="AJ270" t="n">
        <v>9</v>
      </c>
      <c r="AK270" t="n">
        <v>10</v>
      </c>
      <c r="AL270" t="n">
        <v>2</v>
      </c>
      <c r="AM270" t="n">
        <v>2</v>
      </c>
      <c r="AN270" t="n">
        <v>0</v>
      </c>
      <c r="AO270" t="n">
        <v>0</v>
      </c>
      <c r="AP270" t="inlineStr">
        <is>
          <t>No</t>
        </is>
      </c>
      <c r="AQ270" t="inlineStr">
        <is>
          <t>Yes</t>
        </is>
      </c>
      <c r="AR270">
        <f>HYPERLINK("http://catalog.hathitrust.org/Record/002960944","HathiTrust Record")</f>
        <v/>
      </c>
      <c r="AS270">
        <f>HYPERLINK("https://creighton-primo.hosted.exlibrisgroup.com/primo-explore/search?tab=default_tab&amp;search_scope=EVERYTHING&amp;vid=01CRU&amp;lang=en_US&amp;offset=0&amp;query=any,contains,991002414909702656","Catalog Record")</f>
        <v/>
      </c>
      <c r="AT270">
        <f>HYPERLINK("http://www.worldcat.org/oclc/31434320","WorldCat Record")</f>
        <v/>
      </c>
      <c r="AU270" t="inlineStr">
        <is>
          <t>14471250:eng</t>
        </is>
      </c>
      <c r="AV270" t="inlineStr">
        <is>
          <t>31434320</t>
        </is>
      </c>
      <c r="AW270" t="inlineStr">
        <is>
          <t>991002414909702656</t>
        </is>
      </c>
      <c r="AX270" t="inlineStr">
        <is>
          <t>991002414909702656</t>
        </is>
      </c>
      <c r="AY270" t="inlineStr">
        <is>
          <t>2263102220002656</t>
        </is>
      </c>
      <c r="AZ270" t="inlineStr">
        <is>
          <t>BOOK</t>
        </is>
      </c>
      <c r="BB270" t="inlineStr">
        <is>
          <t>9780025178106</t>
        </is>
      </c>
      <c r="BC270" t="inlineStr">
        <is>
          <t>32285002019171</t>
        </is>
      </c>
      <c r="BD270" t="inlineStr">
        <is>
          <t>893322907</t>
        </is>
      </c>
    </row>
    <row r="271">
      <c r="A271" t="inlineStr">
        <is>
          <t>No</t>
        </is>
      </c>
      <c r="B271" t="inlineStr">
        <is>
          <t>DC205 .G6</t>
        </is>
      </c>
      <c r="C271" t="inlineStr">
        <is>
          <t>0                      DC 0205000G  6</t>
        </is>
      </c>
      <c r="D271" t="inlineStr">
        <is>
          <t>Napoleon's eighty days / [by] D. J. Goodspeed.</t>
        </is>
      </c>
      <c r="F271" t="inlineStr">
        <is>
          <t>No</t>
        </is>
      </c>
      <c r="G271" t="inlineStr">
        <is>
          <t>1</t>
        </is>
      </c>
      <c r="H271" t="inlineStr">
        <is>
          <t>No</t>
        </is>
      </c>
      <c r="I271" t="inlineStr">
        <is>
          <t>No</t>
        </is>
      </c>
      <c r="J271" t="inlineStr">
        <is>
          <t>0</t>
        </is>
      </c>
      <c r="K271" t="inlineStr">
        <is>
          <t>Goodspeed, D. J. (Donald James), 1919-</t>
        </is>
      </c>
      <c r="L271" t="inlineStr">
        <is>
          <t>Boston : Houghton Mifflin, 1965.</t>
        </is>
      </c>
      <c r="M271" t="inlineStr">
        <is>
          <t>1965</t>
        </is>
      </c>
      <c r="O271" t="inlineStr">
        <is>
          <t>eng</t>
        </is>
      </c>
      <c r="P271" t="inlineStr">
        <is>
          <t>___</t>
        </is>
      </c>
      <c r="R271" t="inlineStr">
        <is>
          <t xml:space="preserve">DC </t>
        </is>
      </c>
      <c r="S271" t="n">
        <v>1</v>
      </c>
      <c r="T271" t="n">
        <v>1</v>
      </c>
      <c r="U271" t="inlineStr">
        <is>
          <t>2001-03-23</t>
        </is>
      </c>
      <c r="V271" t="inlineStr">
        <is>
          <t>2001-03-23</t>
        </is>
      </c>
      <c r="W271" t="inlineStr">
        <is>
          <t>1990-07-19</t>
        </is>
      </c>
      <c r="X271" t="inlineStr">
        <is>
          <t>1990-07-19</t>
        </is>
      </c>
      <c r="Y271" t="n">
        <v>439</v>
      </c>
      <c r="Z271" t="n">
        <v>421</v>
      </c>
      <c r="AA271" t="n">
        <v>428</v>
      </c>
      <c r="AB271" t="n">
        <v>2</v>
      </c>
      <c r="AC271" t="n">
        <v>2</v>
      </c>
      <c r="AD271" t="n">
        <v>11</v>
      </c>
      <c r="AE271" t="n">
        <v>11</v>
      </c>
      <c r="AF271" t="n">
        <v>1</v>
      </c>
      <c r="AG271" t="n">
        <v>1</v>
      </c>
      <c r="AH271" t="n">
        <v>4</v>
      </c>
      <c r="AI271" t="n">
        <v>4</v>
      </c>
      <c r="AJ271" t="n">
        <v>8</v>
      </c>
      <c r="AK271" t="n">
        <v>8</v>
      </c>
      <c r="AL271" t="n">
        <v>1</v>
      </c>
      <c r="AM271" t="n">
        <v>1</v>
      </c>
      <c r="AN271" t="n">
        <v>0</v>
      </c>
      <c r="AO271" t="n">
        <v>0</v>
      </c>
      <c r="AP271" t="inlineStr">
        <is>
          <t>No</t>
        </is>
      </c>
      <c r="AQ271" t="inlineStr">
        <is>
          <t>Yes</t>
        </is>
      </c>
      <c r="AR271">
        <f>HYPERLINK("http://catalog.hathitrust.org/Record/000604196","HathiTrust Record")</f>
        <v/>
      </c>
      <c r="AS271">
        <f>HYPERLINK("https://creighton-primo.hosted.exlibrisgroup.com/primo-explore/search?tab=default_tab&amp;search_scope=EVERYTHING&amp;vid=01CRU&amp;lang=en_US&amp;offset=0&amp;query=any,contains,991002993299702656","Catalog Record")</f>
        <v/>
      </c>
      <c r="AT271">
        <f>HYPERLINK("http://www.worldcat.org/oclc/562008","WorldCat Record")</f>
        <v/>
      </c>
      <c r="AU271" t="inlineStr">
        <is>
          <t>1639298:eng</t>
        </is>
      </c>
      <c r="AV271" t="inlineStr">
        <is>
          <t>562008</t>
        </is>
      </c>
      <c r="AW271" t="inlineStr">
        <is>
          <t>991002993299702656</t>
        </is>
      </c>
      <c r="AX271" t="inlineStr">
        <is>
          <t>991002993299702656</t>
        </is>
      </c>
      <c r="AY271" t="inlineStr">
        <is>
          <t>2254804830002656</t>
        </is>
      </c>
      <c r="AZ271" t="inlineStr">
        <is>
          <t>BOOK</t>
        </is>
      </c>
      <c r="BC271" t="inlineStr">
        <is>
          <t>32285000239292</t>
        </is>
      </c>
      <c r="BD271" t="inlineStr">
        <is>
          <t>893415903</t>
        </is>
      </c>
    </row>
    <row r="272">
      <c r="A272" t="inlineStr">
        <is>
          <t>No</t>
        </is>
      </c>
      <c r="B272" t="inlineStr">
        <is>
          <t>DC209 .S3</t>
        </is>
      </c>
      <c r="C272" t="inlineStr">
        <is>
          <t>0                      DC 0209000S  3</t>
        </is>
      </c>
      <c r="D272" t="inlineStr">
        <is>
          <t>Napoleon from the Tuileries to St. Helena.</t>
        </is>
      </c>
      <c r="F272" t="inlineStr">
        <is>
          <t>No</t>
        </is>
      </c>
      <c r="G272" t="inlineStr">
        <is>
          <t>1</t>
        </is>
      </c>
      <c r="H272" t="inlineStr">
        <is>
          <t>No</t>
        </is>
      </c>
      <c r="I272" t="inlineStr">
        <is>
          <t>No</t>
        </is>
      </c>
      <c r="J272" t="inlineStr">
        <is>
          <t>0</t>
        </is>
      </c>
      <c r="K272" t="inlineStr">
        <is>
          <t>Saint-Denis, Louis-Etienne, 1788-1856.</t>
        </is>
      </c>
      <c r="L272" t="inlineStr">
        <is>
          <t>New York and London, Harper &amp; brothers [c1922]</t>
        </is>
      </c>
      <c r="M272" t="inlineStr">
        <is>
          <t>1922</t>
        </is>
      </c>
      <c r="O272" t="inlineStr">
        <is>
          <t>eng</t>
        </is>
      </c>
      <c r="P272" t="inlineStr">
        <is>
          <t xml:space="preserve">xx </t>
        </is>
      </c>
      <c r="R272" t="inlineStr">
        <is>
          <t xml:space="preserve">DC </t>
        </is>
      </c>
      <c r="S272" t="n">
        <v>8</v>
      </c>
      <c r="T272" t="n">
        <v>8</v>
      </c>
      <c r="U272" t="inlineStr">
        <is>
          <t>2000-02-24</t>
        </is>
      </c>
      <c r="V272" t="inlineStr">
        <is>
          <t>2000-02-24</t>
        </is>
      </c>
      <c r="W272" t="inlineStr">
        <is>
          <t>1996-11-11</t>
        </is>
      </c>
      <c r="X272" t="inlineStr">
        <is>
          <t>1996-11-11</t>
        </is>
      </c>
      <c r="Y272" t="n">
        <v>212</v>
      </c>
      <c r="Z272" t="n">
        <v>193</v>
      </c>
      <c r="AA272" t="n">
        <v>228</v>
      </c>
      <c r="AB272" t="n">
        <v>3</v>
      </c>
      <c r="AC272" t="n">
        <v>3</v>
      </c>
      <c r="AD272" t="n">
        <v>9</v>
      </c>
      <c r="AE272" t="n">
        <v>10</v>
      </c>
      <c r="AF272" t="n">
        <v>0</v>
      </c>
      <c r="AG272" t="n">
        <v>1</v>
      </c>
      <c r="AH272" t="n">
        <v>2</v>
      </c>
      <c r="AI272" t="n">
        <v>3</v>
      </c>
      <c r="AJ272" t="n">
        <v>5</v>
      </c>
      <c r="AK272" t="n">
        <v>5</v>
      </c>
      <c r="AL272" t="n">
        <v>2</v>
      </c>
      <c r="AM272" t="n">
        <v>2</v>
      </c>
      <c r="AN272" t="n">
        <v>0</v>
      </c>
      <c r="AO272" t="n">
        <v>0</v>
      </c>
      <c r="AP272" t="inlineStr">
        <is>
          <t>Yes</t>
        </is>
      </c>
      <c r="AQ272" t="inlineStr">
        <is>
          <t>No</t>
        </is>
      </c>
      <c r="AR272">
        <f>HYPERLINK("http://catalog.hathitrust.org/Record/000607053","HathiTrust Record")</f>
        <v/>
      </c>
      <c r="AS272">
        <f>HYPERLINK("https://creighton-primo.hosted.exlibrisgroup.com/primo-explore/search?tab=default_tab&amp;search_scope=EVERYTHING&amp;vid=01CRU&amp;lang=en_US&amp;offset=0&amp;query=any,contains,991002692599702656","Catalog Record")</f>
        <v/>
      </c>
      <c r="AT272">
        <f>HYPERLINK("http://www.worldcat.org/oclc/402053","WorldCat Record")</f>
        <v/>
      </c>
      <c r="AU272" t="inlineStr">
        <is>
          <t>292444627:eng</t>
        </is>
      </c>
      <c r="AV272" t="inlineStr">
        <is>
          <t>402053</t>
        </is>
      </c>
      <c r="AW272" t="inlineStr">
        <is>
          <t>991002692599702656</t>
        </is>
      </c>
      <c r="AX272" t="inlineStr">
        <is>
          <t>991002692599702656</t>
        </is>
      </c>
      <c r="AY272" t="inlineStr">
        <is>
          <t>2267693750002656</t>
        </is>
      </c>
      <c r="AZ272" t="inlineStr">
        <is>
          <t>BOOK</t>
        </is>
      </c>
      <c r="BC272" t="inlineStr">
        <is>
          <t>32285002343811</t>
        </is>
      </c>
      <c r="BD272" t="inlineStr">
        <is>
          <t>893773922</t>
        </is>
      </c>
    </row>
    <row r="273">
      <c r="A273" t="inlineStr">
        <is>
          <t>No</t>
        </is>
      </c>
      <c r="B273" t="inlineStr">
        <is>
          <t>DC211 .A133</t>
        </is>
      </c>
      <c r="C273" t="inlineStr">
        <is>
          <t>0                      DC 0211000A  133</t>
        </is>
      </c>
      <c r="D273" t="inlineStr">
        <is>
          <t>Napoleon at St. Helena; or, interesting anecdotes and remarkable conversations of the emperor during the five and a half years of his capitivity. Collected from the memorials of Las Casas, O'Meara, Moutholon, Antommarchi, and others. By John S. C. Abbott, with illustrations ...</t>
        </is>
      </c>
      <c r="F273" t="inlineStr">
        <is>
          <t>No</t>
        </is>
      </c>
      <c r="G273" t="inlineStr">
        <is>
          <t>1</t>
        </is>
      </c>
      <c r="H273" t="inlineStr">
        <is>
          <t>No</t>
        </is>
      </c>
      <c r="I273" t="inlineStr">
        <is>
          <t>No</t>
        </is>
      </c>
      <c r="J273" t="inlineStr">
        <is>
          <t>0</t>
        </is>
      </c>
      <c r="K273" t="inlineStr">
        <is>
          <t>Abbott, John S. C. (John Stevens Cabot), 1805-1877.</t>
        </is>
      </c>
      <c r="L273" t="inlineStr">
        <is>
          <t>New York, Harper &amp; brothers, 1855.</t>
        </is>
      </c>
      <c r="M273" t="inlineStr">
        <is>
          <t>1855</t>
        </is>
      </c>
      <c r="O273" t="inlineStr">
        <is>
          <t>eng</t>
        </is>
      </c>
      <c r="P273" t="inlineStr">
        <is>
          <t>nyu</t>
        </is>
      </c>
      <c r="R273" t="inlineStr">
        <is>
          <t xml:space="preserve">DC </t>
        </is>
      </c>
      <c r="S273" t="n">
        <v>1</v>
      </c>
      <c r="T273" t="n">
        <v>1</v>
      </c>
      <c r="U273" t="inlineStr">
        <is>
          <t>2005-04-18</t>
        </is>
      </c>
      <c r="V273" t="inlineStr">
        <is>
          <t>2005-04-18</t>
        </is>
      </c>
      <c r="W273" t="inlineStr">
        <is>
          <t>1996-11-11</t>
        </is>
      </c>
      <c r="X273" t="inlineStr">
        <is>
          <t>1996-11-11</t>
        </is>
      </c>
      <c r="Y273" t="n">
        <v>137</v>
      </c>
      <c r="Z273" t="n">
        <v>132</v>
      </c>
      <c r="AA273" t="n">
        <v>153</v>
      </c>
      <c r="AB273" t="n">
        <v>2</v>
      </c>
      <c r="AC273" t="n">
        <v>2</v>
      </c>
      <c r="AD273" t="n">
        <v>10</v>
      </c>
      <c r="AE273" t="n">
        <v>10</v>
      </c>
      <c r="AF273" t="n">
        <v>2</v>
      </c>
      <c r="AG273" t="n">
        <v>2</v>
      </c>
      <c r="AH273" t="n">
        <v>1</v>
      </c>
      <c r="AI273" t="n">
        <v>1</v>
      </c>
      <c r="AJ273" t="n">
        <v>6</v>
      </c>
      <c r="AK273" t="n">
        <v>6</v>
      </c>
      <c r="AL273" t="n">
        <v>1</v>
      </c>
      <c r="AM273" t="n">
        <v>1</v>
      </c>
      <c r="AN273" t="n">
        <v>0</v>
      </c>
      <c r="AO273" t="n">
        <v>0</v>
      </c>
      <c r="AP273" t="inlineStr">
        <is>
          <t>Yes</t>
        </is>
      </c>
      <c r="AQ273" t="inlineStr">
        <is>
          <t>No</t>
        </is>
      </c>
      <c r="AR273">
        <f>HYPERLINK("http://catalog.hathitrust.org/Record/011636200","HathiTrust Record")</f>
        <v/>
      </c>
      <c r="AS273">
        <f>HYPERLINK("https://creighton-primo.hosted.exlibrisgroup.com/primo-explore/search?tab=default_tab&amp;search_scope=EVERYTHING&amp;vid=01CRU&amp;lang=en_US&amp;offset=0&amp;query=any,contains,991004513869702656","Catalog Record")</f>
        <v/>
      </c>
      <c r="AT273">
        <f>HYPERLINK("http://www.worldcat.org/oclc/3776088","WorldCat Record")</f>
        <v/>
      </c>
      <c r="AU273" t="inlineStr">
        <is>
          <t>10952396:eng</t>
        </is>
      </c>
      <c r="AV273" t="inlineStr">
        <is>
          <t>3776088</t>
        </is>
      </c>
      <c r="AW273" t="inlineStr">
        <is>
          <t>991004513869702656</t>
        </is>
      </c>
      <c r="AX273" t="inlineStr">
        <is>
          <t>991004513869702656</t>
        </is>
      </c>
      <c r="AY273" t="inlineStr">
        <is>
          <t>2255742650002656</t>
        </is>
      </c>
      <c r="AZ273" t="inlineStr">
        <is>
          <t>BOOK</t>
        </is>
      </c>
      <c r="BC273" t="inlineStr">
        <is>
          <t>32285002343829</t>
        </is>
      </c>
      <c r="BD273" t="inlineStr">
        <is>
          <t>893888803</t>
        </is>
      </c>
    </row>
    <row r="274">
      <c r="A274" t="inlineStr">
        <is>
          <t>No</t>
        </is>
      </c>
      <c r="B274" t="inlineStr">
        <is>
          <t>DC211 .H354 1994</t>
        </is>
      </c>
      <c r="C274" t="inlineStr">
        <is>
          <t>0                      DC 0211000H  354         1994</t>
        </is>
      </c>
      <c r="D274" t="inlineStr">
        <is>
          <t>The fall of Napoleon : the final betrayal / David Hamilton-Williams.</t>
        </is>
      </c>
      <c r="F274" t="inlineStr">
        <is>
          <t>No</t>
        </is>
      </c>
      <c r="G274" t="inlineStr">
        <is>
          <t>1</t>
        </is>
      </c>
      <c r="H274" t="inlineStr">
        <is>
          <t>No</t>
        </is>
      </c>
      <c r="I274" t="inlineStr">
        <is>
          <t>No</t>
        </is>
      </c>
      <c r="J274" t="inlineStr">
        <is>
          <t>0</t>
        </is>
      </c>
      <c r="K274" t="inlineStr">
        <is>
          <t>Hamilton-Williams, David.</t>
        </is>
      </c>
      <c r="L274" t="inlineStr">
        <is>
          <t>London : Arms and Armour ; New York, NY : Distributed in the USA by Sterling Pub. Co., c1994.</t>
        </is>
      </c>
      <c r="M274" t="inlineStr">
        <is>
          <t>1994</t>
        </is>
      </c>
      <c r="O274" t="inlineStr">
        <is>
          <t>eng</t>
        </is>
      </c>
      <c r="P274" t="inlineStr">
        <is>
          <t>enk</t>
        </is>
      </c>
      <c r="R274" t="inlineStr">
        <is>
          <t xml:space="preserve">DC </t>
        </is>
      </c>
      <c r="S274" t="n">
        <v>3</v>
      </c>
      <c r="T274" t="n">
        <v>3</v>
      </c>
      <c r="U274" t="inlineStr">
        <is>
          <t>2002-05-07</t>
        </is>
      </c>
      <c r="V274" t="inlineStr">
        <is>
          <t>2002-05-07</t>
        </is>
      </c>
      <c r="W274" t="inlineStr">
        <is>
          <t>1995-08-31</t>
        </is>
      </c>
      <c r="X274" t="inlineStr">
        <is>
          <t>1995-08-31</t>
        </is>
      </c>
      <c r="Y274" t="n">
        <v>147</v>
      </c>
      <c r="Z274" t="n">
        <v>91</v>
      </c>
      <c r="AA274" t="n">
        <v>569</v>
      </c>
      <c r="AB274" t="n">
        <v>2</v>
      </c>
      <c r="AC274" t="n">
        <v>4</v>
      </c>
      <c r="AD274" t="n">
        <v>4</v>
      </c>
      <c r="AE274" t="n">
        <v>16</v>
      </c>
      <c r="AF274" t="n">
        <v>0</v>
      </c>
      <c r="AG274" t="n">
        <v>3</v>
      </c>
      <c r="AH274" t="n">
        <v>2</v>
      </c>
      <c r="AI274" t="n">
        <v>6</v>
      </c>
      <c r="AJ274" t="n">
        <v>3</v>
      </c>
      <c r="AK274" t="n">
        <v>9</v>
      </c>
      <c r="AL274" t="n">
        <v>1</v>
      </c>
      <c r="AM274" t="n">
        <v>2</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HYPERLINK("https://creighton-primo.hosted.exlibrisgroup.com/primo-explore/search?tab=default_tab&amp;search_scope=EVERYTHING&amp;vid=01CRU&amp;lang=en_US&amp;offset=0&amp;query=any,contains,991002439879702656","Catalog Record")</f>
        <v/>
      </c>
      <c r="AT274">
        <f>HYPERLINK("http://www.worldcat.org/oclc/31803982","WorldCat Record")</f>
        <v/>
      </c>
      <c r="AU274" t="inlineStr">
        <is>
          <t>2656529:eng</t>
        </is>
      </c>
      <c r="AV274" t="inlineStr">
        <is>
          <t>31803982</t>
        </is>
      </c>
      <c r="AW274" t="inlineStr">
        <is>
          <t>991002439879702656</t>
        </is>
      </c>
      <c r="AX274" t="inlineStr">
        <is>
          <t>991002439879702656</t>
        </is>
      </c>
      <c r="AY274" t="inlineStr">
        <is>
          <t>2261950170002656</t>
        </is>
      </c>
      <c r="AZ274" t="inlineStr">
        <is>
          <t>BOOK</t>
        </is>
      </c>
      <c r="BB274" t="inlineStr">
        <is>
          <t>9781854092014</t>
        </is>
      </c>
      <c r="BC274" t="inlineStr">
        <is>
          <t>32285002091816</t>
        </is>
      </c>
      <c r="BD274" t="inlineStr">
        <is>
          <t>893792471</t>
        </is>
      </c>
    </row>
    <row r="275">
      <c r="A275" t="inlineStr">
        <is>
          <t>No</t>
        </is>
      </c>
      <c r="B275" t="inlineStr">
        <is>
          <t>DC211 .K6</t>
        </is>
      </c>
      <c r="C275" t="inlineStr">
        <is>
          <t>0                      DC 0211000K  6</t>
        </is>
      </c>
      <c r="D275" t="inlineStr">
        <is>
          <t>The last years of Napoleon: his captivity on St. Helena.</t>
        </is>
      </c>
      <c r="F275" t="inlineStr">
        <is>
          <t>No</t>
        </is>
      </c>
      <c r="G275" t="inlineStr">
        <is>
          <t>1</t>
        </is>
      </c>
      <c r="H275" t="inlineStr">
        <is>
          <t>No</t>
        </is>
      </c>
      <c r="I275" t="inlineStr">
        <is>
          <t>No</t>
        </is>
      </c>
      <c r="J275" t="inlineStr">
        <is>
          <t>0</t>
        </is>
      </c>
      <c r="K275" t="inlineStr">
        <is>
          <t>Korngold, Ralph, 1882-1964.</t>
        </is>
      </c>
      <c r="L275" t="inlineStr">
        <is>
          <t>New York, Harcourt, Brace [1959]</t>
        </is>
      </c>
      <c r="M275" t="inlineStr">
        <is>
          <t>1959</t>
        </is>
      </c>
      <c r="N275" t="inlineStr">
        <is>
          <t>[1st ed.]</t>
        </is>
      </c>
      <c r="O275" t="inlineStr">
        <is>
          <t>eng</t>
        </is>
      </c>
      <c r="P275" t="inlineStr">
        <is>
          <t>nyu</t>
        </is>
      </c>
      <c r="R275" t="inlineStr">
        <is>
          <t xml:space="preserve">DC </t>
        </is>
      </c>
      <c r="S275" t="n">
        <v>1</v>
      </c>
      <c r="T275" t="n">
        <v>1</v>
      </c>
      <c r="U275" t="inlineStr">
        <is>
          <t>2002-08-21</t>
        </is>
      </c>
      <c r="V275" t="inlineStr">
        <is>
          <t>2002-08-21</t>
        </is>
      </c>
      <c r="W275" t="inlineStr">
        <is>
          <t>1996-11-11</t>
        </is>
      </c>
      <c r="X275" t="inlineStr">
        <is>
          <t>1996-11-11</t>
        </is>
      </c>
      <c r="Y275" t="n">
        <v>450</v>
      </c>
      <c r="Z275" t="n">
        <v>428</v>
      </c>
      <c r="AA275" t="n">
        <v>506</v>
      </c>
      <c r="AB275" t="n">
        <v>5</v>
      </c>
      <c r="AC275" t="n">
        <v>6</v>
      </c>
      <c r="AD275" t="n">
        <v>18</v>
      </c>
      <c r="AE275" t="n">
        <v>23</v>
      </c>
      <c r="AF275" t="n">
        <v>4</v>
      </c>
      <c r="AG275" t="n">
        <v>5</v>
      </c>
      <c r="AH275" t="n">
        <v>6</v>
      </c>
      <c r="AI275" t="n">
        <v>8</v>
      </c>
      <c r="AJ275" t="n">
        <v>8</v>
      </c>
      <c r="AK275" t="n">
        <v>10</v>
      </c>
      <c r="AL275" t="n">
        <v>3</v>
      </c>
      <c r="AM275" t="n">
        <v>4</v>
      </c>
      <c r="AN275" t="n">
        <v>0</v>
      </c>
      <c r="AO275" t="n">
        <v>0</v>
      </c>
      <c r="AP275" t="inlineStr">
        <is>
          <t>No</t>
        </is>
      </c>
      <c r="AQ275" t="inlineStr">
        <is>
          <t>Yes</t>
        </is>
      </c>
      <c r="AR275">
        <f>HYPERLINK("http://catalog.hathitrust.org/Record/000606853","HathiTrust Record")</f>
        <v/>
      </c>
      <c r="AS275">
        <f>HYPERLINK("https://creighton-primo.hosted.exlibrisgroup.com/primo-explore/search?tab=default_tab&amp;search_scope=EVERYTHING&amp;vid=01CRU&amp;lang=en_US&amp;offset=0&amp;query=any,contains,991003245079702656","Catalog Record")</f>
        <v/>
      </c>
      <c r="AT275">
        <f>HYPERLINK("http://www.worldcat.org/oclc/768323","WorldCat Record")</f>
        <v/>
      </c>
      <c r="AU275" t="inlineStr">
        <is>
          <t>103294777:eng</t>
        </is>
      </c>
      <c r="AV275" t="inlineStr">
        <is>
          <t>768323</t>
        </is>
      </c>
      <c r="AW275" t="inlineStr">
        <is>
          <t>991003245079702656</t>
        </is>
      </c>
      <c r="AX275" t="inlineStr">
        <is>
          <t>991003245079702656</t>
        </is>
      </c>
      <c r="AY275" t="inlineStr">
        <is>
          <t>2269363360002656</t>
        </is>
      </c>
      <c r="AZ275" t="inlineStr">
        <is>
          <t>BOOK</t>
        </is>
      </c>
      <c r="BC275" t="inlineStr">
        <is>
          <t>32285002343886</t>
        </is>
      </c>
      <c r="BD275" t="inlineStr">
        <is>
          <t>893698799</t>
        </is>
      </c>
    </row>
    <row r="276">
      <c r="A276" t="inlineStr">
        <is>
          <t>No</t>
        </is>
      </c>
      <c r="B276" t="inlineStr">
        <is>
          <t>DC211 .L382 1894</t>
        </is>
      </c>
      <c r="C276" t="inlineStr">
        <is>
          <t>0                      DC 0211000L  382         1894</t>
        </is>
      </c>
      <c r="D276" t="inlineStr">
        <is>
          <t>Memoirs of the life, exile, and conversations of the Emperor Napoleon / by the Count de Las Cases.</t>
        </is>
      </c>
      <c r="E276" t="inlineStr">
        <is>
          <t>V. 3</t>
        </is>
      </c>
      <c r="F276" t="inlineStr">
        <is>
          <t>Yes</t>
        </is>
      </c>
      <c r="G276" t="inlineStr">
        <is>
          <t>1</t>
        </is>
      </c>
      <c r="H276" t="inlineStr">
        <is>
          <t>No</t>
        </is>
      </c>
      <c r="I276" t="inlineStr">
        <is>
          <t>No</t>
        </is>
      </c>
      <c r="J276" t="inlineStr">
        <is>
          <t>0</t>
        </is>
      </c>
      <c r="K276" t="inlineStr">
        <is>
          <t>Las Cases, Emmanuel-Auguste-Dieudonné, comte de, 1766-1842.</t>
        </is>
      </c>
      <c r="L276" t="inlineStr">
        <is>
          <t>New York : H.W. Hagemann Publishing, 1894.</t>
        </is>
      </c>
      <c r="M276" t="inlineStr">
        <is>
          <t>1894</t>
        </is>
      </c>
      <c r="N276" t="inlineStr">
        <is>
          <t>New ed.</t>
        </is>
      </c>
      <c r="O276" t="inlineStr">
        <is>
          <t>eng</t>
        </is>
      </c>
      <c r="P276" t="inlineStr">
        <is>
          <t>nyu</t>
        </is>
      </c>
      <c r="R276" t="inlineStr">
        <is>
          <t xml:space="preserve">DC </t>
        </is>
      </c>
      <c r="S276" t="n">
        <v>1</v>
      </c>
      <c r="T276" t="n">
        <v>4</v>
      </c>
      <c r="U276" t="inlineStr">
        <is>
          <t>1995-03-06</t>
        </is>
      </c>
      <c r="V276" t="inlineStr">
        <is>
          <t>1995-03-06</t>
        </is>
      </c>
      <c r="W276" t="inlineStr">
        <is>
          <t>1993-07-13</t>
        </is>
      </c>
      <c r="X276" t="inlineStr">
        <is>
          <t>1993-07-13</t>
        </is>
      </c>
      <c r="Y276" t="n">
        <v>20</v>
      </c>
      <c r="Z276" t="n">
        <v>20</v>
      </c>
      <c r="AA276" t="n">
        <v>194</v>
      </c>
      <c r="AB276" t="n">
        <v>1</v>
      </c>
      <c r="AC276" t="n">
        <v>2</v>
      </c>
      <c r="AD276" t="n">
        <v>2</v>
      </c>
      <c r="AE276" t="n">
        <v>17</v>
      </c>
      <c r="AF276" t="n">
        <v>0</v>
      </c>
      <c r="AG276" t="n">
        <v>4</v>
      </c>
      <c r="AH276" t="n">
        <v>1</v>
      </c>
      <c r="AI276" t="n">
        <v>6</v>
      </c>
      <c r="AJ276" t="n">
        <v>1</v>
      </c>
      <c r="AK276" t="n">
        <v>10</v>
      </c>
      <c r="AL276" t="n">
        <v>0</v>
      </c>
      <c r="AM276" t="n">
        <v>1</v>
      </c>
      <c r="AN276" t="n">
        <v>0</v>
      </c>
      <c r="AO276" t="n">
        <v>0</v>
      </c>
      <c r="AP276" t="inlineStr">
        <is>
          <t>Yes</t>
        </is>
      </c>
      <c r="AQ276" t="inlineStr">
        <is>
          <t>No</t>
        </is>
      </c>
      <c r="AR276">
        <f>HYPERLINK("http://catalog.hathitrust.org/Record/006591823","HathiTrust Record")</f>
        <v/>
      </c>
      <c r="AS276">
        <f>HYPERLINK("https://creighton-primo.hosted.exlibrisgroup.com/primo-explore/search?tab=default_tab&amp;search_scope=EVERYTHING&amp;vid=01CRU&amp;lang=en_US&amp;offset=0&amp;query=any,contains,991005238599702656","Catalog Record")</f>
        <v/>
      </c>
      <c r="AT276">
        <f>HYPERLINK("http://www.worldcat.org/oclc/8395029","WorldCat Record")</f>
        <v/>
      </c>
      <c r="AU276" t="inlineStr">
        <is>
          <t>3372163505:eng</t>
        </is>
      </c>
      <c r="AV276" t="inlineStr">
        <is>
          <t>8395029</t>
        </is>
      </c>
      <c r="AW276" t="inlineStr">
        <is>
          <t>991005238599702656</t>
        </is>
      </c>
      <c r="AX276" t="inlineStr">
        <is>
          <t>991005238599702656</t>
        </is>
      </c>
      <c r="AY276" t="inlineStr">
        <is>
          <t>2263188760002656</t>
        </is>
      </c>
      <c r="AZ276" t="inlineStr">
        <is>
          <t>BOOK</t>
        </is>
      </c>
      <c r="BC276" t="inlineStr">
        <is>
          <t>32285001722551</t>
        </is>
      </c>
      <c r="BD276" t="inlineStr">
        <is>
          <t>893795839</t>
        </is>
      </c>
    </row>
    <row r="277">
      <c r="A277" t="inlineStr">
        <is>
          <t>No</t>
        </is>
      </c>
      <c r="B277" t="inlineStr">
        <is>
          <t>DC211 .L382 1894</t>
        </is>
      </c>
      <c r="C277" t="inlineStr">
        <is>
          <t>0                      DC 0211000L  382         1894</t>
        </is>
      </c>
      <c r="D277" t="inlineStr">
        <is>
          <t>Memoirs of the life, exile, and conversations of the Emperor Napoleon / by the Count de Las Cases.</t>
        </is>
      </c>
      <c r="E277" t="inlineStr">
        <is>
          <t>V. 1</t>
        </is>
      </c>
      <c r="F277" t="inlineStr">
        <is>
          <t>Yes</t>
        </is>
      </c>
      <c r="G277" t="inlineStr">
        <is>
          <t>1</t>
        </is>
      </c>
      <c r="H277" t="inlineStr">
        <is>
          <t>No</t>
        </is>
      </c>
      <c r="I277" t="inlineStr">
        <is>
          <t>No</t>
        </is>
      </c>
      <c r="J277" t="inlineStr">
        <is>
          <t>0</t>
        </is>
      </c>
      <c r="K277" t="inlineStr">
        <is>
          <t>Las Cases, Emmanuel-Auguste-Dieudonné, comte de, 1766-1842.</t>
        </is>
      </c>
      <c r="L277" t="inlineStr">
        <is>
          <t>New York : H.W. Hagemann Publishing, 1894.</t>
        </is>
      </c>
      <c r="M277" t="inlineStr">
        <is>
          <t>1894</t>
        </is>
      </c>
      <c r="N277" t="inlineStr">
        <is>
          <t>New ed.</t>
        </is>
      </c>
      <c r="O277" t="inlineStr">
        <is>
          <t>eng</t>
        </is>
      </c>
      <c r="P277" t="inlineStr">
        <is>
          <t>nyu</t>
        </is>
      </c>
      <c r="R277" t="inlineStr">
        <is>
          <t xml:space="preserve">DC </t>
        </is>
      </c>
      <c r="S277" t="n">
        <v>1</v>
      </c>
      <c r="T277" t="n">
        <v>4</v>
      </c>
      <c r="U277" t="inlineStr">
        <is>
          <t>1995-03-06</t>
        </is>
      </c>
      <c r="V277" t="inlineStr">
        <is>
          <t>1995-03-06</t>
        </is>
      </c>
      <c r="W277" t="inlineStr">
        <is>
          <t>1993-07-13</t>
        </is>
      </c>
      <c r="X277" t="inlineStr">
        <is>
          <t>1993-07-13</t>
        </is>
      </c>
      <c r="Y277" t="n">
        <v>20</v>
      </c>
      <c r="Z277" t="n">
        <v>20</v>
      </c>
      <c r="AA277" t="n">
        <v>194</v>
      </c>
      <c r="AB277" t="n">
        <v>1</v>
      </c>
      <c r="AC277" t="n">
        <v>2</v>
      </c>
      <c r="AD277" t="n">
        <v>2</v>
      </c>
      <c r="AE277" t="n">
        <v>17</v>
      </c>
      <c r="AF277" t="n">
        <v>0</v>
      </c>
      <c r="AG277" t="n">
        <v>4</v>
      </c>
      <c r="AH277" t="n">
        <v>1</v>
      </c>
      <c r="AI277" t="n">
        <v>6</v>
      </c>
      <c r="AJ277" t="n">
        <v>1</v>
      </c>
      <c r="AK277" t="n">
        <v>10</v>
      </c>
      <c r="AL277" t="n">
        <v>0</v>
      </c>
      <c r="AM277" t="n">
        <v>1</v>
      </c>
      <c r="AN277" t="n">
        <v>0</v>
      </c>
      <c r="AO277" t="n">
        <v>0</v>
      </c>
      <c r="AP277" t="inlineStr">
        <is>
          <t>Yes</t>
        </is>
      </c>
      <c r="AQ277" t="inlineStr">
        <is>
          <t>No</t>
        </is>
      </c>
      <c r="AR277">
        <f>HYPERLINK("http://catalog.hathitrust.org/Record/006591823","HathiTrust Record")</f>
        <v/>
      </c>
      <c r="AS277">
        <f>HYPERLINK("https://creighton-primo.hosted.exlibrisgroup.com/primo-explore/search?tab=default_tab&amp;search_scope=EVERYTHING&amp;vid=01CRU&amp;lang=en_US&amp;offset=0&amp;query=any,contains,991005238599702656","Catalog Record")</f>
        <v/>
      </c>
      <c r="AT277">
        <f>HYPERLINK("http://www.worldcat.org/oclc/8395029","WorldCat Record")</f>
        <v/>
      </c>
      <c r="AU277" t="inlineStr">
        <is>
          <t>3372163505:eng</t>
        </is>
      </c>
      <c r="AV277" t="inlineStr">
        <is>
          <t>8395029</t>
        </is>
      </c>
      <c r="AW277" t="inlineStr">
        <is>
          <t>991005238599702656</t>
        </is>
      </c>
      <c r="AX277" t="inlineStr">
        <is>
          <t>991005238599702656</t>
        </is>
      </c>
      <c r="AY277" t="inlineStr">
        <is>
          <t>2263188760002656</t>
        </is>
      </c>
      <c r="AZ277" t="inlineStr">
        <is>
          <t>BOOK</t>
        </is>
      </c>
      <c r="BC277" t="inlineStr">
        <is>
          <t>32285001722536</t>
        </is>
      </c>
      <c r="BD277" t="inlineStr">
        <is>
          <t>893808055</t>
        </is>
      </c>
    </row>
    <row r="278">
      <c r="A278" t="inlineStr">
        <is>
          <t>No</t>
        </is>
      </c>
      <c r="B278" t="inlineStr">
        <is>
          <t>DC211 .L382 1894</t>
        </is>
      </c>
      <c r="C278" t="inlineStr">
        <is>
          <t>0                      DC 0211000L  382         1894</t>
        </is>
      </c>
      <c r="D278" t="inlineStr">
        <is>
          <t>Memoirs of the life, exile, and conversations of the Emperor Napoleon / by the Count de Las Cases.</t>
        </is>
      </c>
      <c r="E278" t="inlineStr">
        <is>
          <t>V. 2</t>
        </is>
      </c>
      <c r="F278" t="inlineStr">
        <is>
          <t>Yes</t>
        </is>
      </c>
      <c r="G278" t="inlineStr">
        <is>
          <t>1</t>
        </is>
      </c>
      <c r="H278" t="inlineStr">
        <is>
          <t>No</t>
        </is>
      </c>
      <c r="I278" t="inlineStr">
        <is>
          <t>No</t>
        </is>
      </c>
      <c r="J278" t="inlineStr">
        <is>
          <t>0</t>
        </is>
      </c>
      <c r="K278" t="inlineStr">
        <is>
          <t>Las Cases, Emmanuel-Auguste-Dieudonné, comte de, 1766-1842.</t>
        </is>
      </c>
      <c r="L278" t="inlineStr">
        <is>
          <t>New York : H.W. Hagemann Publishing, 1894.</t>
        </is>
      </c>
      <c r="M278" t="inlineStr">
        <is>
          <t>1894</t>
        </is>
      </c>
      <c r="N278" t="inlineStr">
        <is>
          <t>New ed.</t>
        </is>
      </c>
      <c r="O278" t="inlineStr">
        <is>
          <t>eng</t>
        </is>
      </c>
      <c r="P278" t="inlineStr">
        <is>
          <t>nyu</t>
        </is>
      </c>
      <c r="R278" t="inlineStr">
        <is>
          <t xml:space="preserve">DC </t>
        </is>
      </c>
      <c r="S278" t="n">
        <v>1</v>
      </c>
      <c r="T278" t="n">
        <v>4</v>
      </c>
      <c r="U278" t="inlineStr">
        <is>
          <t>1995-03-06</t>
        </is>
      </c>
      <c r="V278" t="inlineStr">
        <is>
          <t>1995-03-06</t>
        </is>
      </c>
      <c r="W278" t="inlineStr">
        <is>
          <t>1993-07-13</t>
        </is>
      </c>
      <c r="X278" t="inlineStr">
        <is>
          <t>1993-07-13</t>
        </is>
      </c>
      <c r="Y278" t="n">
        <v>20</v>
      </c>
      <c r="Z278" t="n">
        <v>20</v>
      </c>
      <c r="AA278" t="n">
        <v>194</v>
      </c>
      <c r="AB278" t="n">
        <v>1</v>
      </c>
      <c r="AC278" t="n">
        <v>2</v>
      </c>
      <c r="AD278" t="n">
        <v>2</v>
      </c>
      <c r="AE278" t="n">
        <v>17</v>
      </c>
      <c r="AF278" t="n">
        <v>0</v>
      </c>
      <c r="AG278" t="n">
        <v>4</v>
      </c>
      <c r="AH278" t="n">
        <v>1</v>
      </c>
      <c r="AI278" t="n">
        <v>6</v>
      </c>
      <c r="AJ278" t="n">
        <v>1</v>
      </c>
      <c r="AK278" t="n">
        <v>10</v>
      </c>
      <c r="AL278" t="n">
        <v>0</v>
      </c>
      <c r="AM278" t="n">
        <v>1</v>
      </c>
      <c r="AN278" t="n">
        <v>0</v>
      </c>
      <c r="AO278" t="n">
        <v>0</v>
      </c>
      <c r="AP278" t="inlineStr">
        <is>
          <t>Yes</t>
        </is>
      </c>
      <c r="AQ278" t="inlineStr">
        <is>
          <t>No</t>
        </is>
      </c>
      <c r="AR278">
        <f>HYPERLINK("http://catalog.hathitrust.org/Record/006591823","HathiTrust Record")</f>
        <v/>
      </c>
      <c r="AS278">
        <f>HYPERLINK("https://creighton-primo.hosted.exlibrisgroup.com/primo-explore/search?tab=default_tab&amp;search_scope=EVERYTHING&amp;vid=01CRU&amp;lang=en_US&amp;offset=0&amp;query=any,contains,991005238599702656","Catalog Record")</f>
        <v/>
      </c>
      <c r="AT278">
        <f>HYPERLINK("http://www.worldcat.org/oclc/8395029","WorldCat Record")</f>
        <v/>
      </c>
      <c r="AU278" t="inlineStr">
        <is>
          <t>3372163505:eng</t>
        </is>
      </c>
      <c r="AV278" t="inlineStr">
        <is>
          <t>8395029</t>
        </is>
      </c>
      <c r="AW278" t="inlineStr">
        <is>
          <t>991005238599702656</t>
        </is>
      </c>
      <c r="AX278" t="inlineStr">
        <is>
          <t>991005238599702656</t>
        </is>
      </c>
      <c r="AY278" t="inlineStr">
        <is>
          <t>2263188760002656</t>
        </is>
      </c>
      <c r="AZ278" t="inlineStr">
        <is>
          <t>BOOK</t>
        </is>
      </c>
      <c r="BC278" t="inlineStr">
        <is>
          <t>32285001722544</t>
        </is>
      </c>
      <c r="BD278" t="inlineStr">
        <is>
          <t>893795840</t>
        </is>
      </c>
    </row>
    <row r="279">
      <c r="A279" t="inlineStr">
        <is>
          <t>No</t>
        </is>
      </c>
      <c r="B279" t="inlineStr">
        <is>
          <t>DC211 .L382 1894</t>
        </is>
      </c>
      <c r="C279" t="inlineStr">
        <is>
          <t>0                      DC 0211000L  382         1894</t>
        </is>
      </c>
      <c r="D279" t="inlineStr">
        <is>
          <t>Memoirs of the life, exile, and conversations of the Emperor Napoleon / by the Count de Las Cases.</t>
        </is>
      </c>
      <c r="E279" t="inlineStr">
        <is>
          <t>V. 4</t>
        </is>
      </c>
      <c r="F279" t="inlineStr">
        <is>
          <t>Yes</t>
        </is>
      </c>
      <c r="G279" t="inlineStr">
        <is>
          <t>1</t>
        </is>
      </c>
      <c r="H279" t="inlineStr">
        <is>
          <t>No</t>
        </is>
      </c>
      <c r="I279" t="inlineStr">
        <is>
          <t>No</t>
        </is>
      </c>
      <c r="J279" t="inlineStr">
        <is>
          <t>0</t>
        </is>
      </c>
      <c r="K279" t="inlineStr">
        <is>
          <t>Las Cases, Emmanuel-Auguste-Dieudonné, comte de, 1766-1842.</t>
        </is>
      </c>
      <c r="L279" t="inlineStr">
        <is>
          <t>New York : H.W. Hagemann Publishing, 1894.</t>
        </is>
      </c>
      <c r="M279" t="inlineStr">
        <is>
          <t>1894</t>
        </is>
      </c>
      <c r="N279" t="inlineStr">
        <is>
          <t>New ed.</t>
        </is>
      </c>
      <c r="O279" t="inlineStr">
        <is>
          <t>eng</t>
        </is>
      </c>
      <c r="P279" t="inlineStr">
        <is>
          <t>nyu</t>
        </is>
      </c>
      <c r="R279" t="inlineStr">
        <is>
          <t xml:space="preserve">DC </t>
        </is>
      </c>
      <c r="S279" t="n">
        <v>1</v>
      </c>
      <c r="T279" t="n">
        <v>4</v>
      </c>
      <c r="U279" t="inlineStr">
        <is>
          <t>1995-03-06</t>
        </is>
      </c>
      <c r="V279" t="inlineStr">
        <is>
          <t>1995-03-06</t>
        </is>
      </c>
      <c r="W279" t="inlineStr">
        <is>
          <t>1993-07-13</t>
        </is>
      </c>
      <c r="X279" t="inlineStr">
        <is>
          <t>1993-07-13</t>
        </is>
      </c>
      <c r="Y279" t="n">
        <v>20</v>
      </c>
      <c r="Z279" t="n">
        <v>20</v>
      </c>
      <c r="AA279" t="n">
        <v>194</v>
      </c>
      <c r="AB279" t="n">
        <v>1</v>
      </c>
      <c r="AC279" t="n">
        <v>2</v>
      </c>
      <c r="AD279" t="n">
        <v>2</v>
      </c>
      <c r="AE279" t="n">
        <v>17</v>
      </c>
      <c r="AF279" t="n">
        <v>0</v>
      </c>
      <c r="AG279" t="n">
        <v>4</v>
      </c>
      <c r="AH279" t="n">
        <v>1</v>
      </c>
      <c r="AI279" t="n">
        <v>6</v>
      </c>
      <c r="AJ279" t="n">
        <v>1</v>
      </c>
      <c r="AK279" t="n">
        <v>10</v>
      </c>
      <c r="AL279" t="n">
        <v>0</v>
      </c>
      <c r="AM279" t="n">
        <v>1</v>
      </c>
      <c r="AN279" t="n">
        <v>0</v>
      </c>
      <c r="AO279" t="n">
        <v>0</v>
      </c>
      <c r="AP279" t="inlineStr">
        <is>
          <t>Yes</t>
        </is>
      </c>
      <c r="AQ279" t="inlineStr">
        <is>
          <t>No</t>
        </is>
      </c>
      <c r="AR279">
        <f>HYPERLINK("http://catalog.hathitrust.org/Record/006591823","HathiTrust Record")</f>
        <v/>
      </c>
      <c r="AS279">
        <f>HYPERLINK("https://creighton-primo.hosted.exlibrisgroup.com/primo-explore/search?tab=default_tab&amp;search_scope=EVERYTHING&amp;vid=01CRU&amp;lang=en_US&amp;offset=0&amp;query=any,contains,991005238599702656","Catalog Record")</f>
        <v/>
      </c>
      <c r="AT279">
        <f>HYPERLINK("http://www.worldcat.org/oclc/8395029","WorldCat Record")</f>
        <v/>
      </c>
      <c r="AU279" t="inlineStr">
        <is>
          <t>3372163505:eng</t>
        </is>
      </c>
      <c r="AV279" t="inlineStr">
        <is>
          <t>8395029</t>
        </is>
      </c>
      <c r="AW279" t="inlineStr">
        <is>
          <t>991005238599702656</t>
        </is>
      </c>
      <c r="AX279" t="inlineStr">
        <is>
          <t>991005238599702656</t>
        </is>
      </c>
      <c r="AY279" t="inlineStr">
        <is>
          <t>2263188760002656</t>
        </is>
      </c>
      <c r="AZ279" t="inlineStr">
        <is>
          <t>BOOK</t>
        </is>
      </c>
      <c r="BC279" t="inlineStr">
        <is>
          <t>32285001722569</t>
        </is>
      </c>
      <c r="BD279" t="inlineStr">
        <is>
          <t>893795838</t>
        </is>
      </c>
    </row>
    <row r="280">
      <c r="A280" t="inlineStr">
        <is>
          <t>No</t>
        </is>
      </c>
      <c r="B280" t="inlineStr">
        <is>
          <t>DC211 .R79</t>
        </is>
      </c>
      <c r="C280" t="inlineStr">
        <is>
          <t>0                      DC 0211000R  79</t>
        </is>
      </c>
      <c r="D280" t="inlineStr">
        <is>
          <t>Napoleon, the last phase; by Lord Rosebery.</t>
        </is>
      </c>
      <c r="F280" t="inlineStr">
        <is>
          <t>No</t>
        </is>
      </c>
      <c r="G280" t="inlineStr">
        <is>
          <t>1</t>
        </is>
      </c>
      <c r="H280" t="inlineStr">
        <is>
          <t>No</t>
        </is>
      </c>
      <c r="I280" t="inlineStr">
        <is>
          <t>No</t>
        </is>
      </c>
      <c r="J280" t="inlineStr">
        <is>
          <t>0</t>
        </is>
      </c>
      <c r="K280" t="inlineStr">
        <is>
          <t>Rosebery, Archibald Philip Primrose, Earl of, 1847-1929.</t>
        </is>
      </c>
      <c r="L280" t="inlineStr">
        <is>
          <t>London, Arthur L. Humphreys, 1900.</t>
        </is>
      </c>
      <c r="M280" t="inlineStr">
        <is>
          <t>1900</t>
        </is>
      </c>
      <c r="O280" t="inlineStr">
        <is>
          <t>eng</t>
        </is>
      </c>
      <c r="P280" t="inlineStr">
        <is>
          <t>enk</t>
        </is>
      </c>
      <c r="R280" t="inlineStr">
        <is>
          <t xml:space="preserve">DC </t>
        </is>
      </c>
      <c r="S280" t="n">
        <v>1</v>
      </c>
      <c r="T280" t="n">
        <v>1</v>
      </c>
      <c r="U280" t="inlineStr">
        <is>
          <t>2002-08-21</t>
        </is>
      </c>
      <c r="V280" t="inlineStr">
        <is>
          <t>2002-08-21</t>
        </is>
      </c>
      <c r="W280" t="inlineStr">
        <is>
          <t>1996-11-11</t>
        </is>
      </c>
      <c r="X280" t="inlineStr">
        <is>
          <t>1996-11-11</t>
        </is>
      </c>
      <c r="Y280" t="n">
        <v>233</v>
      </c>
      <c r="Z280" t="n">
        <v>140</v>
      </c>
      <c r="AA280" t="n">
        <v>634</v>
      </c>
      <c r="AB280" t="n">
        <v>1</v>
      </c>
      <c r="AC280" t="n">
        <v>4</v>
      </c>
      <c r="AD280" t="n">
        <v>6</v>
      </c>
      <c r="AE280" t="n">
        <v>37</v>
      </c>
      <c r="AF280" t="n">
        <v>0</v>
      </c>
      <c r="AG280" t="n">
        <v>12</v>
      </c>
      <c r="AH280" t="n">
        <v>4</v>
      </c>
      <c r="AI280" t="n">
        <v>9</v>
      </c>
      <c r="AJ280" t="n">
        <v>3</v>
      </c>
      <c r="AK280" t="n">
        <v>22</v>
      </c>
      <c r="AL280" t="n">
        <v>0</v>
      </c>
      <c r="AM280" t="n">
        <v>3</v>
      </c>
      <c r="AN280" t="n">
        <v>0</v>
      </c>
      <c r="AO280" t="n">
        <v>1</v>
      </c>
      <c r="AP280" t="inlineStr">
        <is>
          <t>Yes</t>
        </is>
      </c>
      <c r="AQ280" t="inlineStr">
        <is>
          <t>No</t>
        </is>
      </c>
      <c r="AR280">
        <f>HYPERLINK("http://catalog.hathitrust.org/Record/007671989","HathiTrust Record")</f>
        <v/>
      </c>
      <c r="AS280">
        <f>HYPERLINK("https://creighton-primo.hosted.exlibrisgroup.com/primo-explore/search?tab=default_tab&amp;search_scope=EVERYTHING&amp;vid=01CRU&amp;lang=en_US&amp;offset=0&amp;query=any,contains,991003058759702656","Catalog Record")</f>
        <v/>
      </c>
      <c r="AT280">
        <f>HYPERLINK("http://www.worldcat.org/oclc/616532","WorldCat Record")</f>
        <v/>
      </c>
      <c r="AU280" t="inlineStr">
        <is>
          <t>1411242:eng</t>
        </is>
      </c>
      <c r="AV280" t="inlineStr">
        <is>
          <t>616532</t>
        </is>
      </c>
      <c r="AW280" t="inlineStr">
        <is>
          <t>991003058759702656</t>
        </is>
      </c>
      <c r="AX280" t="inlineStr">
        <is>
          <t>991003058759702656</t>
        </is>
      </c>
      <c r="AY280" t="inlineStr">
        <is>
          <t>2269285910002656</t>
        </is>
      </c>
      <c r="AZ280" t="inlineStr">
        <is>
          <t>BOOK</t>
        </is>
      </c>
      <c r="BC280" t="inlineStr">
        <is>
          <t>32285002343902</t>
        </is>
      </c>
      <c r="BD280" t="inlineStr">
        <is>
          <t>893880785</t>
        </is>
      </c>
    </row>
    <row r="281">
      <c r="A281" t="inlineStr">
        <is>
          <t>No</t>
        </is>
      </c>
      <c r="B281" t="inlineStr">
        <is>
          <t>DC212 .F595</t>
        </is>
      </c>
      <c r="C281" t="inlineStr">
        <is>
          <t>0                      DC 0212000F  595</t>
        </is>
      </c>
      <c r="D281" t="inlineStr">
        <is>
          <t>Assassination at St. Helena : the poisoning of Napoleon Bonaparte / Sten Forshufvud and Ben Weider ; with foreword by David G. Chandler ; edited by H. T. Mitchell.</t>
        </is>
      </c>
      <c r="F281" t="inlineStr">
        <is>
          <t>No</t>
        </is>
      </c>
      <c r="G281" t="inlineStr">
        <is>
          <t>1</t>
        </is>
      </c>
      <c r="H281" t="inlineStr">
        <is>
          <t>No</t>
        </is>
      </c>
      <c r="I281" t="inlineStr">
        <is>
          <t>No</t>
        </is>
      </c>
      <c r="J281" t="inlineStr">
        <is>
          <t>0</t>
        </is>
      </c>
      <c r="K281" t="inlineStr">
        <is>
          <t>Forshufvud, Sten.</t>
        </is>
      </c>
      <c r="L281" t="inlineStr">
        <is>
          <t>Vancouver : Mitchell Press, c1978.</t>
        </is>
      </c>
      <c r="M281" t="inlineStr">
        <is>
          <t>1978</t>
        </is>
      </c>
      <c r="N281" t="inlineStr">
        <is>
          <t>1st ed.</t>
        </is>
      </c>
      <c r="O281" t="inlineStr">
        <is>
          <t>eng</t>
        </is>
      </c>
      <c r="P281" t="inlineStr">
        <is>
          <t>bcc</t>
        </is>
      </c>
      <c r="R281" t="inlineStr">
        <is>
          <t xml:space="preserve">DC </t>
        </is>
      </c>
      <c r="S281" t="n">
        <v>2</v>
      </c>
      <c r="T281" t="n">
        <v>2</v>
      </c>
      <c r="U281" t="inlineStr">
        <is>
          <t>1993-02-24</t>
        </is>
      </c>
      <c r="V281" t="inlineStr">
        <is>
          <t>1993-02-24</t>
        </is>
      </c>
      <c r="W281" t="inlineStr">
        <is>
          <t>1990-04-03</t>
        </is>
      </c>
      <c r="X281" t="inlineStr">
        <is>
          <t>1990-04-03</t>
        </is>
      </c>
      <c r="Y281" t="n">
        <v>128</v>
      </c>
      <c r="Z281" t="n">
        <v>88</v>
      </c>
      <c r="AA281" t="n">
        <v>93</v>
      </c>
      <c r="AB281" t="n">
        <v>1</v>
      </c>
      <c r="AC281" t="n">
        <v>1</v>
      </c>
      <c r="AD281" t="n">
        <v>5</v>
      </c>
      <c r="AE281" t="n">
        <v>5</v>
      </c>
      <c r="AF281" t="n">
        <v>1</v>
      </c>
      <c r="AG281" t="n">
        <v>1</v>
      </c>
      <c r="AH281" t="n">
        <v>4</v>
      </c>
      <c r="AI281" t="n">
        <v>4</v>
      </c>
      <c r="AJ281" t="n">
        <v>3</v>
      </c>
      <c r="AK281" t="n">
        <v>3</v>
      </c>
      <c r="AL281" t="n">
        <v>0</v>
      </c>
      <c r="AM281" t="n">
        <v>0</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HYPERLINK("https://creighton-primo.hosted.exlibrisgroup.com/primo-explore/search?tab=default_tab&amp;search_scope=EVERYTHING&amp;vid=01CRU&amp;lang=en_US&amp;offset=0&amp;query=any,contains,991004859369702656","Catalog Record")</f>
        <v/>
      </c>
      <c r="AT281">
        <f>HYPERLINK("http://www.worldcat.org/oclc/5679757","WorldCat Record")</f>
        <v/>
      </c>
      <c r="AU281" t="inlineStr">
        <is>
          <t>1156460774:eng</t>
        </is>
      </c>
      <c r="AV281" t="inlineStr">
        <is>
          <t>5679757</t>
        </is>
      </c>
      <c r="AW281" t="inlineStr">
        <is>
          <t>991004859369702656</t>
        </is>
      </c>
      <c r="AX281" t="inlineStr">
        <is>
          <t>991004859369702656</t>
        </is>
      </c>
      <c r="AY281" t="inlineStr">
        <is>
          <t>2262498420002656</t>
        </is>
      </c>
      <c r="AZ281" t="inlineStr">
        <is>
          <t>BOOK</t>
        </is>
      </c>
      <c r="BB281" t="inlineStr">
        <is>
          <t>9780888360281</t>
        </is>
      </c>
      <c r="BC281" t="inlineStr">
        <is>
          <t>32285000109420</t>
        </is>
      </c>
      <c r="BD281" t="inlineStr">
        <is>
          <t>893619162</t>
        </is>
      </c>
    </row>
    <row r="282">
      <c r="A282" t="inlineStr">
        <is>
          <t>No</t>
        </is>
      </c>
      <c r="B282" t="inlineStr">
        <is>
          <t>DC213 .K57</t>
        </is>
      </c>
      <c r="C282" t="inlineStr">
        <is>
          <t>0                      DC 0213000K  57</t>
        </is>
      </c>
      <c r="D282" t="inlineStr">
        <is>
          <t>Memoirs of Napoleon I, compiled from his own writings by F. M. Kircheisen, translated from the German by Frederick Collins, D. A., with fifteen plates.</t>
        </is>
      </c>
      <c r="F282" t="inlineStr">
        <is>
          <t>No</t>
        </is>
      </c>
      <c r="G282" t="inlineStr">
        <is>
          <t>1</t>
        </is>
      </c>
      <c r="H282" t="inlineStr">
        <is>
          <t>No</t>
        </is>
      </c>
      <c r="I282" t="inlineStr">
        <is>
          <t>No</t>
        </is>
      </c>
      <c r="J282" t="inlineStr">
        <is>
          <t>0</t>
        </is>
      </c>
      <c r="K282" t="inlineStr">
        <is>
          <t>Napoleon I, Emperor of the French, 1769-1821.</t>
        </is>
      </c>
      <c r="L282" t="inlineStr">
        <is>
          <t>New York, Duffield, 1929.</t>
        </is>
      </c>
      <c r="M282" t="inlineStr">
        <is>
          <t>1929</t>
        </is>
      </c>
      <c r="O282" t="inlineStr">
        <is>
          <t>eng</t>
        </is>
      </c>
      <c r="P282" t="inlineStr">
        <is>
          <t>nyu</t>
        </is>
      </c>
      <c r="R282" t="inlineStr">
        <is>
          <t xml:space="preserve">DC </t>
        </is>
      </c>
      <c r="S282" t="n">
        <v>1</v>
      </c>
      <c r="T282" t="n">
        <v>1</v>
      </c>
      <c r="U282" t="inlineStr">
        <is>
          <t>1998-01-19</t>
        </is>
      </c>
      <c r="V282" t="inlineStr">
        <is>
          <t>1998-01-19</t>
        </is>
      </c>
      <c r="W282" t="inlineStr">
        <is>
          <t>1996-11-11</t>
        </is>
      </c>
      <c r="X282" t="inlineStr">
        <is>
          <t>1996-11-11</t>
        </is>
      </c>
      <c r="Y282" t="n">
        <v>55</v>
      </c>
      <c r="Z282" t="n">
        <v>53</v>
      </c>
      <c r="AA282" t="n">
        <v>122</v>
      </c>
      <c r="AB282" t="n">
        <v>1</v>
      </c>
      <c r="AC282" t="n">
        <v>1</v>
      </c>
      <c r="AD282" t="n">
        <v>2</v>
      </c>
      <c r="AE282" t="n">
        <v>13</v>
      </c>
      <c r="AF282" t="n">
        <v>0</v>
      </c>
      <c r="AG282" t="n">
        <v>3</v>
      </c>
      <c r="AH282" t="n">
        <v>0</v>
      </c>
      <c r="AI282" t="n">
        <v>3</v>
      </c>
      <c r="AJ282" t="n">
        <v>2</v>
      </c>
      <c r="AK282" t="n">
        <v>11</v>
      </c>
      <c r="AL282" t="n">
        <v>0</v>
      </c>
      <c r="AM282" t="n">
        <v>0</v>
      </c>
      <c r="AN282" t="n">
        <v>0</v>
      </c>
      <c r="AO282" t="n">
        <v>0</v>
      </c>
      <c r="AP282" t="inlineStr">
        <is>
          <t>No</t>
        </is>
      </c>
      <c r="AQ282" t="inlineStr">
        <is>
          <t>Yes</t>
        </is>
      </c>
      <c r="AR282">
        <f>HYPERLINK("http://catalog.hathitrust.org/Record/006591959","HathiTrust Record")</f>
        <v/>
      </c>
      <c r="AS282">
        <f>HYPERLINK("https://creighton-primo.hosted.exlibrisgroup.com/primo-explore/search?tab=default_tab&amp;search_scope=EVERYTHING&amp;vid=01CRU&amp;lang=en_US&amp;offset=0&amp;query=any,contains,991003921619702656","Catalog Record")</f>
        <v/>
      </c>
      <c r="AT282">
        <f>HYPERLINK("http://www.worldcat.org/oclc/1872357","WorldCat Record")</f>
        <v/>
      </c>
      <c r="AU282" t="inlineStr">
        <is>
          <t>285217:eng</t>
        </is>
      </c>
      <c r="AV282" t="inlineStr">
        <is>
          <t>1872357</t>
        </is>
      </c>
      <c r="AW282" t="inlineStr">
        <is>
          <t>991003921619702656</t>
        </is>
      </c>
      <c r="AX282" t="inlineStr">
        <is>
          <t>991003921619702656</t>
        </is>
      </c>
      <c r="AY282" t="inlineStr">
        <is>
          <t>2255265630002656</t>
        </is>
      </c>
      <c r="AZ282" t="inlineStr">
        <is>
          <t>BOOK</t>
        </is>
      </c>
      <c r="BC282" t="inlineStr">
        <is>
          <t>32285002343944</t>
        </is>
      </c>
      <c r="BD282" t="inlineStr">
        <is>
          <t>893693322</t>
        </is>
      </c>
    </row>
    <row r="283">
      <c r="A283" t="inlineStr">
        <is>
          <t>No</t>
        </is>
      </c>
      <c r="B283" t="inlineStr">
        <is>
          <t>DC214 .H4</t>
        </is>
      </c>
      <c r="C283" t="inlineStr">
        <is>
          <t>0                      DC 0214000H  4</t>
        </is>
      </c>
      <c r="D283" t="inlineStr">
        <is>
          <t>The mind of Napoleon; a selection from his written and spoken words, edited and translated by J. Christopher Herold.</t>
        </is>
      </c>
      <c r="F283" t="inlineStr">
        <is>
          <t>No</t>
        </is>
      </c>
      <c r="G283" t="inlineStr">
        <is>
          <t>1</t>
        </is>
      </c>
      <c r="H283" t="inlineStr">
        <is>
          <t>No</t>
        </is>
      </c>
      <c r="I283" t="inlineStr">
        <is>
          <t>No</t>
        </is>
      </c>
      <c r="J283" t="inlineStr">
        <is>
          <t>0</t>
        </is>
      </c>
      <c r="K283" t="inlineStr">
        <is>
          <t>Napoleon I, Emperor of the French, 1769-1821.</t>
        </is>
      </c>
      <c r="L283" t="inlineStr">
        <is>
          <t>New York, Columbia University Press, 1955.</t>
        </is>
      </c>
      <c r="M283" t="inlineStr">
        <is>
          <t>1955</t>
        </is>
      </c>
      <c r="O283" t="inlineStr">
        <is>
          <t>eng</t>
        </is>
      </c>
      <c r="P283" t="inlineStr">
        <is>
          <t>nyu</t>
        </is>
      </c>
      <c r="R283" t="inlineStr">
        <is>
          <t xml:space="preserve">DC </t>
        </is>
      </c>
      <c r="S283" t="n">
        <v>8</v>
      </c>
      <c r="T283" t="n">
        <v>8</v>
      </c>
      <c r="U283" t="inlineStr">
        <is>
          <t>2009-10-14</t>
        </is>
      </c>
      <c r="V283" t="inlineStr">
        <is>
          <t>2009-10-14</t>
        </is>
      </c>
      <c r="W283" t="inlineStr">
        <is>
          <t>1996-11-11</t>
        </is>
      </c>
      <c r="X283" t="inlineStr">
        <is>
          <t>1996-11-11</t>
        </is>
      </c>
      <c r="Y283" t="n">
        <v>680</v>
      </c>
      <c r="Z283" t="n">
        <v>610</v>
      </c>
      <c r="AA283" t="n">
        <v>817</v>
      </c>
      <c r="AB283" t="n">
        <v>5</v>
      </c>
      <c r="AC283" t="n">
        <v>6</v>
      </c>
      <c r="AD283" t="n">
        <v>30</v>
      </c>
      <c r="AE283" t="n">
        <v>35</v>
      </c>
      <c r="AF283" t="n">
        <v>9</v>
      </c>
      <c r="AG283" t="n">
        <v>12</v>
      </c>
      <c r="AH283" t="n">
        <v>6</v>
      </c>
      <c r="AI283" t="n">
        <v>7</v>
      </c>
      <c r="AJ283" t="n">
        <v>16</v>
      </c>
      <c r="AK283" t="n">
        <v>18</v>
      </c>
      <c r="AL283" t="n">
        <v>4</v>
      </c>
      <c r="AM283" t="n">
        <v>5</v>
      </c>
      <c r="AN283" t="n">
        <v>0</v>
      </c>
      <c r="AO283" t="n">
        <v>0</v>
      </c>
      <c r="AP283" t="inlineStr">
        <is>
          <t>No</t>
        </is>
      </c>
      <c r="AQ283" t="inlineStr">
        <is>
          <t>No</t>
        </is>
      </c>
      <c r="AR283">
        <f>HYPERLINK("http://catalog.hathitrust.org/Record/000607316","HathiTrust Record")</f>
        <v/>
      </c>
      <c r="AS283">
        <f>HYPERLINK("https://creighton-primo.hosted.exlibrisgroup.com/primo-explore/search?tab=default_tab&amp;search_scope=EVERYTHING&amp;vid=01CRU&amp;lang=en_US&amp;offset=0&amp;query=any,contains,991002758889702656","Catalog Record")</f>
        <v/>
      </c>
      <c r="AT283">
        <f>HYPERLINK("http://www.worldcat.org/oclc/427284","WorldCat Record")</f>
        <v/>
      </c>
      <c r="AU283" t="inlineStr">
        <is>
          <t>1006937297:eng</t>
        </is>
      </c>
      <c r="AV283" t="inlineStr">
        <is>
          <t>427284</t>
        </is>
      </c>
      <c r="AW283" t="inlineStr">
        <is>
          <t>991002758889702656</t>
        </is>
      </c>
      <c r="AX283" t="inlineStr">
        <is>
          <t>991002758889702656</t>
        </is>
      </c>
      <c r="AY283" t="inlineStr">
        <is>
          <t>2264667970002656</t>
        </is>
      </c>
      <c r="AZ283" t="inlineStr">
        <is>
          <t>BOOK</t>
        </is>
      </c>
      <c r="BC283" t="inlineStr">
        <is>
          <t>32285002344017</t>
        </is>
      </c>
      <c r="BD283" t="inlineStr">
        <is>
          <t>893251588</t>
        </is>
      </c>
    </row>
    <row r="284">
      <c r="A284" t="inlineStr">
        <is>
          <t>No</t>
        </is>
      </c>
      <c r="B284" t="inlineStr">
        <is>
          <t>DC214 .L88 1999</t>
        </is>
      </c>
      <c r="C284" t="inlineStr">
        <is>
          <t>0                      DC 0214000L  88          1999</t>
        </is>
      </c>
      <c r="D284" t="inlineStr">
        <is>
          <t>Napoleon on the art of war / selected, edited, and translated by Jay Luvaas.</t>
        </is>
      </c>
      <c r="F284" t="inlineStr">
        <is>
          <t>No</t>
        </is>
      </c>
      <c r="G284" t="inlineStr">
        <is>
          <t>1</t>
        </is>
      </c>
      <c r="H284" t="inlineStr">
        <is>
          <t>No</t>
        </is>
      </c>
      <c r="I284" t="inlineStr">
        <is>
          <t>No</t>
        </is>
      </c>
      <c r="J284" t="inlineStr">
        <is>
          <t>0</t>
        </is>
      </c>
      <c r="K284" t="inlineStr">
        <is>
          <t>Napoleon I, Emperor of the French, 1769-1821.</t>
        </is>
      </c>
      <c r="L284" t="inlineStr">
        <is>
          <t>New York, NY : Free Press, c1999.</t>
        </is>
      </c>
      <c r="M284" t="inlineStr">
        <is>
          <t>1999</t>
        </is>
      </c>
      <c r="O284" t="inlineStr">
        <is>
          <t>eng</t>
        </is>
      </c>
      <c r="P284" t="inlineStr">
        <is>
          <t>nyu</t>
        </is>
      </c>
      <c r="R284" t="inlineStr">
        <is>
          <t xml:space="preserve">DC </t>
        </is>
      </c>
      <c r="S284" t="n">
        <v>1</v>
      </c>
      <c r="T284" t="n">
        <v>1</v>
      </c>
      <c r="U284" t="inlineStr">
        <is>
          <t>2008-05-19</t>
        </is>
      </c>
      <c r="V284" t="inlineStr">
        <is>
          <t>2008-05-19</t>
        </is>
      </c>
      <c r="W284" t="inlineStr">
        <is>
          <t>2008-05-19</t>
        </is>
      </c>
      <c r="X284" t="inlineStr">
        <is>
          <t>2008-05-19</t>
        </is>
      </c>
      <c r="Y284" t="n">
        <v>565</v>
      </c>
      <c r="Z284" t="n">
        <v>509</v>
      </c>
      <c r="AA284" t="n">
        <v>538</v>
      </c>
      <c r="AB284" t="n">
        <v>3</v>
      </c>
      <c r="AC284" t="n">
        <v>3</v>
      </c>
      <c r="AD284" t="n">
        <v>20</v>
      </c>
      <c r="AE284" t="n">
        <v>21</v>
      </c>
      <c r="AF284" t="n">
        <v>6</v>
      </c>
      <c r="AG284" t="n">
        <v>6</v>
      </c>
      <c r="AH284" t="n">
        <v>8</v>
      </c>
      <c r="AI284" t="n">
        <v>8</v>
      </c>
      <c r="AJ284" t="n">
        <v>13</v>
      </c>
      <c r="AK284" t="n">
        <v>14</v>
      </c>
      <c r="AL284" t="n">
        <v>1</v>
      </c>
      <c r="AM284" t="n">
        <v>1</v>
      </c>
      <c r="AN284" t="n">
        <v>0</v>
      </c>
      <c r="AO284" t="n">
        <v>0</v>
      </c>
      <c r="AP284" t="inlineStr">
        <is>
          <t>No</t>
        </is>
      </c>
      <c r="AQ284" t="inlineStr">
        <is>
          <t>Yes</t>
        </is>
      </c>
      <c r="AR284">
        <f>HYPERLINK("http://catalog.hathitrust.org/Record/004034106","HathiTrust Record")</f>
        <v/>
      </c>
      <c r="AS284">
        <f>HYPERLINK("https://creighton-primo.hosted.exlibrisgroup.com/primo-explore/search?tab=default_tab&amp;search_scope=EVERYTHING&amp;vid=01CRU&amp;lang=en_US&amp;offset=0&amp;query=any,contains,991005222999702656","Catalog Record")</f>
        <v/>
      </c>
      <c r="AT284">
        <f>HYPERLINK("http://www.worldcat.org/oclc/40856847","WorldCat Record")</f>
        <v/>
      </c>
      <c r="AU284" t="inlineStr">
        <is>
          <t>1059082769:eng</t>
        </is>
      </c>
      <c r="AV284" t="inlineStr">
        <is>
          <t>40856847</t>
        </is>
      </c>
      <c r="AW284" t="inlineStr">
        <is>
          <t>991005222999702656</t>
        </is>
      </c>
      <c r="AX284" t="inlineStr">
        <is>
          <t>991005222999702656</t>
        </is>
      </c>
      <c r="AY284" t="inlineStr">
        <is>
          <t>2257575180002656</t>
        </is>
      </c>
      <c r="AZ284" t="inlineStr">
        <is>
          <t>BOOK</t>
        </is>
      </c>
      <c r="BB284" t="inlineStr">
        <is>
          <t>9780684851853</t>
        </is>
      </c>
      <c r="BC284" t="inlineStr">
        <is>
          <t>32285005409544</t>
        </is>
      </c>
      <c r="BD284" t="inlineStr">
        <is>
          <t>893242399</t>
        </is>
      </c>
    </row>
    <row r="285">
      <c r="A285" t="inlineStr">
        <is>
          <t>No</t>
        </is>
      </c>
      <c r="B285" t="inlineStr">
        <is>
          <t>DC216 .M37 1975</t>
        </is>
      </c>
      <c r="C285" t="inlineStr">
        <is>
          <t>0                      DC 0216000M  37          1975</t>
        </is>
      </c>
      <c r="D285" t="inlineStr">
        <is>
          <t>The Bonapartes / Felix Markham.</t>
        </is>
      </c>
      <c r="F285" t="inlineStr">
        <is>
          <t>No</t>
        </is>
      </c>
      <c r="G285" t="inlineStr">
        <is>
          <t>1</t>
        </is>
      </c>
      <c r="H285" t="inlineStr">
        <is>
          <t>No</t>
        </is>
      </c>
      <c r="I285" t="inlineStr">
        <is>
          <t>No</t>
        </is>
      </c>
      <c r="J285" t="inlineStr">
        <is>
          <t>0</t>
        </is>
      </c>
      <c r="K285" t="inlineStr">
        <is>
          <t>Markham, Felix Maurice Hippisley.</t>
        </is>
      </c>
      <c r="L285" t="inlineStr">
        <is>
          <t>New York : Taplinger Pub. Co., 1975.</t>
        </is>
      </c>
      <c r="M285" t="inlineStr">
        <is>
          <t>1975</t>
        </is>
      </c>
      <c r="O285" t="inlineStr">
        <is>
          <t>eng</t>
        </is>
      </c>
      <c r="P285" t="inlineStr">
        <is>
          <t>nyu</t>
        </is>
      </c>
      <c r="R285" t="inlineStr">
        <is>
          <t xml:space="preserve">DC </t>
        </is>
      </c>
      <c r="S285" t="n">
        <v>6</v>
      </c>
      <c r="T285" t="n">
        <v>6</v>
      </c>
      <c r="U285" t="inlineStr">
        <is>
          <t>1997-02-11</t>
        </is>
      </c>
      <c r="V285" t="inlineStr">
        <is>
          <t>1997-02-11</t>
        </is>
      </c>
      <c r="W285" t="inlineStr">
        <is>
          <t>1996-11-11</t>
        </is>
      </c>
      <c r="X285" t="inlineStr">
        <is>
          <t>1996-11-11</t>
        </is>
      </c>
      <c r="Y285" t="n">
        <v>571</v>
      </c>
      <c r="Z285" t="n">
        <v>541</v>
      </c>
      <c r="AA285" t="n">
        <v>563</v>
      </c>
      <c r="AB285" t="n">
        <v>3</v>
      </c>
      <c r="AC285" t="n">
        <v>5</v>
      </c>
      <c r="AD285" t="n">
        <v>16</v>
      </c>
      <c r="AE285" t="n">
        <v>18</v>
      </c>
      <c r="AF285" t="n">
        <v>7</v>
      </c>
      <c r="AG285" t="n">
        <v>7</v>
      </c>
      <c r="AH285" t="n">
        <v>3</v>
      </c>
      <c r="AI285" t="n">
        <v>3</v>
      </c>
      <c r="AJ285" t="n">
        <v>9</v>
      </c>
      <c r="AK285" t="n">
        <v>9</v>
      </c>
      <c r="AL285" t="n">
        <v>2</v>
      </c>
      <c r="AM285" t="n">
        <v>4</v>
      </c>
      <c r="AN285" t="n">
        <v>0</v>
      </c>
      <c r="AO285" t="n">
        <v>0</v>
      </c>
      <c r="AP285" t="inlineStr">
        <is>
          <t>No</t>
        </is>
      </c>
      <c r="AQ285" t="inlineStr">
        <is>
          <t>Yes</t>
        </is>
      </c>
      <c r="AR285">
        <f>HYPERLINK("http://catalog.hathitrust.org/Record/004406359","HathiTrust Record")</f>
        <v/>
      </c>
      <c r="AS285">
        <f>HYPERLINK("https://creighton-primo.hosted.exlibrisgroup.com/primo-explore/search?tab=default_tab&amp;search_scope=EVERYTHING&amp;vid=01CRU&amp;lang=en_US&amp;offset=0&amp;query=any,contains,991003923079702656","Catalog Record")</f>
        <v/>
      </c>
      <c r="AT285">
        <f>HYPERLINK("http://www.worldcat.org/oclc/1876193","WorldCat Record")</f>
        <v/>
      </c>
      <c r="AU285" t="inlineStr">
        <is>
          <t>3768916210:eng</t>
        </is>
      </c>
      <c r="AV285" t="inlineStr">
        <is>
          <t>1876193</t>
        </is>
      </c>
      <c r="AW285" t="inlineStr">
        <is>
          <t>991003923079702656</t>
        </is>
      </c>
      <c r="AX285" t="inlineStr">
        <is>
          <t>991003923079702656</t>
        </is>
      </c>
      <c r="AY285" t="inlineStr">
        <is>
          <t>2263559370002656</t>
        </is>
      </c>
      <c r="AZ285" t="inlineStr">
        <is>
          <t>BOOK</t>
        </is>
      </c>
      <c r="BB285" t="inlineStr">
        <is>
          <t>9780800808747</t>
        </is>
      </c>
      <c r="BC285" t="inlineStr">
        <is>
          <t>32285002344041</t>
        </is>
      </c>
      <c r="BD285" t="inlineStr">
        <is>
          <t>893687131</t>
        </is>
      </c>
    </row>
    <row r="286">
      <c r="A286" t="inlineStr">
        <is>
          <t>No</t>
        </is>
      </c>
      <c r="B286" t="inlineStr">
        <is>
          <t>DC216.1 .E75 1999</t>
        </is>
      </c>
      <c r="C286" t="inlineStr">
        <is>
          <t>0                      DC 0216100E  75          1999</t>
        </is>
      </c>
      <c r="D286" t="inlineStr">
        <is>
          <t>Josephine : a life of the empress / Carolly Erickson.</t>
        </is>
      </c>
      <c r="F286" t="inlineStr">
        <is>
          <t>No</t>
        </is>
      </c>
      <c r="G286" t="inlineStr">
        <is>
          <t>1</t>
        </is>
      </c>
      <c r="H286" t="inlineStr">
        <is>
          <t>No</t>
        </is>
      </c>
      <c r="I286" t="inlineStr">
        <is>
          <t>No</t>
        </is>
      </c>
      <c r="J286" t="inlineStr">
        <is>
          <t>0</t>
        </is>
      </c>
      <c r="K286" t="inlineStr">
        <is>
          <t>Erickson, Carolly, 1943-</t>
        </is>
      </c>
      <c r="L286" t="inlineStr">
        <is>
          <t>New York : St. Martin's Press, 1999, c1998.</t>
        </is>
      </c>
      <c r="M286" t="inlineStr">
        <is>
          <t>1999</t>
        </is>
      </c>
      <c r="N286" t="inlineStr">
        <is>
          <t>1st U.S. ed.</t>
        </is>
      </c>
      <c r="O286" t="inlineStr">
        <is>
          <t>eng</t>
        </is>
      </c>
      <c r="P286" t="inlineStr">
        <is>
          <t>nyu</t>
        </is>
      </c>
      <c r="R286" t="inlineStr">
        <is>
          <t xml:space="preserve">DC </t>
        </is>
      </c>
      <c r="S286" t="n">
        <v>4</v>
      </c>
      <c r="T286" t="n">
        <v>4</v>
      </c>
      <c r="U286" t="inlineStr">
        <is>
          <t>1999-10-20</t>
        </is>
      </c>
      <c r="V286" t="inlineStr">
        <is>
          <t>1999-10-20</t>
        </is>
      </c>
      <c r="W286" t="inlineStr">
        <is>
          <t>1999-08-05</t>
        </is>
      </c>
      <c r="X286" t="inlineStr">
        <is>
          <t>1999-08-05</t>
        </is>
      </c>
      <c r="Y286" t="n">
        <v>765</v>
      </c>
      <c r="Z286" t="n">
        <v>719</v>
      </c>
      <c r="AA286" t="n">
        <v>795</v>
      </c>
      <c r="AB286" t="n">
        <v>6</v>
      </c>
      <c r="AC286" t="n">
        <v>7</v>
      </c>
      <c r="AD286" t="n">
        <v>16</v>
      </c>
      <c r="AE286" t="n">
        <v>19</v>
      </c>
      <c r="AF286" t="n">
        <v>5</v>
      </c>
      <c r="AG286" t="n">
        <v>6</v>
      </c>
      <c r="AH286" t="n">
        <v>6</v>
      </c>
      <c r="AI286" t="n">
        <v>7</v>
      </c>
      <c r="AJ286" t="n">
        <v>8</v>
      </c>
      <c r="AK286" t="n">
        <v>9</v>
      </c>
      <c r="AL286" t="n">
        <v>3</v>
      </c>
      <c r="AM286" t="n">
        <v>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HYPERLINK("https://creighton-primo.hosted.exlibrisgroup.com/primo-explore/search?tab=default_tab&amp;search_scope=EVERYTHING&amp;vid=01CRU&amp;lang=en_US&amp;offset=0&amp;query=any,contains,991002986889702656","Catalog Record")</f>
        <v/>
      </c>
      <c r="AT286">
        <f>HYPERLINK("http://www.worldcat.org/oclc/40255830","WorldCat Record")</f>
        <v/>
      </c>
      <c r="AU286" t="inlineStr">
        <is>
          <t>1958645:eng</t>
        </is>
      </c>
      <c r="AV286" t="inlineStr">
        <is>
          <t>40255830</t>
        </is>
      </c>
      <c r="AW286" t="inlineStr">
        <is>
          <t>991002986889702656</t>
        </is>
      </c>
      <c r="AX286" t="inlineStr">
        <is>
          <t>991002986889702656</t>
        </is>
      </c>
      <c r="AY286" t="inlineStr">
        <is>
          <t>2257926370002656</t>
        </is>
      </c>
      <c r="AZ286" t="inlineStr">
        <is>
          <t>BOOK</t>
        </is>
      </c>
      <c r="BB286" t="inlineStr">
        <is>
          <t>9780312200015</t>
        </is>
      </c>
      <c r="BC286" t="inlineStr">
        <is>
          <t>32285003580130</t>
        </is>
      </c>
      <c r="BD286" t="inlineStr">
        <is>
          <t>893704763</t>
        </is>
      </c>
    </row>
    <row r="287">
      <c r="A287" t="inlineStr">
        <is>
          <t>No</t>
        </is>
      </c>
      <c r="B287" t="inlineStr">
        <is>
          <t>DC216.1 .S78 2003</t>
        </is>
      </c>
      <c r="C287" t="inlineStr">
        <is>
          <t>0                      DC 0216100S  78          2003</t>
        </is>
      </c>
      <c r="D287" t="inlineStr">
        <is>
          <t>The rose of Martinique : a life of Napoleon's Josephine / Andrea Stuart.</t>
        </is>
      </c>
      <c r="F287" t="inlineStr">
        <is>
          <t>No</t>
        </is>
      </c>
      <c r="G287" t="inlineStr">
        <is>
          <t>1</t>
        </is>
      </c>
      <c r="H287" t="inlineStr">
        <is>
          <t>No</t>
        </is>
      </c>
      <c r="I287" t="inlineStr">
        <is>
          <t>No</t>
        </is>
      </c>
      <c r="J287" t="inlineStr">
        <is>
          <t>0</t>
        </is>
      </c>
      <c r="K287" t="inlineStr">
        <is>
          <t>Stuart, Andrea.</t>
        </is>
      </c>
      <c r="L287" t="inlineStr">
        <is>
          <t>New York : Grove Press, c2003.</t>
        </is>
      </c>
      <c r="M287" t="inlineStr">
        <is>
          <t>2003</t>
        </is>
      </c>
      <c r="O287" t="inlineStr">
        <is>
          <t>eng</t>
        </is>
      </c>
      <c r="P287" t="inlineStr">
        <is>
          <t>nyu</t>
        </is>
      </c>
      <c r="R287" t="inlineStr">
        <is>
          <t xml:space="preserve">DC </t>
        </is>
      </c>
      <c r="S287" t="n">
        <v>1</v>
      </c>
      <c r="T287" t="n">
        <v>1</v>
      </c>
      <c r="U287" t="inlineStr">
        <is>
          <t>2004-11-01</t>
        </is>
      </c>
      <c r="V287" t="inlineStr">
        <is>
          <t>2004-11-01</t>
        </is>
      </c>
      <c r="W287" t="inlineStr">
        <is>
          <t>2004-11-01</t>
        </is>
      </c>
      <c r="X287" t="inlineStr">
        <is>
          <t>2004-11-01</t>
        </is>
      </c>
      <c r="Y287" t="n">
        <v>723</v>
      </c>
      <c r="Z287" t="n">
        <v>691</v>
      </c>
      <c r="AA287" t="n">
        <v>756</v>
      </c>
      <c r="AB287" t="n">
        <v>7</v>
      </c>
      <c r="AC287" t="n">
        <v>7</v>
      </c>
      <c r="AD287" t="n">
        <v>14</v>
      </c>
      <c r="AE287" t="n">
        <v>15</v>
      </c>
      <c r="AF287" t="n">
        <v>2</v>
      </c>
      <c r="AG287" t="n">
        <v>3</v>
      </c>
      <c r="AH287" t="n">
        <v>4</v>
      </c>
      <c r="AI287" t="n">
        <v>5</v>
      </c>
      <c r="AJ287" t="n">
        <v>6</v>
      </c>
      <c r="AK287" t="n">
        <v>6</v>
      </c>
      <c r="AL287" t="n">
        <v>4</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HYPERLINK("https://creighton-primo.hosted.exlibrisgroup.com/primo-explore/search?tab=default_tab&amp;search_scope=EVERYTHING&amp;vid=01CRU&amp;lang=en_US&amp;offset=0&amp;query=any,contains,991004287269702656","Catalog Record")</f>
        <v/>
      </c>
      <c r="AT287">
        <f>HYPERLINK("http://www.worldcat.org/oclc/53880152","WorldCat Record")</f>
        <v/>
      </c>
      <c r="AU287" t="inlineStr">
        <is>
          <t>1056748:eng</t>
        </is>
      </c>
      <c r="AV287" t="inlineStr">
        <is>
          <t>53880152</t>
        </is>
      </c>
      <c r="AW287" t="inlineStr">
        <is>
          <t>991004287269702656</t>
        </is>
      </c>
      <c r="AX287" t="inlineStr">
        <is>
          <t>991004287269702656</t>
        </is>
      </c>
      <c r="AY287" t="inlineStr">
        <is>
          <t>2264617650002656</t>
        </is>
      </c>
      <c r="AZ287" t="inlineStr">
        <is>
          <t>BOOK</t>
        </is>
      </c>
      <c r="BB287" t="inlineStr">
        <is>
          <t>9780802117700</t>
        </is>
      </c>
      <c r="BC287" t="inlineStr">
        <is>
          <t>32285005007587</t>
        </is>
      </c>
      <c r="BD287" t="inlineStr">
        <is>
          <t>893429887</t>
        </is>
      </c>
    </row>
    <row r="288">
      <c r="A288" t="inlineStr">
        <is>
          <t>No</t>
        </is>
      </c>
      <c r="B288" t="inlineStr">
        <is>
          <t>DC216.4 .W95</t>
        </is>
      </c>
      <c r="C288" t="inlineStr">
        <is>
          <t>0                      DC 0216400W  95</t>
        </is>
      </c>
      <c r="D288" t="inlineStr">
        <is>
          <t>Daughter to Napoleon; a biography of Hortense, Queen of Holland.</t>
        </is>
      </c>
      <c r="F288" t="inlineStr">
        <is>
          <t>No</t>
        </is>
      </c>
      <c r="G288" t="inlineStr">
        <is>
          <t>1</t>
        </is>
      </c>
      <c r="H288" t="inlineStr">
        <is>
          <t>No</t>
        </is>
      </c>
      <c r="I288" t="inlineStr">
        <is>
          <t>No</t>
        </is>
      </c>
      <c r="J288" t="inlineStr">
        <is>
          <t>0</t>
        </is>
      </c>
      <c r="K288" t="inlineStr">
        <is>
          <t>Wright, Constance.</t>
        </is>
      </c>
      <c r="L288" t="inlineStr">
        <is>
          <t>New York, Holt, Rinehart and Winston [1961]</t>
        </is>
      </c>
      <c r="M288" t="inlineStr">
        <is>
          <t>1961</t>
        </is>
      </c>
      <c r="N288" t="inlineStr">
        <is>
          <t>[1st ed.]</t>
        </is>
      </c>
      <c r="O288" t="inlineStr">
        <is>
          <t>eng</t>
        </is>
      </c>
      <c r="P288" t="inlineStr">
        <is>
          <t>nyu</t>
        </is>
      </c>
      <c r="R288" t="inlineStr">
        <is>
          <t xml:space="preserve">DC </t>
        </is>
      </c>
      <c r="S288" t="n">
        <v>1</v>
      </c>
      <c r="T288" t="n">
        <v>1</v>
      </c>
      <c r="U288" t="inlineStr">
        <is>
          <t>2002-04-07</t>
        </is>
      </c>
      <c r="V288" t="inlineStr">
        <is>
          <t>2002-04-07</t>
        </is>
      </c>
      <c r="W288" t="inlineStr">
        <is>
          <t>1996-11-11</t>
        </is>
      </c>
      <c r="X288" t="inlineStr">
        <is>
          <t>1996-11-11</t>
        </is>
      </c>
      <c r="Y288" t="n">
        <v>759</v>
      </c>
      <c r="Z288" t="n">
        <v>729</v>
      </c>
      <c r="AA288" t="n">
        <v>774</v>
      </c>
      <c r="AB288" t="n">
        <v>6</v>
      </c>
      <c r="AC288" t="n">
        <v>7</v>
      </c>
      <c r="AD288" t="n">
        <v>27</v>
      </c>
      <c r="AE288" t="n">
        <v>29</v>
      </c>
      <c r="AF288" t="n">
        <v>11</v>
      </c>
      <c r="AG288" t="n">
        <v>11</v>
      </c>
      <c r="AH288" t="n">
        <v>6</v>
      </c>
      <c r="AI288" t="n">
        <v>7</v>
      </c>
      <c r="AJ288" t="n">
        <v>15</v>
      </c>
      <c r="AK288" t="n">
        <v>15</v>
      </c>
      <c r="AL288" t="n">
        <v>2</v>
      </c>
      <c r="AM288" t="n">
        <v>3</v>
      </c>
      <c r="AN288" t="n">
        <v>1</v>
      </c>
      <c r="AO288" t="n">
        <v>1</v>
      </c>
      <c r="AP288" t="inlineStr">
        <is>
          <t>No</t>
        </is>
      </c>
      <c r="AQ288" t="inlineStr">
        <is>
          <t>Yes</t>
        </is>
      </c>
      <c r="AR288">
        <f>HYPERLINK("http://catalog.hathitrust.org/Record/000644958","HathiTrust Record")</f>
        <v/>
      </c>
      <c r="AS288">
        <f>HYPERLINK("https://creighton-primo.hosted.exlibrisgroup.com/primo-explore/search?tab=default_tab&amp;search_scope=EVERYTHING&amp;vid=01CRU&amp;lang=en_US&amp;offset=0&amp;query=any,contains,991003202229702656","Catalog Record")</f>
        <v/>
      </c>
      <c r="AT288">
        <f>HYPERLINK("http://www.worldcat.org/oclc/727098","WorldCat Record")</f>
        <v/>
      </c>
      <c r="AU288" t="inlineStr">
        <is>
          <t>815111819:eng</t>
        </is>
      </c>
      <c r="AV288" t="inlineStr">
        <is>
          <t>727098</t>
        </is>
      </c>
      <c r="AW288" t="inlineStr">
        <is>
          <t>991003202229702656</t>
        </is>
      </c>
      <c r="AX288" t="inlineStr">
        <is>
          <t>991003202229702656</t>
        </is>
      </c>
      <c r="AY288" t="inlineStr">
        <is>
          <t>2262236160002656</t>
        </is>
      </c>
      <c r="AZ288" t="inlineStr">
        <is>
          <t>BOOK</t>
        </is>
      </c>
      <c r="BC288" t="inlineStr">
        <is>
          <t>32285002344140</t>
        </is>
      </c>
      <c r="BD288" t="inlineStr">
        <is>
          <t>893880910</t>
        </is>
      </c>
    </row>
    <row r="289">
      <c r="A289" t="inlineStr">
        <is>
          <t>No</t>
        </is>
      </c>
      <c r="B289" t="inlineStr">
        <is>
          <t>DC226.3 .F74 2004</t>
        </is>
      </c>
      <c r="C289" t="inlineStr">
        <is>
          <t>0                      DC 0226300F  74          2004</t>
        </is>
      </c>
      <c r="D289" t="inlineStr">
        <is>
          <t>The Napoleonic Wars : the rise and fall of an empire / Gregory Fremont-Barnes &amp; Todd Fisher.</t>
        </is>
      </c>
      <c r="F289" t="inlineStr">
        <is>
          <t>No</t>
        </is>
      </c>
      <c r="G289" t="inlineStr">
        <is>
          <t>1</t>
        </is>
      </c>
      <c r="H289" t="inlineStr">
        <is>
          <t>No</t>
        </is>
      </c>
      <c r="I289" t="inlineStr">
        <is>
          <t>No</t>
        </is>
      </c>
      <c r="J289" t="inlineStr">
        <is>
          <t>0</t>
        </is>
      </c>
      <c r="K289" t="inlineStr">
        <is>
          <t>Fremont-Barnes, Gregory.</t>
        </is>
      </c>
      <c r="L289" t="inlineStr">
        <is>
          <t>Oxford : Osprey, 2004.</t>
        </is>
      </c>
      <c r="M289" t="inlineStr">
        <is>
          <t>2004</t>
        </is>
      </c>
      <c r="O289" t="inlineStr">
        <is>
          <t>eng</t>
        </is>
      </c>
      <c r="P289" t="inlineStr">
        <is>
          <t>enk</t>
        </is>
      </c>
      <c r="Q289" t="inlineStr">
        <is>
          <t>Essential histories special ; 4</t>
        </is>
      </c>
      <c r="R289" t="inlineStr">
        <is>
          <t xml:space="preserve">DC </t>
        </is>
      </c>
      <c r="S289" t="n">
        <v>2</v>
      </c>
      <c r="T289" t="n">
        <v>2</v>
      </c>
      <c r="U289" t="inlineStr">
        <is>
          <t>2010-10-12</t>
        </is>
      </c>
      <c r="V289" t="inlineStr">
        <is>
          <t>2010-10-12</t>
        </is>
      </c>
      <c r="W289" t="inlineStr">
        <is>
          <t>2009-01-12</t>
        </is>
      </c>
      <c r="X289" t="inlineStr">
        <is>
          <t>2009-01-12</t>
        </is>
      </c>
      <c r="Y289" t="n">
        <v>96</v>
      </c>
      <c r="Z289" t="n">
        <v>60</v>
      </c>
      <c r="AA289" t="n">
        <v>60</v>
      </c>
      <c r="AB289" t="n">
        <v>1</v>
      </c>
      <c r="AC289" t="n">
        <v>1</v>
      </c>
      <c r="AD289" t="n">
        <v>1</v>
      </c>
      <c r="AE289" t="n">
        <v>1</v>
      </c>
      <c r="AF289" t="n">
        <v>1</v>
      </c>
      <c r="AG289" t="n">
        <v>1</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HYPERLINK("https://creighton-primo.hosted.exlibrisgroup.com/primo-explore/search?tab=default_tab&amp;search_scope=EVERYTHING&amp;vid=01CRU&amp;lang=en_US&amp;offset=0&amp;query=any,contains,991005289629702656","Catalog Record")</f>
        <v/>
      </c>
      <c r="AT289">
        <f>HYPERLINK("http://www.worldcat.org/oclc/56403015","WorldCat Record")</f>
        <v/>
      </c>
      <c r="AU289" t="inlineStr">
        <is>
          <t>2999453950:eng</t>
        </is>
      </c>
      <c r="AV289" t="inlineStr">
        <is>
          <t>56403015</t>
        </is>
      </c>
      <c r="AW289" t="inlineStr">
        <is>
          <t>991005289629702656</t>
        </is>
      </c>
      <c r="AX289" t="inlineStr">
        <is>
          <t>991005289629702656</t>
        </is>
      </c>
      <c r="AY289" t="inlineStr">
        <is>
          <t>2267059160002656</t>
        </is>
      </c>
      <c r="AZ289" t="inlineStr">
        <is>
          <t>BOOK</t>
        </is>
      </c>
      <c r="BB289" t="inlineStr">
        <is>
          <t>9781841768311</t>
        </is>
      </c>
      <c r="BC289" t="inlineStr">
        <is>
          <t>32285005477335</t>
        </is>
      </c>
      <c r="BD289" t="inlineStr">
        <is>
          <t>893351049</t>
        </is>
      </c>
    </row>
    <row r="290">
      <c r="A290" t="inlineStr">
        <is>
          <t>No</t>
        </is>
      </c>
      <c r="B290" t="inlineStr">
        <is>
          <t>DC226.3 .K34 2006 v. 1</t>
        </is>
      </c>
      <c r="C290" t="inlineStr">
        <is>
          <t>0                      DC 0226300K  34          2006                                        v. 1</t>
        </is>
      </c>
      <c r="D290" t="inlineStr">
        <is>
          <t>The end of the old order : Napoleon and Europe, 1801-1805 / Frederick W. Kagan.</t>
        </is>
      </c>
      <c r="E290" t="inlineStr">
        <is>
          <t>V. 1</t>
        </is>
      </c>
      <c r="F290" t="inlineStr">
        <is>
          <t>No</t>
        </is>
      </c>
      <c r="G290" t="inlineStr">
        <is>
          <t>1</t>
        </is>
      </c>
      <c r="H290" t="inlineStr">
        <is>
          <t>No</t>
        </is>
      </c>
      <c r="I290" t="inlineStr">
        <is>
          <t>No</t>
        </is>
      </c>
      <c r="J290" t="inlineStr">
        <is>
          <t>0</t>
        </is>
      </c>
      <c r="K290" t="inlineStr">
        <is>
          <t>Kagan, Frederick W., 1970-</t>
        </is>
      </c>
      <c r="L290" t="inlineStr">
        <is>
          <t>Cambridge, MA : Da Capo Press, c2006.</t>
        </is>
      </c>
      <c r="M290" t="inlineStr">
        <is>
          <t>2006</t>
        </is>
      </c>
      <c r="O290" t="inlineStr">
        <is>
          <t>eng</t>
        </is>
      </c>
      <c r="P290" t="inlineStr">
        <is>
          <t>mau</t>
        </is>
      </c>
      <c r="Q290" t="inlineStr">
        <is>
          <t>Napoleon and Europe ; v. 1</t>
        </is>
      </c>
      <c r="R290" t="inlineStr">
        <is>
          <t xml:space="preserve">DC </t>
        </is>
      </c>
      <c r="S290" t="n">
        <v>5</v>
      </c>
      <c r="T290" t="n">
        <v>5</v>
      </c>
      <c r="U290" t="inlineStr">
        <is>
          <t>2010-10-13</t>
        </is>
      </c>
      <c r="V290" t="inlineStr">
        <is>
          <t>2010-10-13</t>
        </is>
      </c>
      <c r="W290" t="inlineStr">
        <is>
          <t>2007-01-09</t>
        </is>
      </c>
      <c r="X290" t="inlineStr">
        <is>
          <t>2007-01-09</t>
        </is>
      </c>
      <c r="Y290" t="n">
        <v>700</v>
      </c>
      <c r="Z290" t="n">
        <v>627</v>
      </c>
      <c r="AA290" t="n">
        <v>892</v>
      </c>
      <c r="AB290" t="n">
        <v>4</v>
      </c>
      <c r="AC290" t="n">
        <v>5</v>
      </c>
      <c r="AD290" t="n">
        <v>24</v>
      </c>
      <c r="AE290" t="n">
        <v>27</v>
      </c>
      <c r="AF290" t="n">
        <v>10</v>
      </c>
      <c r="AG290" t="n">
        <v>12</v>
      </c>
      <c r="AH290" t="n">
        <v>6</v>
      </c>
      <c r="AI290" t="n">
        <v>6</v>
      </c>
      <c r="AJ290" t="n">
        <v>11</v>
      </c>
      <c r="AK290" t="n">
        <v>12</v>
      </c>
      <c r="AL290" t="n">
        <v>3</v>
      </c>
      <c r="AM290" t="n">
        <v>4</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HYPERLINK("https://creighton-primo.hosted.exlibrisgroup.com/primo-explore/search?tab=default_tab&amp;search_scope=EVERYTHING&amp;vid=01CRU&amp;lang=en_US&amp;offset=0&amp;query=any,contains,991004998459702656","Catalog Record")</f>
        <v/>
      </c>
      <c r="AT290">
        <f>HYPERLINK("http://www.worldcat.org/oclc/70714210","WorldCat Record")</f>
        <v/>
      </c>
      <c r="AU290" t="inlineStr">
        <is>
          <t>796453320:eng</t>
        </is>
      </c>
      <c r="AV290" t="inlineStr">
        <is>
          <t>70714210</t>
        </is>
      </c>
      <c r="AW290" t="inlineStr">
        <is>
          <t>991004998459702656</t>
        </is>
      </c>
      <c r="AX290" t="inlineStr">
        <is>
          <t>991004998459702656</t>
        </is>
      </c>
      <c r="AY290" t="inlineStr">
        <is>
          <t>2257824380002656</t>
        </is>
      </c>
      <c r="AZ290" t="inlineStr">
        <is>
          <t>BOOK</t>
        </is>
      </c>
      <c r="BB290" t="inlineStr">
        <is>
          <t>9780306811371</t>
        </is>
      </c>
      <c r="BC290" t="inlineStr">
        <is>
          <t>32285005269682</t>
        </is>
      </c>
      <c r="BD290" t="inlineStr">
        <is>
          <t>893446500</t>
        </is>
      </c>
    </row>
    <row r="291">
      <c r="A291" t="inlineStr">
        <is>
          <t>No</t>
        </is>
      </c>
      <c r="B291" t="inlineStr">
        <is>
          <t>DC226.N5 F67 1999</t>
        </is>
      </c>
      <c r="C291" t="inlineStr">
        <is>
          <t>0                      DC 0226000N  5                  F  67          1999</t>
        </is>
      </c>
      <c r="D291" t="inlineStr">
        <is>
          <t>Napoleon's lost fleet : Bonaparte, Nelson, and the Battle of the Nile / Laura Foreman, Ellen Blue Phillips ; foreword by Franck Goddio.</t>
        </is>
      </c>
      <c r="F291" t="inlineStr">
        <is>
          <t>No</t>
        </is>
      </c>
      <c r="G291" t="inlineStr">
        <is>
          <t>1</t>
        </is>
      </c>
      <c r="H291" t="inlineStr">
        <is>
          <t>No</t>
        </is>
      </c>
      <c r="I291" t="inlineStr">
        <is>
          <t>No</t>
        </is>
      </c>
      <c r="J291" t="inlineStr">
        <is>
          <t>0</t>
        </is>
      </c>
      <c r="K291" t="inlineStr">
        <is>
          <t>Foreman, Laura.</t>
        </is>
      </c>
      <c r="L291" t="inlineStr">
        <is>
          <t>New York : Discovery Books, c1999.</t>
        </is>
      </c>
      <c r="M291" t="inlineStr">
        <is>
          <t>1999</t>
        </is>
      </c>
      <c r="N291" t="inlineStr">
        <is>
          <t>1st ed.</t>
        </is>
      </c>
      <c r="O291" t="inlineStr">
        <is>
          <t>eng</t>
        </is>
      </c>
      <c r="P291" t="inlineStr">
        <is>
          <t>nyu</t>
        </is>
      </c>
      <c r="R291" t="inlineStr">
        <is>
          <t xml:space="preserve">DC </t>
        </is>
      </c>
      <c r="S291" t="n">
        <v>1</v>
      </c>
      <c r="T291" t="n">
        <v>1</v>
      </c>
      <c r="U291" t="inlineStr">
        <is>
          <t>2004-04-06</t>
        </is>
      </c>
      <c r="V291" t="inlineStr">
        <is>
          <t>2004-04-06</t>
        </is>
      </c>
      <c r="W291" t="inlineStr">
        <is>
          <t>1999-10-25</t>
        </is>
      </c>
      <c r="X291" t="inlineStr">
        <is>
          <t>1999-10-25</t>
        </is>
      </c>
      <c r="Y291" t="n">
        <v>496</v>
      </c>
      <c r="Z291" t="n">
        <v>468</v>
      </c>
      <c r="AA291" t="n">
        <v>482</v>
      </c>
      <c r="AB291" t="n">
        <v>3</v>
      </c>
      <c r="AC291" t="n">
        <v>3</v>
      </c>
      <c r="AD291" t="n">
        <v>4</v>
      </c>
      <c r="AE291" t="n">
        <v>4</v>
      </c>
      <c r="AF291" t="n">
        <v>2</v>
      </c>
      <c r="AG291" t="n">
        <v>2</v>
      </c>
      <c r="AH291" t="n">
        <v>0</v>
      </c>
      <c r="AI291" t="n">
        <v>0</v>
      </c>
      <c r="AJ291" t="n">
        <v>2</v>
      </c>
      <c r="AK291" t="n">
        <v>2</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HYPERLINK("https://creighton-primo.hosted.exlibrisgroup.com/primo-explore/search?tab=default_tab&amp;search_scope=EVERYTHING&amp;vid=01CRU&amp;lang=en_US&amp;offset=0&amp;query=any,contains,991003031159702656","Catalog Record")</f>
        <v/>
      </c>
      <c r="AT291">
        <f>HYPERLINK("http://www.worldcat.org/oclc/41527939","WorldCat Record")</f>
        <v/>
      </c>
      <c r="AU291" t="inlineStr">
        <is>
          <t>837037272:eng</t>
        </is>
      </c>
      <c r="AV291" t="inlineStr">
        <is>
          <t>41527939</t>
        </is>
      </c>
      <c r="AW291" t="inlineStr">
        <is>
          <t>991003031159702656</t>
        </is>
      </c>
      <c r="AX291" t="inlineStr">
        <is>
          <t>991003031159702656</t>
        </is>
      </c>
      <c r="AY291" t="inlineStr">
        <is>
          <t>2263709470002656</t>
        </is>
      </c>
      <c r="AZ291" t="inlineStr">
        <is>
          <t>BOOK</t>
        </is>
      </c>
      <c r="BB291" t="inlineStr">
        <is>
          <t>9781563318313</t>
        </is>
      </c>
      <c r="BC291" t="inlineStr">
        <is>
          <t>32285003612966</t>
        </is>
      </c>
      <c r="BD291" t="inlineStr">
        <is>
          <t>893592108</t>
        </is>
      </c>
    </row>
    <row r="292">
      <c r="A292" t="inlineStr">
        <is>
          <t>No</t>
        </is>
      </c>
      <c r="B292" t="inlineStr">
        <is>
          <t>DC227 .H67</t>
        </is>
      </c>
      <c r="C292" t="inlineStr">
        <is>
          <t>0                      DC 0227000H  67</t>
        </is>
      </c>
      <c r="D292" t="inlineStr">
        <is>
          <t>Napoleon, Master of Europe, 1805-1807 / Alistair Horne.</t>
        </is>
      </c>
      <c r="F292" t="inlineStr">
        <is>
          <t>No</t>
        </is>
      </c>
      <c r="G292" t="inlineStr">
        <is>
          <t>1</t>
        </is>
      </c>
      <c r="H292" t="inlineStr">
        <is>
          <t>No</t>
        </is>
      </c>
      <c r="I292" t="inlineStr">
        <is>
          <t>No</t>
        </is>
      </c>
      <c r="J292" t="inlineStr">
        <is>
          <t>0</t>
        </is>
      </c>
      <c r="K292" t="inlineStr">
        <is>
          <t>Horne, Alistair.</t>
        </is>
      </c>
      <c r="L292" t="inlineStr">
        <is>
          <t>New York : Morrow, 1979.</t>
        </is>
      </c>
      <c r="M292" t="inlineStr">
        <is>
          <t>1979</t>
        </is>
      </c>
      <c r="O292" t="inlineStr">
        <is>
          <t>eng</t>
        </is>
      </c>
      <c r="P292" t="inlineStr">
        <is>
          <t>nyu</t>
        </is>
      </c>
      <c r="R292" t="inlineStr">
        <is>
          <t xml:space="preserve">DC </t>
        </is>
      </c>
      <c r="S292" t="n">
        <v>8</v>
      </c>
      <c r="T292" t="n">
        <v>8</v>
      </c>
      <c r="U292" t="inlineStr">
        <is>
          <t>2000-06-29</t>
        </is>
      </c>
      <c r="V292" t="inlineStr">
        <is>
          <t>2000-06-29</t>
        </is>
      </c>
      <c r="W292" t="inlineStr">
        <is>
          <t>1990-01-29</t>
        </is>
      </c>
      <c r="X292" t="inlineStr">
        <is>
          <t>1990-01-29</t>
        </is>
      </c>
      <c r="Y292" t="n">
        <v>383</v>
      </c>
      <c r="Z292" t="n">
        <v>364</v>
      </c>
      <c r="AA292" t="n">
        <v>403</v>
      </c>
      <c r="AB292" t="n">
        <v>4</v>
      </c>
      <c r="AC292" t="n">
        <v>5</v>
      </c>
      <c r="AD292" t="n">
        <v>16</v>
      </c>
      <c r="AE292" t="n">
        <v>17</v>
      </c>
      <c r="AF292" t="n">
        <v>5</v>
      </c>
      <c r="AG292" t="n">
        <v>5</v>
      </c>
      <c r="AH292" t="n">
        <v>4</v>
      </c>
      <c r="AI292" t="n">
        <v>4</v>
      </c>
      <c r="AJ292" t="n">
        <v>6</v>
      </c>
      <c r="AK292" t="n">
        <v>6</v>
      </c>
      <c r="AL292" t="n">
        <v>3</v>
      </c>
      <c r="AM292" t="n">
        <v>4</v>
      </c>
      <c r="AN292" t="n">
        <v>1</v>
      </c>
      <c r="AO292" t="n">
        <v>1</v>
      </c>
      <c r="AP292" t="inlineStr">
        <is>
          <t>No</t>
        </is>
      </c>
      <c r="AQ292" t="inlineStr">
        <is>
          <t>Yes</t>
        </is>
      </c>
      <c r="AR292">
        <f>HYPERLINK("http://catalog.hathitrust.org/Record/000759955","HathiTrust Record")</f>
        <v/>
      </c>
      <c r="AS292">
        <f>HYPERLINK("https://creighton-primo.hosted.exlibrisgroup.com/primo-explore/search?tab=default_tab&amp;search_scope=EVERYTHING&amp;vid=01CRU&amp;lang=en_US&amp;offset=0&amp;query=any,contains,991004859559702656","Catalog Record")</f>
        <v/>
      </c>
      <c r="AT292">
        <f>HYPERLINK("http://www.worldcat.org/oclc/5685999","WorldCat Record")</f>
        <v/>
      </c>
      <c r="AU292" t="inlineStr">
        <is>
          <t>19204327:eng</t>
        </is>
      </c>
      <c r="AV292" t="inlineStr">
        <is>
          <t>5685999</t>
        </is>
      </c>
      <c r="AW292" t="inlineStr">
        <is>
          <t>991004859559702656</t>
        </is>
      </c>
      <c r="AX292" t="inlineStr">
        <is>
          <t>991004859559702656</t>
        </is>
      </c>
      <c r="AY292" t="inlineStr">
        <is>
          <t>2255011430002656</t>
        </is>
      </c>
      <c r="AZ292" t="inlineStr">
        <is>
          <t>BOOK</t>
        </is>
      </c>
      <c r="BB292" t="inlineStr">
        <is>
          <t>9780688035006</t>
        </is>
      </c>
      <c r="BC292" t="inlineStr">
        <is>
          <t>32285000036599</t>
        </is>
      </c>
      <c r="BD292" t="inlineStr">
        <is>
          <t>893713134</t>
        </is>
      </c>
    </row>
    <row r="293">
      <c r="A293" t="inlineStr">
        <is>
          <t>No</t>
        </is>
      </c>
      <c r="B293" t="inlineStr">
        <is>
          <t>DC227.5.A8 G64 2005</t>
        </is>
      </c>
      <c r="C293" t="inlineStr">
        <is>
          <t>0                      DC 0227500A  8                  G  64          2005</t>
        </is>
      </c>
      <c r="D293" t="inlineStr">
        <is>
          <t>1805, Austerlitz : Napoleon and the destruction of the Third Coalition / Robert Goetz.</t>
        </is>
      </c>
      <c r="F293" t="inlineStr">
        <is>
          <t>No</t>
        </is>
      </c>
      <c r="G293" t="inlineStr">
        <is>
          <t>1</t>
        </is>
      </c>
      <c r="H293" t="inlineStr">
        <is>
          <t>No</t>
        </is>
      </c>
      <c r="I293" t="inlineStr">
        <is>
          <t>No</t>
        </is>
      </c>
      <c r="J293" t="inlineStr">
        <is>
          <t>0</t>
        </is>
      </c>
      <c r="K293" t="inlineStr">
        <is>
          <t>Goetz, Robert, 1964-</t>
        </is>
      </c>
      <c r="L293" t="inlineStr">
        <is>
          <t>London : Greenhill Books ; Mechanicsburg, PA : Stackpole Books, 2005.</t>
        </is>
      </c>
      <c r="M293" t="inlineStr">
        <is>
          <t>2005</t>
        </is>
      </c>
      <c r="O293" t="inlineStr">
        <is>
          <t>eng</t>
        </is>
      </c>
      <c r="P293" t="inlineStr">
        <is>
          <t>enk</t>
        </is>
      </c>
      <c r="R293" t="inlineStr">
        <is>
          <t xml:space="preserve">DC </t>
        </is>
      </c>
      <c r="S293" t="n">
        <v>1</v>
      </c>
      <c r="T293" t="n">
        <v>1</v>
      </c>
      <c r="U293" t="inlineStr">
        <is>
          <t>2008-06-10</t>
        </is>
      </c>
      <c r="V293" t="inlineStr">
        <is>
          <t>2008-06-10</t>
        </is>
      </c>
      <c r="W293" t="inlineStr">
        <is>
          <t>2008-06-10</t>
        </is>
      </c>
      <c r="X293" t="inlineStr">
        <is>
          <t>2008-06-10</t>
        </is>
      </c>
      <c r="Y293" t="n">
        <v>353</v>
      </c>
      <c r="Z293" t="n">
        <v>306</v>
      </c>
      <c r="AA293" t="n">
        <v>332</v>
      </c>
      <c r="AB293" t="n">
        <v>2</v>
      </c>
      <c r="AC293" t="n">
        <v>3</v>
      </c>
      <c r="AD293" t="n">
        <v>15</v>
      </c>
      <c r="AE293" t="n">
        <v>17</v>
      </c>
      <c r="AF293" t="n">
        <v>8</v>
      </c>
      <c r="AG293" t="n">
        <v>9</v>
      </c>
      <c r="AH293" t="n">
        <v>2</v>
      </c>
      <c r="AI293" t="n">
        <v>3</v>
      </c>
      <c r="AJ293" t="n">
        <v>7</v>
      </c>
      <c r="AK293" t="n">
        <v>7</v>
      </c>
      <c r="AL293" t="n">
        <v>1</v>
      </c>
      <c r="AM293" t="n">
        <v>2</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HYPERLINK("https://creighton-primo.hosted.exlibrisgroup.com/primo-explore/search?tab=default_tab&amp;search_scope=EVERYTHING&amp;vid=01CRU&amp;lang=en_US&amp;offset=0&amp;query=any,contains,991005232939702656","Catalog Record")</f>
        <v/>
      </c>
      <c r="AT293">
        <f>HYPERLINK("http://www.worldcat.org/oclc/60371599","WorldCat Record")</f>
        <v/>
      </c>
      <c r="AU293" t="inlineStr">
        <is>
          <t>953844:eng</t>
        </is>
      </c>
      <c r="AV293" t="inlineStr">
        <is>
          <t>60371599</t>
        </is>
      </c>
      <c r="AW293" t="inlineStr">
        <is>
          <t>991005232939702656</t>
        </is>
      </c>
      <c r="AX293" t="inlineStr">
        <is>
          <t>991005232939702656</t>
        </is>
      </c>
      <c r="AY293" t="inlineStr">
        <is>
          <t>2268531940002656</t>
        </is>
      </c>
      <c r="AZ293" t="inlineStr">
        <is>
          <t>BOOK</t>
        </is>
      </c>
      <c r="BB293" t="inlineStr">
        <is>
          <t>9781853676444</t>
        </is>
      </c>
      <c r="BC293" t="inlineStr">
        <is>
          <t>32285005443980</t>
        </is>
      </c>
      <c r="BD293" t="inlineStr">
        <is>
          <t>893902335</t>
        </is>
      </c>
    </row>
    <row r="294">
      <c r="A294" t="inlineStr">
        <is>
          <t>No</t>
        </is>
      </c>
      <c r="B294" t="inlineStr">
        <is>
          <t>DC231 .T63 1994</t>
        </is>
      </c>
      <c r="C294" t="inlineStr">
        <is>
          <t>0                      DC 0231000T  63          1994</t>
        </is>
      </c>
      <c r="D294" t="inlineStr">
        <is>
          <t>The fatal knot : the guerrilla war in Navarre and the defeat of Napoleon in Spain / by John Lawrence Tone.</t>
        </is>
      </c>
      <c r="F294" t="inlineStr">
        <is>
          <t>No</t>
        </is>
      </c>
      <c r="G294" t="inlineStr">
        <is>
          <t>1</t>
        </is>
      </c>
      <c r="H294" t="inlineStr">
        <is>
          <t>No</t>
        </is>
      </c>
      <c r="I294" t="inlineStr">
        <is>
          <t>No</t>
        </is>
      </c>
      <c r="J294" t="inlineStr">
        <is>
          <t>0</t>
        </is>
      </c>
      <c r="K294" t="inlineStr">
        <is>
          <t>Tone, John Lawrence.</t>
        </is>
      </c>
      <c r="L294" t="inlineStr">
        <is>
          <t>Chapel Hill : University of North Carolina Press, c1994.</t>
        </is>
      </c>
      <c r="M294" t="inlineStr">
        <is>
          <t>1994</t>
        </is>
      </c>
      <c r="O294" t="inlineStr">
        <is>
          <t>eng</t>
        </is>
      </c>
      <c r="P294" t="inlineStr">
        <is>
          <t>ncu</t>
        </is>
      </c>
      <c r="R294" t="inlineStr">
        <is>
          <t xml:space="preserve">DC </t>
        </is>
      </c>
      <c r="S294" t="n">
        <v>1</v>
      </c>
      <c r="T294" t="n">
        <v>1</v>
      </c>
      <c r="U294" t="inlineStr">
        <is>
          <t>2006-12-07</t>
        </is>
      </c>
      <c r="V294" t="inlineStr">
        <is>
          <t>2006-12-07</t>
        </is>
      </c>
      <c r="W294" t="inlineStr">
        <is>
          <t>2006-12-07</t>
        </is>
      </c>
      <c r="X294" t="inlineStr">
        <is>
          <t>2006-12-07</t>
        </is>
      </c>
      <c r="Y294" t="n">
        <v>427</v>
      </c>
      <c r="Z294" t="n">
        <v>356</v>
      </c>
      <c r="AA294" t="n">
        <v>358</v>
      </c>
      <c r="AB294" t="n">
        <v>4</v>
      </c>
      <c r="AC294" t="n">
        <v>4</v>
      </c>
      <c r="AD294" t="n">
        <v>19</v>
      </c>
      <c r="AE294" t="n">
        <v>19</v>
      </c>
      <c r="AF294" t="n">
        <v>6</v>
      </c>
      <c r="AG294" t="n">
        <v>6</v>
      </c>
      <c r="AH294" t="n">
        <v>4</v>
      </c>
      <c r="AI294" t="n">
        <v>4</v>
      </c>
      <c r="AJ294" t="n">
        <v>13</v>
      </c>
      <c r="AK294" t="n">
        <v>13</v>
      </c>
      <c r="AL294" t="n">
        <v>3</v>
      </c>
      <c r="AM294" t="n">
        <v>3</v>
      </c>
      <c r="AN294" t="n">
        <v>0</v>
      </c>
      <c r="AO294" t="n">
        <v>0</v>
      </c>
      <c r="AP294" t="inlineStr">
        <is>
          <t>No</t>
        </is>
      </c>
      <c r="AQ294" t="inlineStr">
        <is>
          <t>Yes</t>
        </is>
      </c>
      <c r="AR294">
        <f>HYPERLINK("http://catalog.hathitrust.org/Record/002959970","HathiTrust Record")</f>
        <v/>
      </c>
      <c r="AS294">
        <f>HYPERLINK("https://creighton-primo.hosted.exlibrisgroup.com/primo-explore/search?tab=default_tab&amp;search_scope=EVERYTHING&amp;vid=01CRU&amp;lang=en_US&amp;offset=0&amp;query=any,contains,991004959829702656","Catalog Record")</f>
        <v/>
      </c>
      <c r="AT294">
        <f>HYPERLINK("http://www.worldcat.org/oclc/29877244","WorldCat Record")</f>
        <v/>
      </c>
      <c r="AU294" t="inlineStr">
        <is>
          <t>32129279:eng</t>
        </is>
      </c>
      <c r="AV294" t="inlineStr">
        <is>
          <t>29877244</t>
        </is>
      </c>
      <c r="AW294" t="inlineStr">
        <is>
          <t>991004959829702656</t>
        </is>
      </c>
      <c r="AX294" t="inlineStr">
        <is>
          <t>991004959829702656</t>
        </is>
      </c>
      <c r="AY294" t="inlineStr">
        <is>
          <t>2257743070002656</t>
        </is>
      </c>
      <c r="AZ294" t="inlineStr">
        <is>
          <t>BOOK</t>
        </is>
      </c>
      <c r="BB294" t="inlineStr">
        <is>
          <t>9780807821695</t>
        </is>
      </c>
      <c r="BC294" t="inlineStr">
        <is>
          <t>32285005264931</t>
        </is>
      </c>
      <c r="BD294" t="inlineStr">
        <is>
          <t>893319823</t>
        </is>
      </c>
    </row>
    <row r="295">
      <c r="A295" t="inlineStr">
        <is>
          <t>No</t>
        </is>
      </c>
      <c r="B295" t="inlineStr">
        <is>
          <t>DC235 .C35 1985</t>
        </is>
      </c>
      <c r="C295" t="inlineStr">
        <is>
          <t>0                      DC 0235000C  35          1985</t>
        </is>
      </c>
      <c r="D295" t="inlineStr">
        <is>
          <t>The war of the two emperors : the duel between Napoleon and Alexander -- Russia, 1812 / Curtis Cate.</t>
        </is>
      </c>
      <c r="F295" t="inlineStr">
        <is>
          <t>No</t>
        </is>
      </c>
      <c r="G295" t="inlineStr">
        <is>
          <t>1</t>
        </is>
      </c>
      <c r="H295" t="inlineStr">
        <is>
          <t>No</t>
        </is>
      </c>
      <c r="I295" t="inlineStr">
        <is>
          <t>No</t>
        </is>
      </c>
      <c r="J295" t="inlineStr">
        <is>
          <t>0</t>
        </is>
      </c>
      <c r="K295" t="inlineStr">
        <is>
          <t>Cate, Curtis, 1924-2006.</t>
        </is>
      </c>
      <c r="L295" t="inlineStr">
        <is>
          <t>New York : Random House, c1985.</t>
        </is>
      </c>
      <c r="M295" t="inlineStr">
        <is>
          <t>1985</t>
        </is>
      </c>
      <c r="N295" t="inlineStr">
        <is>
          <t>1st ed.</t>
        </is>
      </c>
      <c r="O295" t="inlineStr">
        <is>
          <t>eng</t>
        </is>
      </c>
      <c r="P295" t="inlineStr">
        <is>
          <t>nyu</t>
        </is>
      </c>
      <c r="R295" t="inlineStr">
        <is>
          <t xml:space="preserve">DC </t>
        </is>
      </c>
      <c r="S295" t="n">
        <v>2</v>
      </c>
      <c r="T295" t="n">
        <v>2</v>
      </c>
      <c r="U295" t="inlineStr">
        <is>
          <t>2007-12-09</t>
        </is>
      </c>
      <c r="V295" t="inlineStr">
        <is>
          <t>2007-12-09</t>
        </is>
      </c>
      <c r="W295" t="inlineStr">
        <is>
          <t>1990-03-12</t>
        </is>
      </c>
      <c r="X295" t="inlineStr">
        <is>
          <t>1990-03-12</t>
        </is>
      </c>
      <c r="Y295" t="n">
        <v>997</v>
      </c>
      <c r="Z295" t="n">
        <v>927</v>
      </c>
      <c r="AA295" t="n">
        <v>929</v>
      </c>
      <c r="AB295" t="n">
        <v>9</v>
      </c>
      <c r="AC295" t="n">
        <v>9</v>
      </c>
      <c r="AD295" t="n">
        <v>29</v>
      </c>
      <c r="AE295" t="n">
        <v>29</v>
      </c>
      <c r="AF295" t="n">
        <v>13</v>
      </c>
      <c r="AG295" t="n">
        <v>13</v>
      </c>
      <c r="AH295" t="n">
        <v>7</v>
      </c>
      <c r="AI295" t="n">
        <v>7</v>
      </c>
      <c r="AJ295" t="n">
        <v>12</v>
      </c>
      <c r="AK295" t="n">
        <v>12</v>
      </c>
      <c r="AL295" t="n">
        <v>4</v>
      </c>
      <c r="AM295" t="n">
        <v>4</v>
      </c>
      <c r="AN295" t="n">
        <v>0</v>
      </c>
      <c r="AO295" t="n">
        <v>0</v>
      </c>
      <c r="AP295" t="inlineStr">
        <is>
          <t>No</t>
        </is>
      </c>
      <c r="AQ295" t="inlineStr">
        <is>
          <t>Yes</t>
        </is>
      </c>
      <c r="AR295">
        <f>HYPERLINK("http://catalog.hathitrust.org/Record/000352140","HathiTrust Record")</f>
        <v/>
      </c>
      <c r="AS295">
        <f>HYPERLINK("https://creighton-primo.hosted.exlibrisgroup.com/primo-explore/search?tab=default_tab&amp;search_scope=EVERYTHING&amp;vid=01CRU&amp;lang=en_US&amp;offset=0&amp;query=any,contains,991000606349702656","Catalog Record")</f>
        <v/>
      </c>
      <c r="AT295">
        <f>HYPERLINK("http://www.worldcat.org/oclc/11866861","WorldCat Record")</f>
        <v/>
      </c>
      <c r="AU295" t="inlineStr">
        <is>
          <t>197302301:eng</t>
        </is>
      </c>
      <c r="AV295" t="inlineStr">
        <is>
          <t>11866861</t>
        </is>
      </c>
      <c r="AW295" t="inlineStr">
        <is>
          <t>991000606349702656</t>
        </is>
      </c>
      <c r="AX295" t="inlineStr">
        <is>
          <t>991000606349702656</t>
        </is>
      </c>
      <c r="AY295" t="inlineStr">
        <is>
          <t>2265049570002656</t>
        </is>
      </c>
      <c r="AZ295" t="inlineStr">
        <is>
          <t>BOOK</t>
        </is>
      </c>
      <c r="BB295" t="inlineStr">
        <is>
          <t>9780394536705</t>
        </is>
      </c>
      <c r="BC295" t="inlineStr">
        <is>
          <t>32285000079136</t>
        </is>
      </c>
      <c r="BD295" t="inlineStr">
        <is>
          <t>893521836</t>
        </is>
      </c>
    </row>
    <row r="296">
      <c r="A296" t="inlineStr">
        <is>
          <t>No</t>
        </is>
      </c>
      <c r="B296" t="inlineStr">
        <is>
          <t>DC235 .D4 1967</t>
        </is>
      </c>
      <c r="C296" t="inlineStr">
        <is>
          <t>0                      DC 0235000D  4           1967</t>
        </is>
      </c>
      <c r="D296" t="inlineStr">
        <is>
          <t>The retreat from Moscow [by] R. F. Delderfield.</t>
        </is>
      </c>
      <c r="F296" t="inlineStr">
        <is>
          <t>No</t>
        </is>
      </c>
      <c r="G296" t="inlineStr">
        <is>
          <t>1</t>
        </is>
      </c>
      <c r="H296" t="inlineStr">
        <is>
          <t>No</t>
        </is>
      </c>
      <c r="I296" t="inlineStr">
        <is>
          <t>No</t>
        </is>
      </c>
      <c r="J296" t="inlineStr">
        <is>
          <t>0</t>
        </is>
      </c>
      <c r="K296" t="inlineStr">
        <is>
          <t>Delderfield, R. F. (Ronald Frederick), 1912-1972.</t>
        </is>
      </c>
      <c r="L296" t="inlineStr">
        <is>
          <t>New York, Atheneum, 1967.</t>
        </is>
      </c>
      <c r="M296" t="inlineStr">
        <is>
          <t>1967</t>
        </is>
      </c>
      <c r="N296" t="inlineStr">
        <is>
          <t>[1st American ed.]</t>
        </is>
      </c>
      <c r="O296" t="inlineStr">
        <is>
          <t>eng</t>
        </is>
      </c>
      <c r="P296" t="inlineStr">
        <is>
          <t>nyu</t>
        </is>
      </c>
      <c r="R296" t="inlineStr">
        <is>
          <t xml:space="preserve">DC </t>
        </is>
      </c>
      <c r="S296" t="n">
        <v>1</v>
      </c>
      <c r="T296" t="n">
        <v>1</v>
      </c>
      <c r="U296" t="inlineStr">
        <is>
          <t>2001-11-14</t>
        </is>
      </c>
      <c r="V296" t="inlineStr">
        <is>
          <t>2001-11-14</t>
        </is>
      </c>
      <c r="W296" t="inlineStr">
        <is>
          <t>1996-11-11</t>
        </is>
      </c>
      <c r="X296" t="inlineStr">
        <is>
          <t>1996-11-11</t>
        </is>
      </c>
      <c r="Y296" t="n">
        <v>516</v>
      </c>
      <c r="Z296" t="n">
        <v>490</v>
      </c>
      <c r="AA296" t="n">
        <v>524</v>
      </c>
      <c r="AB296" t="n">
        <v>2</v>
      </c>
      <c r="AC296" t="n">
        <v>2</v>
      </c>
      <c r="AD296" t="n">
        <v>15</v>
      </c>
      <c r="AE296" t="n">
        <v>16</v>
      </c>
      <c r="AF296" t="n">
        <v>5</v>
      </c>
      <c r="AG296" t="n">
        <v>5</v>
      </c>
      <c r="AH296" t="n">
        <v>4</v>
      </c>
      <c r="AI296" t="n">
        <v>5</v>
      </c>
      <c r="AJ296" t="n">
        <v>7</v>
      </c>
      <c r="AK296" t="n">
        <v>8</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HYPERLINK("https://creighton-primo.hosted.exlibrisgroup.com/primo-explore/search?tab=default_tab&amp;search_scope=EVERYTHING&amp;vid=01CRU&amp;lang=en_US&amp;offset=0&amp;query=any,contains,991003709649702656","Catalog Record")</f>
        <v/>
      </c>
      <c r="AT296">
        <f>HYPERLINK("http://www.worldcat.org/oclc/1348563","WorldCat Record")</f>
        <v/>
      </c>
      <c r="AU296" t="inlineStr">
        <is>
          <t>2246094:eng</t>
        </is>
      </c>
      <c r="AV296" t="inlineStr">
        <is>
          <t>1348563</t>
        </is>
      </c>
      <c r="AW296" t="inlineStr">
        <is>
          <t>991003709649702656</t>
        </is>
      </c>
      <c r="AX296" t="inlineStr">
        <is>
          <t>991003709649702656</t>
        </is>
      </c>
      <c r="AY296" t="inlineStr">
        <is>
          <t>2257422160002656</t>
        </is>
      </c>
      <c r="AZ296" t="inlineStr">
        <is>
          <t>BOOK</t>
        </is>
      </c>
      <c r="BC296" t="inlineStr">
        <is>
          <t>32285002344330</t>
        </is>
      </c>
      <c r="BD296" t="inlineStr">
        <is>
          <t>893623808</t>
        </is>
      </c>
    </row>
    <row r="297">
      <c r="A297" t="inlineStr">
        <is>
          <t>No</t>
        </is>
      </c>
      <c r="B297" t="inlineStr">
        <is>
          <t>DC235 .R43 1990</t>
        </is>
      </c>
      <c r="C297" t="inlineStr">
        <is>
          <t>0                      DC 0235000R  43          1990</t>
        </is>
      </c>
      <c r="D297" t="inlineStr">
        <is>
          <t>1812 : Napoleon's Russian campaign / by Richard K. Riehn.</t>
        </is>
      </c>
      <c r="F297" t="inlineStr">
        <is>
          <t>No</t>
        </is>
      </c>
      <c r="G297" t="inlineStr">
        <is>
          <t>1</t>
        </is>
      </c>
      <c r="H297" t="inlineStr">
        <is>
          <t>No</t>
        </is>
      </c>
      <c r="I297" t="inlineStr">
        <is>
          <t>No</t>
        </is>
      </c>
      <c r="J297" t="inlineStr">
        <is>
          <t>0</t>
        </is>
      </c>
      <c r="K297" t="inlineStr">
        <is>
          <t>Riehn, Richard K., 1928-</t>
        </is>
      </c>
      <c r="L297" t="inlineStr">
        <is>
          <t>New York : McGraw-Hill, c1990.</t>
        </is>
      </c>
      <c r="M297" t="inlineStr">
        <is>
          <t>1990</t>
        </is>
      </c>
      <c r="O297" t="inlineStr">
        <is>
          <t>eng</t>
        </is>
      </c>
      <c r="P297" t="inlineStr">
        <is>
          <t>nyu</t>
        </is>
      </c>
      <c r="R297" t="inlineStr">
        <is>
          <t xml:space="preserve">DC </t>
        </is>
      </c>
      <c r="S297" t="n">
        <v>2</v>
      </c>
      <c r="T297" t="n">
        <v>2</v>
      </c>
      <c r="U297" t="inlineStr">
        <is>
          <t>2010-10-13</t>
        </is>
      </c>
      <c r="V297" t="inlineStr">
        <is>
          <t>2010-10-13</t>
        </is>
      </c>
      <c r="W297" t="inlineStr">
        <is>
          <t>2008-06-10</t>
        </is>
      </c>
      <c r="X297" t="inlineStr">
        <is>
          <t>2008-06-10</t>
        </is>
      </c>
      <c r="Y297" t="n">
        <v>598</v>
      </c>
      <c r="Z297" t="n">
        <v>555</v>
      </c>
      <c r="AA297" t="n">
        <v>650</v>
      </c>
      <c r="AB297" t="n">
        <v>3</v>
      </c>
      <c r="AC297" t="n">
        <v>5</v>
      </c>
      <c r="AD297" t="n">
        <v>17</v>
      </c>
      <c r="AE297" t="n">
        <v>21</v>
      </c>
      <c r="AF297" t="n">
        <v>8</v>
      </c>
      <c r="AG297" t="n">
        <v>10</v>
      </c>
      <c r="AH297" t="n">
        <v>4</v>
      </c>
      <c r="AI297" t="n">
        <v>5</v>
      </c>
      <c r="AJ297" t="n">
        <v>10</v>
      </c>
      <c r="AK297" t="n">
        <v>12</v>
      </c>
      <c r="AL297" t="n">
        <v>2</v>
      </c>
      <c r="AM297" t="n">
        <v>3</v>
      </c>
      <c r="AN297" t="n">
        <v>0</v>
      </c>
      <c r="AO297" t="n">
        <v>0</v>
      </c>
      <c r="AP297" t="inlineStr">
        <is>
          <t>No</t>
        </is>
      </c>
      <c r="AQ297" t="inlineStr">
        <is>
          <t>Yes</t>
        </is>
      </c>
      <c r="AR297">
        <f>HYPERLINK("http://catalog.hathitrust.org/Record/002054354","HathiTrust Record")</f>
        <v/>
      </c>
      <c r="AS297">
        <f>HYPERLINK("https://creighton-primo.hosted.exlibrisgroup.com/primo-explore/search?tab=default_tab&amp;search_scope=EVERYTHING&amp;vid=01CRU&amp;lang=en_US&amp;offset=0&amp;query=any,contains,991005233319702656","Catalog Record")</f>
        <v/>
      </c>
      <c r="AT297">
        <f>HYPERLINK("http://www.worldcat.org/oclc/20563997","WorldCat Record")</f>
        <v/>
      </c>
      <c r="AU297" t="inlineStr">
        <is>
          <t>22201002:eng</t>
        </is>
      </c>
      <c r="AV297" t="inlineStr">
        <is>
          <t>20563997</t>
        </is>
      </c>
      <c r="AW297" t="inlineStr">
        <is>
          <t>991005233319702656</t>
        </is>
      </c>
      <c r="AX297" t="inlineStr">
        <is>
          <t>991005233319702656</t>
        </is>
      </c>
      <c r="AY297" t="inlineStr">
        <is>
          <t>2257316450002656</t>
        </is>
      </c>
      <c r="AZ297" t="inlineStr">
        <is>
          <t>BOOK</t>
        </is>
      </c>
      <c r="BB297" t="inlineStr">
        <is>
          <t>9780070527317</t>
        </is>
      </c>
      <c r="BC297" t="inlineStr">
        <is>
          <t>32285005444061</t>
        </is>
      </c>
      <c r="BD297" t="inlineStr">
        <is>
          <t>893688807</t>
        </is>
      </c>
    </row>
    <row r="298">
      <c r="A298" t="inlineStr">
        <is>
          <t>No</t>
        </is>
      </c>
      <c r="B298" t="inlineStr">
        <is>
          <t>DC235 .T32</t>
        </is>
      </c>
      <c r="C298" t="inlineStr">
        <is>
          <t>0                      DC 0235000T  32</t>
        </is>
      </c>
      <c r="D298" t="inlineStr">
        <is>
          <t>Napoleon's invasion of Russia, 1812.</t>
        </is>
      </c>
      <c r="F298" t="inlineStr">
        <is>
          <t>No</t>
        </is>
      </c>
      <c r="G298" t="inlineStr">
        <is>
          <t>1</t>
        </is>
      </c>
      <c r="H298" t="inlineStr">
        <is>
          <t>No</t>
        </is>
      </c>
      <c r="I298" t="inlineStr">
        <is>
          <t>No</t>
        </is>
      </c>
      <c r="J298" t="inlineStr">
        <is>
          <t>0</t>
        </is>
      </c>
      <c r="K298" t="inlineStr">
        <is>
          <t>Tarle, E. V. (Evgeniĭ Viktorovich), 1874-1955.</t>
        </is>
      </c>
      <c r="L298" t="inlineStr">
        <is>
          <t>New York ; Toronto : Oxford University Press, 1942.</t>
        </is>
      </c>
      <c r="M298" t="inlineStr">
        <is>
          <t>1942</t>
        </is>
      </c>
      <c r="O298" t="inlineStr">
        <is>
          <t>eng</t>
        </is>
      </c>
      <c r="P298" t="inlineStr">
        <is>
          <t>nyu</t>
        </is>
      </c>
      <c r="R298" t="inlineStr">
        <is>
          <t xml:space="preserve">DC </t>
        </is>
      </c>
      <c r="S298" t="n">
        <v>2</v>
      </c>
      <c r="T298" t="n">
        <v>2</v>
      </c>
      <c r="U298" t="inlineStr">
        <is>
          <t>2007-12-09</t>
        </is>
      </c>
      <c r="V298" t="inlineStr">
        <is>
          <t>2007-12-09</t>
        </is>
      </c>
      <c r="W298" t="inlineStr">
        <is>
          <t>1990-03-28</t>
        </is>
      </c>
      <c r="X298" t="inlineStr">
        <is>
          <t>1990-03-28</t>
        </is>
      </c>
      <c r="Y298" t="n">
        <v>519</v>
      </c>
      <c r="Z298" t="n">
        <v>477</v>
      </c>
      <c r="AA298" t="n">
        <v>793</v>
      </c>
      <c r="AB298" t="n">
        <v>5</v>
      </c>
      <c r="AC298" t="n">
        <v>9</v>
      </c>
      <c r="AD298" t="n">
        <v>27</v>
      </c>
      <c r="AE298" t="n">
        <v>41</v>
      </c>
      <c r="AF298" t="n">
        <v>12</v>
      </c>
      <c r="AG298" t="n">
        <v>17</v>
      </c>
      <c r="AH298" t="n">
        <v>5</v>
      </c>
      <c r="AI298" t="n">
        <v>7</v>
      </c>
      <c r="AJ298" t="n">
        <v>11</v>
      </c>
      <c r="AK298" t="n">
        <v>18</v>
      </c>
      <c r="AL298" t="n">
        <v>4</v>
      </c>
      <c r="AM298" t="n">
        <v>8</v>
      </c>
      <c r="AN298" t="n">
        <v>0</v>
      </c>
      <c r="AO298" t="n">
        <v>0</v>
      </c>
      <c r="AP298" t="inlineStr">
        <is>
          <t>No</t>
        </is>
      </c>
      <c r="AQ298" t="inlineStr">
        <is>
          <t>Yes</t>
        </is>
      </c>
      <c r="AR298">
        <f>HYPERLINK("http://catalog.hathitrust.org/Record/000606983","HathiTrust Record")</f>
        <v/>
      </c>
      <c r="AS298">
        <f>HYPERLINK("https://creighton-primo.hosted.exlibrisgroup.com/primo-explore/search?tab=default_tab&amp;search_scope=EVERYTHING&amp;vid=01CRU&amp;lang=en_US&amp;offset=0&amp;query=any,contains,991003795839702656","Catalog Record")</f>
        <v/>
      </c>
      <c r="AT298">
        <f>HYPERLINK("http://www.worldcat.org/oclc/1517376","WorldCat Record")</f>
        <v/>
      </c>
      <c r="AU298" t="inlineStr">
        <is>
          <t>3901076445:eng</t>
        </is>
      </c>
      <c r="AV298" t="inlineStr">
        <is>
          <t>1517376</t>
        </is>
      </c>
      <c r="AW298" t="inlineStr">
        <is>
          <t>991003795839702656</t>
        </is>
      </c>
      <c r="AX298" t="inlineStr">
        <is>
          <t>991003795839702656</t>
        </is>
      </c>
      <c r="AY298" t="inlineStr">
        <is>
          <t>2260748890002656</t>
        </is>
      </c>
      <c r="AZ298" t="inlineStr">
        <is>
          <t>BOOK</t>
        </is>
      </c>
      <c r="BC298" t="inlineStr">
        <is>
          <t>32285000094416</t>
        </is>
      </c>
      <c r="BD298" t="inlineStr">
        <is>
          <t>893240618</t>
        </is>
      </c>
    </row>
    <row r="299">
      <c r="A299" t="inlineStr">
        <is>
          <t>No</t>
        </is>
      </c>
      <c r="B299" t="inlineStr">
        <is>
          <t>DC235 .Z35 2004</t>
        </is>
      </c>
      <c r="C299" t="inlineStr">
        <is>
          <t>0                      DC 0235000Z  35          2004</t>
        </is>
      </c>
      <c r="D299" t="inlineStr">
        <is>
          <t>Moscow 1812 : Napoleon's fatal march / Adam Zamoyski.</t>
        </is>
      </c>
      <c r="F299" t="inlineStr">
        <is>
          <t>No</t>
        </is>
      </c>
      <c r="G299" t="inlineStr">
        <is>
          <t>1</t>
        </is>
      </c>
      <c r="H299" t="inlineStr">
        <is>
          <t>No</t>
        </is>
      </c>
      <c r="I299" t="inlineStr">
        <is>
          <t>No</t>
        </is>
      </c>
      <c r="J299" t="inlineStr">
        <is>
          <t>0</t>
        </is>
      </c>
      <c r="K299" t="inlineStr">
        <is>
          <t>Zamoyski, Adam.</t>
        </is>
      </c>
      <c r="L299" t="inlineStr">
        <is>
          <t>New York : HarperCollins, 2004.</t>
        </is>
      </c>
      <c r="M299" t="inlineStr">
        <is>
          <t>2004</t>
        </is>
      </c>
      <c r="N299" t="inlineStr">
        <is>
          <t>1st ed.</t>
        </is>
      </c>
      <c r="O299" t="inlineStr">
        <is>
          <t>eng</t>
        </is>
      </c>
      <c r="P299" t="inlineStr">
        <is>
          <t>nyu</t>
        </is>
      </c>
      <c r="R299" t="inlineStr">
        <is>
          <t xml:space="preserve">DC </t>
        </is>
      </c>
      <c r="S299" t="n">
        <v>3</v>
      </c>
      <c r="T299" t="n">
        <v>3</v>
      </c>
      <c r="U299" t="inlineStr">
        <is>
          <t>2010-10-13</t>
        </is>
      </c>
      <c r="V299" t="inlineStr">
        <is>
          <t>2010-10-13</t>
        </is>
      </c>
      <c r="W299" t="inlineStr">
        <is>
          <t>2004-10-27</t>
        </is>
      </c>
      <c r="X299" t="inlineStr">
        <is>
          <t>2004-10-27</t>
        </is>
      </c>
      <c r="Y299" t="n">
        <v>799</v>
      </c>
      <c r="Z299" t="n">
        <v>749</v>
      </c>
      <c r="AA299" t="n">
        <v>812</v>
      </c>
      <c r="AB299" t="n">
        <v>8</v>
      </c>
      <c r="AC299" t="n">
        <v>9</v>
      </c>
      <c r="AD299" t="n">
        <v>26</v>
      </c>
      <c r="AE299" t="n">
        <v>29</v>
      </c>
      <c r="AF299" t="n">
        <v>11</v>
      </c>
      <c r="AG299" t="n">
        <v>13</v>
      </c>
      <c r="AH299" t="n">
        <v>6</v>
      </c>
      <c r="AI299" t="n">
        <v>6</v>
      </c>
      <c r="AJ299" t="n">
        <v>11</v>
      </c>
      <c r="AK299" t="n">
        <v>12</v>
      </c>
      <c r="AL299" t="n">
        <v>5</v>
      </c>
      <c r="AM299" t="n">
        <v>6</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HYPERLINK("https://creighton-primo.hosted.exlibrisgroup.com/primo-explore/search?tab=default_tab&amp;search_scope=EVERYTHING&amp;vid=01CRU&amp;lang=en_US&amp;offset=0&amp;query=any,contains,991004395459702656","Catalog Record")</f>
        <v/>
      </c>
      <c r="AT299">
        <f>HYPERLINK("http://www.worldcat.org/oclc/55067008","WorldCat Record")</f>
        <v/>
      </c>
      <c r="AU299" t="inlineStr">
        <is>
          <t>4673104763:eng</t>
        </is>
      </c>
      <c r="AV299" t="inlineStr">
        <is>
          <t>55067008</t>
        </is>
      </c>
      <c r="AW299" t="inlineStr">
        <is>
          <t>991004395459702656</t>
        </is>
      </c>
      <c r="AX299" t="inlineStr">
        <is>
          <t>991004395459702656</t>
        </is>
      </c>
      <c r="AY299" t="inlineStr">
        <is>
          <t>2262500320002656</t>
        </is>
      </c>
      <c r="AZ299" t="inlineStr">
        <is>
          <t>BOOK</t>
        </is>
      </c>
      <c r="BB299" t="inlineStr">
        <is>
          <t>9780061075582</t>
        </is>
      </c>
      <c r="BC299" t="inlineStr">
        <is>
          <t>32285005007140</t>
        </is>
      </c>
      <c r="BD299" t="inlineStr">
        <is>
          <t>893876055</t>
        </is>
      </c>
    </row>
    <row r="300">
      <c r="A300" t="inlineStr">
        <is>
          <t>No</t>
        </is>
      </c>
      <c r="B300" t="inlineStr">
        <is>
          <t>DC235.1.D38 A3 1999</t>
        </is>
      </c>
      <c r="C300" t="inlineStr">
        <is>
          <t>0                      DC 0235100D  38                 A  3           1999</t>
        </is>
      </c>
      <c r="D300" t="inlineStr">
        <is>
          <t>In the service of the tsar against Napoleon : the memoirs of Denis Davidov, 1806-1814 / translated and edited by Gregory Troubetzkoy.</t>
        </is>
      </c>
      <c r="F300" t="inlineStr">
        <is>
          <t>No</t>
        </is>
      </c>
      <c r="G300" t="inlineStr">
        <is>
          <t>1</t>
        </is>
      </c>
      <c r="H300" t="inlineStr">
        <is>
          <t>No</t>
        </is>
      </c>
      <c r="I300" t="inlineStr">
        <is>
          <t>No</t>
        </is>
      </c>
      <c r="J300" t="inlineStr">
        <is>
          <t>0</t>
        </is>
      </c>
      <c r="K300" t="inlineStr">
        <is>
          <t>Davydov, Denis, 1784-1839.</t>
        </is>
      </c>
      <c r="L300" t="inlineStr">
        <is>
          <t>London : Greenhill Books ; [Mechanicsburg, Pa.] : Stackpole Books, 1999.</t>
        </is>
      </c>
      <c r="M300" t="inlineStr">
        <is>
          <t>1999</t>
        </is>
      </c>
      <c r="O300" t="inlineStr">
        <is>
          <t>eng</t>
        </is>
      </c>
      <c r="P300" t="inlineStr">
        <is>
          <t>enk</t>
        </is>
      </c>
      <c r="R300" t="inlineStr">
        <is>
          <t xml:space="preserve">DC </t>
        </is>
      </c>
      <c r="S300" t="n">
        <v>1</v>
      </c>
      <c r="T300" t="n">
        <v>1</v>
      </c>
      <c r="U300" t="inlineStr">
        <is>
          <t>2010-10-12</t>
        </is>
      </c>
      <c r="V300" t="inlineStr">
        <is>
          <t>2010-10-12</t>
        </is>
      </c>
      <c r="W300" t="inlineStr">
        <is>
          <t>2008-05-19</t>
        </is>
      </c>
      <c r="X300" t="inlineStr">
        <is>
          <t>2008-05-19</t>
        </is>
      </c>
      <c r="Y300" t="n">
        <v>173</v>
      </c>
      <c r="Z300" t="n">
        <v>144</v>
      </c>
      <c r="AA300" t="n">
        <v>146</v>
      </c>
      <c r="AB300" t="n">
        <v>1</v>
      </c>
      <c r="AC300" t="n">
        <v>1</v>
      </c>
      <c r="AD300" t="n">
        <v>9</v>
      </c>
      <c r="AE300" t="n">
        <v>9</v>
      </c>
      <c r="AF300" t="n">
        <v>1</v>
      </c>
      <c r="AG300" t="n">
        <v>1</v>
      </c>
      <c r="AH300" t="n">
        <v>5</v>
      </c>
      <c r="AI300" t="n">
        <v>5</v>
      </c>
      <c r="AJ300" t="n">
        <v>6</v>
      </c>
      <c r="AK300" t="n">
        <v>6</v>
      </c>
      <c r="AL300" t="n">
        <v>0</v>
      </c>
      <c r="AM300" t="n">
        <v>0</v>
      </c>
      <c r="AN300" t="n">
        <v>0</v>
      </c>
      <c r="AO300" t="n">
        <v>0</v>
      </c>
      <c r="AP300" t="inlineStr">
        <is>
          <t>No</t>
        </is>
      </c>
      <c r="AQ300" t="inlineStr">
        <is>
          <t>Yes</t>
        </is>
      </c>
      <c r="AR300">
        <f>HYPERLINK("http://catalog.hathitrust.org/Record/004055276","HathiTrust Record")</f>
        <v/>
      </c>
      <c r="AS300">
        <f>HYPERLINK("https://creighton-primo.hosted.exlibrisgroup.com/primo-explore/search?tab=default_tab&amp;search_scope=EVERYTHING&amp;vid=01CRU&amp;lang=en_US&amp;offset=0&amp;query=any,contains,991005222959702656","Catalog Record")</f>
        <v/>
      </c>
      <c r="AT300">
        <f>HYPERLINK("http://www.worldcat.org/oclc/41497150","WorldCat Record")</f>
        <v/>
      </c>
      <c r="AU300" t="inlineStr">
        <is>
          <t>44973598:eng</t>
        </is>
      </c>
      <c r="AV300" t="inlineStr">
        <is>
          <t>41497150</t>
        </is>
      </c>
      <c r="AW300" t="inlineStr">
        <is>
          <t>991005222959702656</t>
        </is>
      </c>
      <c r="AX300" t="inlineStr">
        <is>
          <t>991005222959702656</t>
        </is>
      </c>
      <c r="AY300" t="inlineStr">
        <is>
          <t>2261883970002656</t>
        </is>
      </c>
      <c r="AZ300" t="inlineStr">
        <is>
          <t>BOOK</t>
        </is>
      </c>
      <c r="BB300" t="inlineStr">
        <is>
          <t>9781853673733</t>
        </is>
      </c>
      <c r="BC300" t="inlineStr">
        <is>
          <t>32285005409445</t>
        </is>
      </c>
      <c r="BD300" t="inlineStr">
        <is>
          <t>893418576</t>
        </is>
      </c>
    </row>
    <row r="301">
      <c r="A301" t="inlineStr">
        <is>
          <t>No</t>
        </is>
      </c>
      <c r="B301" t="inlineStr">
        <is>
          <t>DC236 .B68 1990</t>
        </is>
      </c>
      <c r="C301" t="inlineStr">
        <is>
          <t>0                      DC 0236000B  68          1990</t>
        </is>
      </c>
      <c r="D301" t="inlineStr">
        <is>
          <t>Napoleon's Grande Armée of 1813 / by Scott Bowden.</t>
        </is>
      </c>
      <c r="F301" t="inlineStr">
        <is>
          <t>No</t>
        </is>
      </c>
      <c r="G301" t="inlineStr">
        <is>
          <t>1</t>
        </is>
      </c>
      <c r="H301" t="inlineStr">
        <is>
          <t>No</t>
        </is>
      </c>
      <c r="I301" t="inlineStr">
        <is>
          <t>No</t>
        </is>
      </c>
      <c r="J301" t="inlineStr">
        <is>
          <t>0</t>
        </is>
      </c>
      <c r="K301" t="inlineStr">
        <is>
          <t>Bowden, Scotty.</t>
        </is>
      </c>
      <c r="L301" t="inlineStr">
        <is>
          <t>Chicago, Ill. : Emperor's Press, c1990.</t>
        </is>
      </c>
      <c r="M301" t="inlineStr">
        <is>
          <t>1990</t>
        </is>
      </c>
      <c r="O301" t="inlineStr">
        <is>
          <t>eng</t>
        </is>
      </c>
      <c r="P301" t="inlineStr">
        <is>
          <t>ilu</t>
        </is>
      </c>
      <c r="Q301" t="inlineStr">
        <is>
          <t>Armies of the Napoleonic wars research series</t>
        </is>
      </c>
      <c r="R301" t="inlineStr">
        <is>
          <t xml:space="preserve">DC </t>
        </is>
      </c>
      <c r="S301" t="n">
        <v>1</v>
      </c>
      <c r="T301" t="n">
        <v>1</v>
      </c>
      <c r="U301" t="inlineStr">
        <is>
          <t>2008-05-22</t>
        </is>
      </c>
      <c r="V301" t="inlineStr">
        <is>
          <t>2008-05-22</t>
        </is>
      </c>
      <c r="W301" t="inlineStr">
        <is>
          <t>2008-05-22</t>
        </is>
      </c>
      <c r="X301" t="inlineStr">
        <is>
          <t>2008-05-22</t>
        </is>
      </c>
      <c r="Y301" t="n">
        <v>86</v>
      </c>
      <c r="Z301" t="n">
        <v>81</v>
      </c>
      <c r="AA301" t="n">
        <v>81</v>
      </c>
      <c r="AB301" t="n">
        <v>2</v>
      </c>
      <c r="AC301" t="n">
        <v>2</v>
      </c>
      <c r="AD301" t="n">
        <v>3</v>
      </c>
      <c r="AE301" t="n">
        <v>3</v>
      </c>
      <c r="AF301" t="n">
        <v>2</v>
      </c>
      <c r="AG301" t="n">
        <v>2</v>
      </c>
      <c r="AH301" t="n">
        <v>1</v>
      </c>
      <c r="AI301" t="n">
        <v>1</v>
      </c>
      <c r="AJ301" t="n">
        <v>0</v>
      </c>
      <c r="AK301" t="n">
        <v>0</v>
      </c>
      <c r="AL301" t="n">
        <v>1</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HYPERLINK("https://creighton-primo.hosted.exlibrisgroup.com/primo-explore/search?tab=default_tab&amp;search_scope=EVERYTHING&amp;vid=01CRU&amp;lang=en_US&amp;offset=0&amp;query=any,contains,991005225409702656","Catalog Record")</f>
        <v/>
      </c>
      <c r="AT301">
        <f>HYPERLINK("http://www.worldcat.org/oclc/22534055","WorldCat Record")</f>
        <v/>
      </c>
      <c r="AU301" t="inlineStr">
        <is>
          <t>24439353:eng</t>
        </is>
      </c>
      <c r="AV301" t="inlineStr">
        <is>
          <t>22534055</t>
        </is>
      </c>
      <c r="AW301" t="inlineStr">
        <is>
          <t>991005225409702656</t>
        </is>
      </c>
      <c r="AX301" t="inlineStr">
        <is>
          <t>991005225409702656</t>
        </is>
      </c>
      <c r="AY301" t="inlineStr">
        <is>
          <t>2263649620002656</t>
        </is>
      </c>
      <c r="AZ301" t="inlineStr">
        <is>
          <t>BOOK</t>
        </is>
      </c>
      <c r="BB301" t="inlineStr">
        <is>
          <t>9780962665516</t>
        </is>
      </c>
      <c r="BC301" t="inlineStr">
        <is>
          <t>32285005440598</t>
        </is>
      </c>
      <c r="BD301" t="inlineStr">
        <is>
          <t>893905319</t>
        </is>
      </c>
    </row>
    <row r="302">
      <c r="A302" t="inlineStr">
        <is>
          <t>No</t>
        </is>
      </c>
      <c r="B302" t="inlineStr">
        <is>
          <t>DC239 .C76 2007</t>
        </is>
      </c>
      <c r="C302" t="inlineStr">
        <is>
          <t>0                      DC 0239000C  76          2007</t>
        </is>
      </c>
      <c r="D302" t="inlineStr">
        <is>
          <t>Napoleon and the Hundred Days / Stephen Coote.</t>
        </is>
      </c>
      <c r="F302" t="inlineStr">
        <is>
          <t>No</t>
        </is>
      </c>
      <c r="G302" t="inlineStr">
        <is>
          <t>1</t>
        </is>
      </c>
      <c r="H302" t="inlineStr">
        <is>
          <t>No</t>
        </is>
      </c>
      <c r="I302" t="inlineStr">
        <is>
          <t>No</t>
        </is>
      </c>
      <c r="J302" t="inlineStr">
        <is>
          <t>0</t>
        </is>
      </c>
      <c r="K302" t="inlineStr">
        <is>
          <t>Coote, Stephen.</t>
        </is>
      </c>
      <c r="L302" t="inlineStr">
        <is>
          <t>Cambridge, MA : DaCapo Press, 2007.</t>
        </is>
      </c>
      <c r="M302" t="inlineStr">
        <is>
          <t>2007</t>
        </is>
      </c>
      <c r="N302" t="inlineStr">
        <is>
          <t>1st DaCapo Press pbk. ed.</t>
        </is>
      </c>
      <c r="O302" t="inlineStr">
        <is>
          <t>eng</t>
        </is>
      </c>
      <c r="P302" t="inlineStr">
        <is>
          <t>mau</t>
        </is>
      </c>
      <c r="R302" t="inlineStr">
        <is>
          <t xml:space="preserve">DC </t>
        </is>
      </c>
      <c r="S302" t="n">
        <v>1</v>
      </c>
      <c r="T302" t="n">
        <v>1</v>
      </c>
      <c r="U302" t="inlineStr">
        <is>
          <t>2008-12-17</t>
        </is>
      </c>
      <c r="V302" t="inlineStr">
        <is>
          <t>2008-12-17</t>
        </is>
      </c>
      <c r="W302" t="inlineStr">
        <is>
          <t>2008-12-17</t>
        </is>
      </c>
      <c r="X302" t="inlineStr">
        <is>
          <t>2008-12-17</t>
        </is>
      </c>
      <c r="Y302" t="n">
        <v>46</v>
      </c>
      <c r="Z302" t="n">
        <v>42</v>
      </c>
      <c r="AA302" t="n">
        <v>562</v>
      </c>
      <c r="AB302" t="n">
        <v>1</v>
      </c>
      <c r="AC302" t="n">
        <v>7</v>
      </c>
      <c r="AD302" t="n">
        <v>1</v>
      </c>
      <c r="AE302" t="n">
        <v>12</v>
      </c>
      <c r="AF302" t="n">
        <v>0</v>
      </c>
      <c r="AG302" t="n">
        <v>3</v>
      </c>
      <c r="AH302" t="n">
        <v>1</v>
      </c>
      <c r="AI302" t="n">
        <v>3</v>
      </c>
      <c r="AJ302" t="n">
        <v>1</v>
      </c>
      <c r="AK302" t="n">
        <v>6</v>
      </c>
      <c r="AL302" t="n">
        <v>0</v>
      </c>
      <c r="AM302" t="n">
        <v>4</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HYPERLINK("https://creighton-primo.hosted.exlibrisgroup.com/primo-explore/search?tab=default_tab&amp;search_scope=EVERYTHING&amp;vid=01CRU&amp;lang=en_US&amp;offset=0&amp;query=any,contains,991005285219702656","Catalog Record")</f>
        <v/>
      </c>
      <c r="AT302">
        <f>HYPERLINK("http://www.worldcat.org/oclc/123361934","WorldCat Record")</f>
        <v/>
      </c>
      <c r="AU302" t="inlineStr">
        <is>
          <t>998739:eng</t>
        </is>
      </c>
      <c r="AV302" t="inlineStr">
        <is>
          <t>123361934</t>
        </is>
      </c>
      <c r="AW302" t="inlineStr">
        <is>
          <t>991005285219702656</t>
        </is>
      </c>
      <c r="AX302" t="inlineStr">
        <is>
          <t>991005285219702656</t>
        </is>
      </c>
      <c r="AY302" t="inlineStr">
        <is>
          <t>2270686460002656</t>
        </is>
      </c>
      <c r="AZ302" t="inlineStr">
        <is>
          <t>BOOK</t>
        </is>
      </c>
      <c r="BB302" t="inlineStr">
        <is>
          <t>9780306815072</t>
        </is>
      </c>
      <c r="BC302" t="inlineStr">
        <is>
          <t>32285005474357</t>
        </is>
      </c>
      <c r="BD302" t="inlineStr">
        <is>
          <t>893905354</t>
        </is>
      </c>
    </row>
    <row r="303">
      <c r="A303" t="inlineStr">
        <is>
          <t>No</t>
        </is>
      </c>
      <c r="B303" t="inlineStr">
        <is>
          <t>DC239 .S55 1845</t>
        </is>
      </c>
      <c r="C303" t="inlineStr">
        <is>
          <t>0                      DC 0239000S  55          1845</t>
        </is>
      </c>
      <c r="D303" t="inlineStr">
        <is>
          <t>History of the war in France and Belgium, in 1815. Containing minute details of the battles of Quatre-Bras, Ligny, Wavre, and Waterloo. By Captain W. Siborne.</t>
        </is>
      </c>
      <c r="F303" t="inlineStr">
        <is>
          <t>No</t>
        </is>
      </c>
      <c r="G303" t="inlineStr">
        <is>
          <t>1</t>
        </is>
      </c>
      <c r="H303" t="inlineStr">
        <is>
          <t>No</t>
        </is>
      </c>
      <c r="I303" t="inlineStr">
        <is>
          <t>No</t>
        </is>
      </c>
      <c r="J303" t="inlineStr">
        <is>
          <t>0</t>
        </is>
      </c>
      <c r="K303" t="inlineStr">
        <is>
          <t>Siborne, William, 1797-1849.</t>
        </is>
      </c>
      <c r="L303" t="inlineStr">
        <is>
          <t>Philadelphia, Lea &amp; Blanchard, 1845.</t>
        </is>
      </c>
      <c r="M303" t="inlineStr">
        <is>
          <t>1845</t>
        </is>
      </c>
      <c r="N303" t="inlineStr">
        <is>
          <t>1st American, from the 2nd London ed. with plans of the battles and maps.</t>
        </is>
      </c>
      <c r="O303" t="inlineStr">
        <is>
          <t>eng</t>
        </is>
      </c>
      <c r="P303" t="inlineStr">
        <is>
          <t>pau</t>
        </is>
      </c>
      <c r="R303" t="inlineStr">
        <is>
          <t xml:space="preserve">DC </t>
        </is>
      </c>
      <c r="S303" t="n">
        <v>1</v>
      </c>
      <c r="T303" t="n">
        <v>1</v>
      </c>
      <c r="U303" t="inlineStr">
        <is>
          <t>2000-09-22</t>
        </is>
      </c>
      <c r="V303" t="inlineStr">
        <is>
          <t>2000-09-22</t>
        </is>
      </c>
      <c r="W303" t="inlineStr">
        <is>
          <t>1996-11-11</t>
        </is>
      </c>
      <c r="X303" t="inlineStr">
        <is>
          <t>1996-11-11</t>
        </is>
      </c>
      <c r="Y303" t="n">
        <v>57</v>
      </c>
      <c r="Z303" t="n">
        <v>52</v>
      </c>
      <c r="AA303" t="n">
        <v>60</v>
      </c>
      <c r="AB303" t="n">
        <v>1</v>
      </c>
      <c r="AC303" t="n">
        <v>1</v>
      </c>
      <c r="AD303" t="n">
        <v>2</v>
      </c>
      <c r="AE303" t="n">
        <v>2</v>
      </c>
      <c r="AF303" t="n">
        <v>0</v>
      </c>
      <c r="AG303" t="n">
        <v>0</v>
      </c>
      <c r="AH303" t="n">
        <v>0</v>
      </c>
      <c r="AI303" t="n">
        <v>0</v>
      </c>
      <c r="AJ303" t="n">
        <v>2</v>
      </c>
      <c r="AK303" t="n">
        <v>2</v>
      </c>
      <c r="AL303" t="n">
        <v>0</v>
      </c>
      <c r="AM303" t="n">
        <v>0</v>
      </c>
      <c r="AN303" t="n">
        <v>0</v>
      </c>
      <c r="AO303" t="n">
        <v>0</v>
      </c>
      <c r="AP303" t="inlineStr">
        <is>
          <t>Yes</t>
        </is>
      </c>
      <c r="AQ303" t="inlineStr">
        <is>
          <t>No</t>
        </is>
      </c>
      <c r="AR303">
        <f>HYPERLINK("http://catalog.hathitrust.org/Record/005943160","HathiTrust Record")</f>
        <v/>
      </c>
      <c r="AS303">
        <f>HYPERLINK("https://creighton-primo.hosted.exlibrisgroup.com/primo-explore/search?tab=default_tab&amp;search_scope=EVERYTHING&amp;vid=01CRU&amp;lang=en_US&amp;offset=0&amp;query=any,contains,991001743469702656","Catalog Record")</f>
        <v/>
      </c>
      <c r="AT303">
        <f>HYPERLINK("http://www.worldcat.org/oclc/2469348","WorldCat Record")</f>
        <v/>
      </c>
      <c r="AU303" t="inlineStr">
        <is>
          <t>3856816276:eng</t>
        </is>
      </c>
      <c r="AV303" t="inlineStr">
        <is>
          <t>2469348</t>
        </is>
      </c>
      <c r="AW303" t="inlineStr">
        <is>
          <t>991001743469702656</t>
        </is>
      </c>
      <c r="AX303" t="inlineStr">
        <is>
          <t>991001743469702656</t>
        </is>
      </c>
      <c r="AY303" t="inlineStr">
        <is>
          <t>2262641450002656</t>
        </is>
      </c>
      <c r="AZ303" t="inlineStr">
        <is>
          <t>BOOK</t>
        </is>
      </c>
      <c r="BC303" t="inlineStr">
        <is>
          <t>32285002344439</t>
        </is>
      </c>
      <c r="BD303" t="inlineStr">
        <is>
          <t>893621579</t>
        </is>
      </c>
    </row>
    <row r="304">
      <c r="A304" t="inlineStr">
        <is>
          <t>No</t>
        </is>
      </c>
      <c r="B304" t="inlineStr">
        <is>
          <t>DC24 .L6</t>
        </is>
      </c>
      <c r="C304" t="inlineStr">
        <is>
          <t>0                      DC 0024000L  6</t>
        </is>
      </c>
      <c r="D304" t="inlineStr">
        <is>
          <t>Travels in France, 1675-1679, as related in his Journals, correspondence and other papers. Edited with an introd. and notes by John Lough.</t>
        </is>
      </c>
      <c r="F304" t="inlineStr">
        <is>
          <t>No</t>
        </is>
      </c>
      <c r="G304" t="inlineStr">
        <is>
          <t>1</t>
        </is>
      </c>
      <c r="H304" t="inlineStr">
        <is>
          <t>No</t>
        </is>
      </c>
      <c r="I304" t="inlineStr">
        <is>
          <t>No</t>
        </is>
      </c>
      <c r="J304" t="inlineStr">
        <is>
          <t>0</t>
        </is>
      </c>
      <c r="K304" t="inlineStr">
        <is>
          <t>Locke, John, 1632-1704.</t>
        </is>
      </c>
      <c r="L304" t="inlineStr">
        <is>
          <t>Cambridge [Eng.] University Press, 1953.</t>
        </is>
      </c>
      <c r="M304" t="inlineStr">
        <is>
          <t>1953</t>
        </is>
      </c>
      <c r="O304" t="inlineStr">
        <is>
          <t>eng</t>
        </is>
      </c>
      <c r="P304" t="inlineStr">
        <is>
          <t>enk</t>
        </is>
      </c>
      <c r="R304" t="inlineStr">
        <is>
          <t xml:space="preserve">DC </t>
        </is>
      </c>
      <c r="S304" t="n">
        <v>2</v>
      </c>
      <c r="T304" t="n">
        <v>2</v>
      </c>
      <c r="U304" t="inlineStr">
        <is>
          <t>2010-09-02</t>
        </is>
      </c>
      <c r="V304" t="inlineStr">
        <is>
          <t>2010-09-02</t>
        </is>
      </c>
      <c r="W304" t="inlineStr">
        <is>
          <t>1996-10-24</t>
        </is>
      </c>
      <c r="X304" t="inlineStr">
        <is>
          <t>1996-10-24</t>
        </is>
      </c>
      <c r="Y304" t="n">
        <v>84</v>
      </c>
      <c r="Z304" t="n">
        <v>65</v>
      </c>
      <c r="AA304" t="n">
        <v>81</v>
      </c>
      <c r="AB304" t="n">
        <v>1</v>
      </c>
      <c r="AC304" t="n">
        <v>1</v>
      </c>
      <c r="AD304" t="n">
        <v>5</v>
      </c>
      <c r="AE304" t="n">
        <v>6</v>
      </c>
      <c r="AF304" t="n">
        <v>3</v>
      </c>
      <c r="AG304" t="n">
        <v>3</v>
      </c>
      <c r="AH304" t="n">
        <v>1</v>
      </c>
      <c r="AI304" t="n">
        <v>1</v>
      </c>
      <c r="AJ304" t="n">
        <v>4</v>
      </c>
      <c r="AK304" t="n">
        <v>5</v>
      </c>
      <c r="AL304" t="n">
        <v>0</v>
      </c>
      <c r="AM304" t="n">
        <v>0</v>
      </c>
      <c r="AN304" t="n">
        <v>0</v>
      </c>
      <c r="AO304" t="n">
        <v>0</v>
      </c>
      <c r="AP304" t="inlineStr">
        <is>
          <t>No</t>
        </is>
      </c>
      <c r="AQ304" t="inlineStr">
        <is>
          <t>Yes</t>
        </is>
      </c>
      <c r="AR304">
        <f>HYPERLINK("http://catalog.hathitrust.org/Record/001915475","HathiTrust Record")</f>
        <v/>
      </c>
      <c r="AS304">
        <f>HYPERLINK("https://creighton-primo.hosted.exlibrisgroup.com/primo-explore/search?tab=default_tab&amp;search_scope=EVERYTHING&amp;vid=01CRU&amp;lang=en_US&amp;offset=0&amp;query=any,contains,991001208199702656","Catalog Record")</f>
        <v/>
      </c>
      <c r="AT304">
        <f>HYPERLINK("http://www.worldcat.org/oclc/17357953","WorldCat Record")</f>
        <v/>
      </c>
      <c r="AU304" t="inlineStr">
        <is>
          <t>3901072204:eng</t>
        </is>
      </c>
      <c r="AV304" t="inlineStr">
        <is>
          <t>17357953</t>
        </is>
      </c>
      <c r="AW304" t="inlineStr">
        <is>
          <t>991001208199702656</t>
        </is>
      </c>
      <c r="AX304" t="inlineStr">
        <is>
          <t>991001208199702656</t>
        </is>
      </c>
      <c r="AY304" t="inlineStr">
        <is>
          <t>2261287100002656</t>
        </is>
      </c>
      <c r="AZ304" t="inlineStr">
        <is>
          <t>BOOK</t>
        </is>
      </c>
      <c r="BC304" t="inlineStr">
        <is>
          <t>32285002377934</t>
        </is>
      </c>
      <c r="BD304" t="inlineStr">
        <is>
          <t>893608658</t>
        </is>
      </c>
    </row>
    <row r="305">
      <c r="A305" t="inlineStr">
        <is>
          <t>No</t>
        </is>
      </c>
      <c r="B305" t="inlineStr">
        <is>
          <t>DC242 .B28 2005</t>
        </is>
      </c>
      <c r="C305" t="inlineStr">
        <is>
          <t>0                      DC 0242000B  28          2005</t>
        </is>
      </c>
      <c r="D305" t="inlineStr">
        <is>
          <t>The battle : a new history of Waterloo / Alessandro Barbero ; translated from the Italian by John Cullen.</t>
        </is>
      </c>
      <c r="F305" t="inlineStr">
        <is>
          <t>No</t>
        </is>
      </c>
      <c r="G305" t="inlineStr">
        <is>
          <t>1</t>
        </is>
      </c>
      <c r="H305" t="inlineStr">
        <is>
          <t>No</t>
        </is>
      </c>
      <c r="I305" t="inlineStr">
        <is>
          <t>No</t>
        </is>
      </c>
      <c r="J305" t="inlineStr">
        <is>
          <t>0</t>
        </is>
      </c>
      <c r="K305" t="inlineStr">
        <is>
          <t>Barbero, Alessandro.</t>
        </is>
      </c>
      <c r="L305" t="inlineStr">
        <is>
          <t>New York : Walker &amp; Company, c2005.</t>
        </is>
      </c>
      <c r="M305" t="inlineStr">
        <is>
          <t>2005</t>
        </is>
      </c>
      <c r="O305" t="inlineStr">
        <is>
          <t>eng</t>
        </is>
      </c>
      <c r="P305" t="inlineStr">
        <is>
          <t>nyu</t>
        </is>
      </c>
      <c r="R305" t="inlineStr">
        <is>
          <t xml:space="preserve">DC </t>
        </is>
      </c>
      <c r="S305" t="n">
        <v>2</v>
      </c>
      <c r="T305" t="n">
        <v>2</v>
      </c>
      <c r="U305" t="inlineStr">
        <is>
          <t>2005-10-14</t>
        </is>
      </c>
      <c r="V305" t="inlineStr">
        <is>
          <t>2005-10-14</t>
        </is>
      </c>
      <c r="W305" t="inlineStr">
        <is>
          <t>2005-08-02</t>
        </is>
      </c>
      <c r="X305" t="inlineStr">
        <is>
          <t>2005-08-02</t>
        </is>
      </c>
      <c r="Y305" t="n">
        <v>686</v>
      </c>
      <c r="Z305" t="n">
        <v>652</v>
      </c>
      <c r="AA305" t="n">
        <v>719</v>
      </c>
      <c r="AB305" t="n">
        <v>5</v>
      </c>
      <c r="AC305" t="n">
        <v>7</v>
      </c>
      <c r="AD305" t="n">
        <v>16</v>
      </c>
      <c r="AE305" t="n">
        <v>17</v>
      </c>
      <c r="AF305" t="n">
        <v>8</v>
      </c>
      <c r="AG305" t="n">
        <v>8</v>
      </c>
      <c r="AH305" t="n">
        <v>3</v>
      </c>
      <c r="AI305" t="n">
        <v>3</v>
      </c>
      <c r="AJ305" t="n">
        <v>7</v>
      </c>
      <c r="AK305" t="n">
        <v>7</v>
      </c>
      <c r="AL305" t="n">
        <v>3</v>
      </c>
      <c r="AM305" t="n">
        <v>4</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HYPERLINK("https://creighton-primo.hosted.exlibrisgroup.com/primo-explore/search?tab=default_tab&amp;search_scope=EVERYTHING&amp;vid=01CRU&amp;lang=en_US&amp;offset=0&amp;query=any,contains,991004613729702656","Catalog Record")</f>
        <v/>
      </c>
      <c r="AT305">
        <f>HYPERLINK("http://www.worldcat.org/oclc/61039986","WorldCat Record")</f>
        <v/>
      </c>
      <c r="AU305" t="inlineStr">
        <is>
          <t>10792747329:eng</t>
        </is>
      </c>
      <c r="AV305" t="inlineStr">
        <is>
          <t>61039986</t>
        </is>
      </c>
      <c r="AW305" t="inlineStr">
        <is>
          <t>991004613729702656</t>
        </is>
      </c>
      <c r="AX305" t="inlineStr">
        <is>
          <t>991004613729702656</t>
        </is>
      </c>
      <c r="AY305" t="inlineStr">
        <is>
          <t>2260537640002656</t>
        </is>
      </c>
      <c r="AZ305" t="inlineStr">
        <is>
          <t>BOOK</t>
        </is>
      </c>
      <c r="BB305" t="inlineStr">
        <is>
          <t>9780802714534</t>
        </is>
      </c>
      <c r="BC305" t="inlineStr">
        <is>
          <t>32285005098198</t>
        </is>
      </c>
      <c r="BD305" t="inlineStr">
        <is>
          <t>893519846</t>
        </is>
      </c>
    </row>
    <row r="306">
      <c r="A306" t="inlineStr">
        <is>
          <t>No</t>
        </is>
      </c>
      <c r="B306" t="inlineStr">
        <is>
          <t>DC242 .N3</t>
        </is>
      </c>
      <c r="C306" t="inlineStr">
        <is>
          <t>0                      DC 0242000N  3</t>
        </is>
      </c>
      <c r="D306" t="inlineStr">
        <is>
          <t>Waterloo.</t>
        </is>
      </c>
      <c r="F306" t="inlineStr">
        <is>
          <t>No</t>
        </is>
      </c>
      <c r="G306" t="inlineStr">
        <is>
          <t>1</t>
        </is>
      </c>
      <c r="H306" t="inlineStr">
        <is>
          <t>No</t>
        </is>
      </c>
      <c r="I306" t="inlineStr">
        <is>
          <t>No</t>
        </is>
      </c>
      <c r="J306" t="inlineStr">
        <is>
          <t>0</t>
        </is>
      </c>
      <c r="K306" t="inlineStr">
        <is>
          <t>Naylor, John.</t>
        </is>
      </c>
      <c r="L306" t="inlineStr">
        <is>
          <t>New York, Macmillan, 1960.</t>
        </is>
      </c>
      <c r="M306" t="inlineStr">
        <is>
          <t>1960</t>
        </is>
      </c>
      <c r="O306" t="inlineStr">
        <is>
          <t>eng</t>
        </is>
      </c>
      <c r="P306" t="inlineStr">
        <is>
          <t>nyu</t>
        </is>
      </c>
      <c r="Q306" t="inlineStr">
        <is>
          <t>British battles series</t>
        </is>
      </c>
      <c r="R306" t="inlineStr">
        <is>
          <t xml:space="preserve">DC </t>
        </is>
      </c>
      <c r="S306" t="n">
        <v>1</v>
      </c>
      <c r="T306" t="n">
        <v>1</v>
      </c>
      <c r="U306" t="inlineStr">
        <is>
          <t>2003-11-19</t>
        </is>
      </c>
      <c r="V306" t="inlineStr">
        <is>
          <t>2003-11-19</t>
        </is>
      </c>
      <c r="W306" t="inlineStr">
        <is>
          <t>1996-11-11</t>
        </is>
      </c>
      <c r="X306" t="inlineStr">
        <is>
          <t>1996-11-11</t>
        </is>
      </c>
      <c r="Y306" t="n">
        <v>319</v>
      </c>
      <c r="Z306" t="n">
        <v>306</v>
      </c>
      <c r="AA306" t="n">
        <v>418</v>
      </c>
      <c r="AB306" t="n">
        <v>4</v>
      </c>
      <c r="AC306" t="n">
        <v>5</v>
      </c>
      <c r="AD306" t="n">
        <v>20</v>
      </c>
      <c r="AE306" t="n">
        <v>29</v>
      </c>
      <c r="AF306" t="n">
        <v>8</v>
      </c>
      <c r="AG306" t="n">
        <v>12</v>
      </c>
      <c r="AH306" t="n">
        <v>6</v>
      </c>
      <c r="AI306" t="n">
        <v>7</v>
      </c>
      <c r="AJ306" t="n">
        <v>8</v>
      </c>
      <c r="AK306" t="n">
        <v>14</v>
      </c>
      <c r="AL306" t="n">
        <v>3</v>
      </c>
      <c r="AM306" t="n">
        <v>4</v>
      </c>
      <c r="AN306" t="n">
        <v>0</v>
      </c>
      <c r="AO306" t="n">
        <v>0</v>
      </c>
      <c r="AP306" t="inlineStr">
        <is>
          <t>No</t>
        </is>
      </c>
      <c r="AQ306" t="inlineStr">
        <is>
          <t>No</t>
        </is>
      </c>
      <c r="AR306">
        <f>HYPERLINK("http://catalog.hathitrust.org/Record/000649472","HathiTrust Record")</f>
        <v/>
      </c>
      <c r="AS306">
        <f>HYPERLINK("https://creighton-primo.hosted.exlibrisgroup.com/primo-explore/search?tab=default_tab&amp;search_scope=EVERYTHING&amp;vid=01CRU&amp;lang=en_US&amp;offset=0&amp;query=any,contains,991003667479702656","Catalog Record")</f>
        <v/>
      </c>
      <c r="AT306">
        <f>HYPERLINK("http://www.worldcat.org/oclc/1282504","WorldCat Record")</f>
        <v/>
      </c>
      <c r="AU306" t="inlineStr">
        <is>
          <t>2187828:eng</t>
        </is>
      </c>
      <c r="AV306" t="inlineStr">
        <is>
          <t>1282504</t>
        </is>
      </c>
      <c r="AW306" t="inlineStr">
        <is>
          <t>991003667479702656</t>
        </is>
      </c>
      <c r="AX306" t="inlineStr">
        <is>
          <t>991003667479702656</t>
        </is>
      </c>
      <c r="AY306" t="inlineStr">
        <is>
          <t>2265574560002656</t>
        </is>
      </c>
      <c r="AZ306" t="inlineStr">
        <is>
          <t>BOOK</t>
        </is>
      </c>
      <c r="BC306" t="inlineStr">
        <is>
          <t>32285002344470</t>
        </is>
      </c>
      <c r="BD306" t="inlineStr">
        <is>
          <t>893781259</t>
        </is>
      </c>
    </row>
    <row r="307">
      <c r="A307" t="inlineStr">
        <is>
          <t>No</t>
        </is>
      </c>
      <c r="B307" t="inlineStr">
        <is>
          <t>DC242 .R78</t>
        </is>
      </c>
      <c r="C307" t="inlineStr">
        <is>
          <t>0                      DC 0242000R  78</t>
        </is>
      </c>
      <c r="D307" t="inlineStr">
        <is>
          <t>The campaign of Waterloo; a military history, by John Codman Ropes.</t>
        </is>
      </c>
      <c r="F307" t="inlineStr">
        <is>
          <t>No</t>
        </is>
      </c>
      <c r="G307" t="inlineStr">
        <is>
          <t>1</t>
        </is>
      </c>
      <c r="H307" t="inlineStr">
        <is>
          <t>No</t>
        </is>
      </c>
      <c r="I307" t="inlineStr">
        <is>
          <t>No</t>
        </is>
      </c>
      <c r="J307" t="inlineStr">
        <is>
          <t>0</t>
        </is>
      </c>
      <c r="K307" t="inlineStr">
        <is>
          <t>Ropes, John Codman, 1836-1899.</t>
        </is>
      </c>
      <c r="L307" t="inlineStr">
        <is>
          <t>New York, C. Scribner's sons, 1892-93.</t>
        </is>
      </c>
      <c r="M307" t="inlineStr">
        <is>
          <t>1892</t>
        </is>
      </c>
      <c r="O307" t="inlineStr">
        <is>
          <t>eng</t>
        </is>
      </c>
      <c r="P307" t="inlineStr">
        <is>
          <t>nyu</t>
        </is>
      </c>
      <c r="R307" t="inlineStr">
        <is>
          <t xml:space="preserve">DC </t>
        </is>
      </c>
      <c r="S307" t="n">
        <v>1</v>
      </c>
      <c r="T307" t="n">
        <v>1</v>
      </c>
      <c r="U307" t="inlineStr">
        <is>
          <t>2000-09-22</t>
        </is>
      </c>
      <c r="V307" t="inlineStr">
        <is>
          <t>2000-09-22</t>
        </is>
      </c>
      <c r="W307" t="inlineStr">
        <is>
          <t>1996-11-11</t>
        </is>
      </c>
      <c r="X307" t="inlineStr">
        <is>
          <t>1996-11-11</t>
        </is>
      </c>
      <c r="Y307" t="n">
        <v>131</v>
      </c>
      <c r="Z307" t="n">
        <v>120</v>
      </c>
      <c r="AA307" t="n">
        <v>238</v>
      </c>
      <c r="AB307" t="n">
        <v>1</v>
      </c>
      <c r="AC307" t="n">
        <v>2</v>
      </c>
      <c r="AD307" t="n">
        <v>3</v>
      </c>
      <c r="AE307" t="n">
        <v>14</v>
      </c>
      <c r="AF307" t="n">
        <v>2</v>
      </c>
      <c r="AG307" t="n">
        <v>4</v>
      </c>
      <c r="AH307" t="n">
        <v>0</v>
      </c>
      <c r="AI307" t="n">
        <v>4</v>
      </c>
      <c r="AJ307" t="n">
        <v>2</v>
      </c>
      <c r="AK307" t="n">
        <v>8</v>
      </c>
      <c r="AL307" t="n">
        <v>0</v>
      </c>
      <c r="AM307" t="n">
        <v>1</v>
      </c>
      <c r="AN307" t="n">
        <v>0</v>
      </c>
      <c r="AO307" t="n">
        <v>0</v>
      </c>
      <c r="AP307" t="inlineStr">
        <is>
          <t>Yes</t>
        </is>
      </c>
      <c r="AQ307" t="inlineStr">
        <is>
          <t>No</t>
        </is>
      </c>
      <c r="AR307">
        <f>HYPERLINK("http://catalog.hathitrust.org/Record/000646469","HathiTrust Record")</f>
        <v/>
      </c>
      <c r="AS307">
        <f>HYPERLINK("https://creighton-primo.hosted.exlibrisgroup.com/primo-explore/search?tab=default_tab&amp;search_scope=EVERYTHING&amp;vid=01CRU&amp;lang=en_US&amp;offset=0&amp;query=any,contains,991003099509702656","Catalog Record")</f>
        <v/>
      </c>
      <c r="AT307">
        <f>HYPERLINK("http://www.worldcat.org/oclc/648860","WorldCat Record")</f>
        <v/>
      </c>
      <c r="AU307" t="inlineStr">
        <is>
          <t>1822003:eng</t>
        </is>
      </c>
      <c r="AV307" t="inlineStr">
        <is>
          <t>648860</t>
        </is>
      </c>
      <c r="AW307" t="inlineStr">
        <is>
          <t>991003099509702656</t>
        </is>
      </c>
      <c r="AX307" t="inlineStr">
        <is>
          <t>991003099509702656</t>
        </is>
      </c>
      <c r="AY307" t="inlineStr">
        <is>
          <t>2256386260002656</t>
        </is>
      </c>
      <c r="AZ307" t="inlineStr">
        <is>
          <t>BOOK</t>
        </is>
      </c>
      <c r="BC307" t="inlineStr">
        <is>
          <t>32285002344488</t>
        </is>
      </c>
      <c r="BD307" t="inlineStr">
        <is>
          <t>893428443</t>
        </is>
      </c>
    </row>
    <row r="308">
      <c r="A308" t="inlineStr">
        <is>
          <t>No</t>
        </is>
      </c>
      <c r="B308" t="inlineStr">
        <is>
          <t>DC249 .A47 1984</t>
        </is>
      </c>
      <c r="C308" t="inlineStr">
        <is>
          <t>0                      DC 0249000A  47          1984</t>
        </is>
      </c>
      <c r="D308" t="inlineStr">
        <is>
          <t>The Congress dances / Susan Mary Alsop.</t>
        </is>
      </c>
      <c r="F308" t="inlineStr">
        <is>
          <t>No</t>
        </is>
      </c>
      <c r="G308" t="inlineStr">
        <is>
          <t>1</t>
        </is>
      </c>
      <c r="H308" t="inlineStr">
        <is>
          <t>No</t>
        </is>
      </c>
      <c r="I308" t="inlineStr">
        <is>
          <t>No</t>
        </is>
      </c>
      <c r="J308" t="inlineStr">
        <is>
          <t>0</t>
        </is>
      </c>
      <c r="K308" t="inlineStr">
        <is>
          <t>Alsop, Susan Mary.</t>
        </is>
      </c>
      <c r="L308" t="inlineStr">
        <is>
          <t>New York : Harper &amp; Row, c1984.</t>
        </is>
      </c>
      <c r="M308" t="inlineStr">
        <is>
          <t>1984</t>
        </is>
      </c>
      <c r="N308" t="inlineStr">
        <is>
          <t>1st ed.</t>
        </is>
      </c>
      <c r="O308" t="inlineStr">
        <is>
          <t>eng</t>
        </is>
      </c>
      <c r="P308" t="inlineStr">
        <is>
          <t>nyu</t>
        </is>
      </c>
      <c r="R308" t="inlineStr">
        <is>
          <t xml:space="preserve">DC </t>
        </is>
      </c>
      <c r="S308" t="n">
        <v>1</v>
      </c>
      <c r="T308" t="n">
        <v>1</v>
      </c>
      <c r="U308" t="inlineStr">
        <is>
          <t>1992-01-22</t>
        </is>
      </c>
      <c r="V308" t="inlineStr">
        <is>
          <t>1992-01-22</t>
        </is>
      </c>
      <c r="W308" t="inlineStr">
        <is>
          <t>1990-07-19</t>
        </is>
      </c>
      <c r="X308" t="inlineStr">
        <is>
          <t>1990-07-19</t>
        </is>
      </c>
      <c r="Y308" t="n">
        <v>471</v>
      </c>
      <c r="Z308" t="n">
        <v>440</v>
      </c>
      <c r="AA308" t="n">
        <v>449</v>
      </c>
      <c r="AB308" t="n">
        <v>3</v>
      </c>
      <c r="AC308" t="n">
        <v>3</v>
      </c>
      <c r="AD308" t="n">
        <v>16</v>
      </c>
      <c r="AE308" t="n">
        <v>16</v>
      </c>
      <c r="AF308" t="n">
        <v>4</v>
      </c>
      <c r="AG308" t="n">
        <v>4</v>
      </c>
      <c r="AH308" t="n">
        <v>5</v>
      </c>
      <c r="AI308" t="n">
        <v>5</v>
      </c>
      <c r="AJ308" t="n">
        <v>11</v>
      </c>
      <c r="AK308" t="n">
        <v>11</v>
      </c>
      <c r="AL308" t="n">
        <v>1</v>
      </c>
      <c r="AM308" t="n">
        <v>1</v>
      </c>
      <c r="AN308" t="n">
        <v>0</v>
      </c>
      <c r="AO308" t="n">
        <v>0</v>
      </c>
      <c r="AP308" t="inlineStr">
        <is>
          <t>No</t>
        </is>
      </c>
      <c r="AQ308" t="inlineStr">
        <is>
          <t>Yes</t>
        </is>
      </c>
      <c r="AR308">
        <f>HYPERLINK("http://catalog.hathitrust.org/Record/000781664","HathiTrust Record")</f>
        <v/>
      </c>
      <c r="AS308">
        <f>HYPERLINK("https://creighton-primo.hosted.exlibrisgroup.com/primo-explore/search?tab=default_tab&amp;search_scope=EVERYTHING&amp;vid=01CRU&amp;lang=en_US&amp;offset=0&amp;query=any,contains,991000320669702656","Catalog Record")</f>
        <v/>
      </c>
      <c r="AT308">
        <f>HYPERLINK("http://www.worldcat.org/oclc/10146706","WorldCat Record")</f>
        <v/>
      </c>
      <c r="AU308" t="inlineStr">
        <is>
          <t>3637881:eng</t>
        </is>
      </c>
      <c r="AV308" t="inlineStr">
        <is>
          <t>10146706</t>
        </is>
      </c>
      <c r="AW308" t="inlineStr">
        <is>
          <t>991000320669702656</t>
        </is>
      </c>
      <c r="AX308" t="inlineStr">
        <is>
          <t>991000320669702656</t>
        </is>
      </c>
      <c r="AY308" t="inlineStr">
        <is>
          <t>2255620350002656</t>
        </is>
      </c>
      <c r="AZ308" t="inlineStr">
        <is>
          <t>BOOK</t>
        </is>
      </c>
      <c r="BB308" t="inlineStr">
        <is>
          <t>9780060152802</t>
        </is>
      </c>
      <c r="BC308" t="inlineStr">
        <is>
          <t>32285000239326</t>
        </is>
      </c>
      <c r="BD308" t="inlineStr">
        <is>
          <t>893407085</t>
        </is>
      </c>
    </row>
    <row r="309">
      <c r="A309" t="inlineStr">
        <is>
          <t>No</t>
        </is>
      </c>
      <c r="B309" t="inlineStr">
        <is>
          <t>DC249 .K46 2008</t>
        </is>
      </c>
      <c r="C309" t="inlineStr">
        <is>
          <t>0                      DC 0249000K  46          2008</t>
        </is>
      </c>
      <c r="D309" t="inlineStr">
        <is>
          <t>Vienna, 1814 : how the conquerors of Napoleon made love, war, and peace at the Congress of Vienna / David King.</t>
        </is>
      </c>
      <c r="F309" t="inlineStr">
        <is>
          <t>No</t>
        </is>
      </c>
      <c r="G309" t="inlineStr">
        <is>
          <t>1</t>
        </is>
      </c>
      <c r="H309" t="inlineStr">
        <is>
          <t>No</t>
        </is>
      </c>
      <c r="I309" t="inlineStr">
        <is>
          <t>No</t>
        </is>
      </c>
      <c r="J309" t="inlineStr">
        <is>
          <t>0</t>
        </is>
      </c>
      <c r="K309" t="inlineStr">
        <is>
          <t>King, David, 1970-</t>
        </is>
      </c>
      <c r="L309" t="inlineStr">
        <is>
          <t>New York : Harmony Books, c2008.</t>
        </is>
      </c>
      <c r="M309" t="inlineStr">
        <is>
          <t>2008</t>
        </is>
      </c>
      <c r="N309" t="inlineStr">
        <is>
          <t>1st ed.</t>
        </is>
      </c>
      <c r="O309" t="inlineStr">
        <is>
          <t>eng</t>
        </is>
      </c>
      <c r="P309" t="inlineStr">
        <is>
          <t>nyu</t>
        </is>
      </c>
      <c r="R309" t="inlineStr">
        <is>
          <t xml:space="preserve">DC </t>
        </is>
      </c>
      <c r="S309" t="n">
        <v>1</v>
      </c>
      <c r="T309" t="n">
        <v>1</v>
      </c>
      <c r="U309" t="inlineStr">
        <is>
          <t>2009-09-08</t>
        </is>
      </c>
      <c r="V309" t="inlineStr">
        <is>
          <t>2009-09-08</t>
        </is>
      </c>
      <c r="W309" t="inlineStr">
        <is>
          <t>2008-11-18</t>
        </is>
      </c>
      <c r="X309" t="inlineStr">
        <is>
          <t>2008-11-18</t>
        </is>
      </c>
      <c r="Y309" t="n">
        <v>821</v>
      </c>
      <c r="Z309" t="n">
        <v>752</v>
      </c>
      <c r="AA309" t="n">
        <v>840</v>
      </c>
      <c r="AB309" t="n">
        <v>6</v>
      </c>
      <c r="AC309" t="n">
        <v>6</v>
      </c>
      <c r="AD309" t="n">
        <v>21</v>
      </c>
      <c r="AE309" t="n">
        <v>23</v>
      </c>
      <c r="AF309" t="n">
        <v>7</v>
      </c>
      <c r="AG309" t="n">
        <v>9</v>
      </c>
      <c r="AH309" t="n">
        <v>5</v>
      </c>
      <c r="AI309" t="n">
        <v>5</v>
      </c>
      <c r="AJ309" t="n">
        <v>11</v>
      </c>
      <c r="AK309" t="n">
        <v>11</v>
      </c>
      <c r="AL309" t="n">
        <v>3</v>
      </c>
      <c r="AM309" t="n">
        <v>3</v>
      </c>
      <c r="AN309" t="n">
        <v>0</v>
      </c>
      <c r="AO309" t="n">
        <v>0</v>
      </c>
      <c r="AP309" t="inlineStr">
        <is>
          <t>No</t>
        </is>
      </c>
      <c r="AQ309" t="inlineStr">
        <is>
          <t>Yes</t>
        </is>
      </c>
      <c r="AR309">
        <f>HYPERLINK("http://catalog.hathitrust.org/Record/007149331","HathiTrust Record")</f>
        <v/>
      </c>
      <c r="AS309">
        <f>HYPERLINK("https://creighton-primo.hosted.exlibrisgroup.com/primo-explore/search?tab=default_tab&amp;search_scope=EVERYTHING&amp;vid=01CRU&amp;lang=en_US&amp;offset=0&amp;query=any,contains,991005275209702656","Catalog Record")</f>
        <v/>
      </c>
      <c r="AT309">
        <f>HYPERLINK("http://www.worldcat.org/oclc/144548388","WorldCat Record")</f>
        <v/>
      </c>
      <c r="AU309" t="inlineStr">
        <is>
          <t>198498055:eng</t>
        </is>
      </c>
      <c r="AV309" t="inlineStr">
        <is>
          <t>144548388</t>
        </is>
      </c>
      <c r="AW309" t="inlineStr">
        <is>
          <t>991005275209702656</t>
        </is>
      </c>
      <c r="AX309" t="inlineStr">
        <is>
          <t>991005275209702656</t>
        </is>
      </c>
      <c r="AY309" t="inlineStr">
        <is>
          <t>2268250590002656</t>
        </is>
      </c>
      <c r="AZ309" t="inlineStr">
        <is>
          <t>BOOK</t>
        </is>
      </c>
      <c r="BB309" t="inlineStr">
        <is>
          <t>9780307337160</t>
        </is>
      </c>
      <c r="BC309" t="inlineStr">
        <is>
          <t>32285005466908</t>
        </is>
      </c>
      <c r="BD309" t="inlineStr">
        <is>
          <t>893783335</t>
        </is>
      </c>
    </row>
    <row r="310">
      <c r="A310" t="inlineStr">
        <is>
          <t>No</t>
        </is>
      </c>
      <c r="B310" t="inlineStr">
        <is>
          <t>DC25 .G3</t>
        </is>
      </c>
      <c r="C310" t="inlineStr">
        <is>
          <t>0                      DC 0025000G  3</t>
        </is>
      </c>
      <c r="D310" t="inlineStr">
        <is>
          <t>The journal of David Garrick, describing his visit to France and Italy in 1763, now first printed from the original manuscript in the Folger Shakespeare Library and edited with an introduction &amp; notes by George Winchester Stone, Jr.</t>
        </is>
      </c>
      <c r="F310" t="inlineStr">
        <is>
          <t>No</t>
        </is>
      </c>
      <c r="G310" t="inlineStr">
        <is>
          <t>1</t>
        </is>
      </c>
      <c r="H310" t="inlineStr">
        <is>
          <t>No</t>
        </is>
      </c>
      <c r="I310" t="inlineStr">
        <is>
          <t>No</t>
        </is>
      </c>
      <c r="J310" t="inlineStr">
        <is>
          <t>0</t>
        </is>
      </c>
      <c r="K310" t="inlineStr">
        <is>
          <t>Garrick, David, 1717-1779.</t>
        </is>
      </c>
      <c r="L310" t="inlineStr">
        <is>
          <t>New York, Modern Language Association of America, 1939.</t>
        </is>
      </c>
      <c r="M310" t="inlineStr">
        <is>
          <t>1939</t>
        </is>
      </c>
      <c r="O310" t="inlineStr">
        <is>
          <t>eng</t>
        </is>
      </c>
      <c r="P310" t="inlineStr">
        <is>
          <t>nyu</t>
        </is>
      </c>
      <c r="Q310" t="inlineStr">
        <is>
          <t>Modern Language Association of America. Revolving fund series, 10</t>
        </is>
      </c>
      <c r="R310" t="inlineStr">
        <is>
          <t xml:space="preserve">DC </t>
        </is>
      </c>
      <c r="S310" t="n">
        <v>2</v>
      </c>
      <c r="T310" t="n">
        <v>2</v>
      </c>
      <c r="U310" t="inlineStr">
        <is>
          <t>2010-09-02</t>
        </is>
      </c>
      <c r="V310" t="inlineStr">
        <is>
          <t>2010-09-02</t>
        </is>
      </c>
      <c r="W310" t="inlineStr">
        <is>
          <t>1996-10-24</t>
        </is>
      </c>
      <c r="X310" t="inlineStr">
        <is>
          <t>1996-10-24</t>
        </is>
      </c>
      <c r="Y310" t="n">
        <v>209</v>
      </c>
      <c r="Z310" t="n">
        <v>188</v>
      </c>
      <c r="AA310" t="n">
        <v>280</v>
      </c>
      <c r="AB310" t="n">
        <v>2</v>
      </c>
      <c r="AC310" t="n">
        <v>3</v>
      </c>
      <c r="AD310" t="n">
        <v>13</v>
      </c>
      <c r="AE310" t="n">
        <v>17</v>
      </c>
      <c r="AF310" t="n">
        <v>3</v>
      </c>
      <c r="AG310" t="n">
        <v>6</v>
      </c>
      <c r="AH310" t="n">
        <v>5</v>
      </c>
      <c r="AI310" t="n">
        <v>5</v>
      </c>
      <c r="AJ310" t="n">
        <v>8</v>
      </c>
      <c r="AK310" t="n">
        <v>8</v>
      </c>
      <c r="AL310" t="n">
        <v>1</v>
      </c>
      <c r="AM310" t="n">
        <v>2</v>
      </c>
      <c r="AN310" t="n">
        <v>0</v>
      </c>
      <c r="AO310" t="n">
        <v>0</v>
      </c>
      <c r="AP310" t="inlineStr">
        <is>
          <t>Yes</t>
        </is>
      </c>
      <c r="AQ310" t="inlineStr">
        <is>
          <t>No</t>
        </is>
      </c>
      <c r="AR310">
        <f>HYPERLINK("http://catalog.hathitrust.org/Record/001372868","HathiTrust Record")</f>
        <v/>
      </c>
      <c r="AS310">
        <f>HYPERLINK("https://creighton-primo.hosted.exlibrisgroup.com/primo-explore/search?tab=default_tab&amp;search_scope=EVERYTHING&amp;vid=01CRU&amp;lang=en_US&amp;offset=0&amp;query=any,contains,991003723449702656","Catalog Record")</f>
        <v/>
      </c>
      <c r="AT310">
        <f>HYPERLINK("http://www.worldcat.org/oclc/1368273","WorldCat Record")</f>
        <v/>
      </c>
      <c r="AU310" t="inlineStr">
        <is>
          <t>1880743:eng</t>
        </is>
      </c>
      <c r="AV310" t="inlineStr">
        <is>
          <t>1368273</t>
        </is>
      </c>
      <c r="AW310" t="inlineStr">
        <is>
          <t>991003723449702656</t>
        </is>
      </c>
      <c r="AX310" t="inlineStr">
        <is>
          <t>991003723449702656</t>
        </is>
      </c>
      <c r="AY310" t="inlineStr">
        <is>
          <t>2272188930002656</t>
        </is>
      </c>
      <c r="AZ310" t="inlineStr">
        <is>
          <t>BOOK</t>
        </is>
      </c>
      <c r="BC310" t="inlineStr">
        <is>
          <t>32285002377942</t>
        </is>
      </c>
      <c r="BD310" t="inlineStr">
        <is>
          <t>893246674</t>
        </is>
      </c>
    </row>
    <row r="311">
      <c r="A311" t="inlineStr">
        <is>
          <t>No</t>
        </is>
      </c>
      <c r="B311" t="inlineStr">
        <is>
          <t>DC25 .Y68 1970</t>
        </is>
      </c>
      <c r="C311" t="inlineStr">
        <is>
          <t>0                      DC 0025000Y  68          1970</t>
        </is>
      </c>
      <c r="D311" t="inlineStr">
        <is>
          <t>Travels during the years 1787, 1788, &amp; 1789, undertaken more particularly with a view of ascertaining the cultivation, wealth, resources, and national prosperity of the kingdom of France.</t>
        </is>
      </c>
      <c r="F311" t="inlineStr">
        <is>
          <t>Yes</t>
        </is>
      </c>
      <c r="G311" t="inlineStr">
        <is>
          <t>1</t>
        </is>
      </c>
      <c r="H311" t="inlineStr">
        <is>
          <t>Yes</t>
        </is>
      </c>
      <c r="I311" t="inlineStr">
        <is>
          <t>No</t>
        </is>
      </c>
      <c r="J311" t="inlineStr">
        <is>
          <t>0</t>
        </is>
      </c>
      <c r="K311" t="inlineStr">
        <is>
          <t>Young, Arthur, 1741-1820.</t>
        </is>
      </c>
      <c r="L311" t="inlineStr">
        <is>
          <t>London, Printed for W. Richardson, 1794.</t>
        </is>
      </c>
      <c r="M311" t="inlineStr">
        <is>
          <t>1970</t>
        </is>
      </c>
      <c r="N311" t="inlineStr">
        <is>
          <t>2d ed.</t>
        </is>
      </c>
      <c r="O311" t="inlineStr">
        <is>
          <t>eng</t>
        </is>
      </c>
      <c r="P311" t="inlineStr">
        <is>
          <t>nyu</t>
        </is>
      </c>
      <c r="R311" t="inlineStr">
        <is>
          <t xml:space="preserve">DC </t>
        </is>
      </c>
      <c r="S311" t="n">
        <v>2</v>
      </c>
      <c r="T311" t="n">
        <v>4</v>
      </c>
      <c r="U311" t="inlineStr">
        <is>
          <t>2010-09-02</t>
        </is>
      </c>
      <c r="V311" t="inlineStr">
        <is>
          <t>2010-09-02</t>
        </is>
      </c>
      <c r="W311" t="inlineStr">
        <is>
          <t>1996-05-30</t>
        </is>
      </c>
      <c r="X311" t="inlineStr">
        <is>
          <t>1996-05-30</t>
        </is>
      </c>
      <c r="Y311" t="n">
        <v>52</v>
      </c>
      <c r="Z311" t="n">
        <v>45</v>
      </c>
      <c r="AA311" t="n">
        <v>275</v>
      </c>
      <c r="AB311" t="n">
        <v>2</v>
      </c>
      <c r="AC311" t="n">
        <v>5</v>
      </c>
      <c r="AD311" t="n">
        <v>3</v>
      </c>
      <c r="AE311" t="n">
        <v>14</v>
      </c>
      <c r="AF311" t="n">
        <v>2</v>
      </c>
      <c r="AG311" t="n">
        <v>2</v>
      </c>
      <c r="AH311" t="n">
        <v>0</v>
      </c>
      <c r="AI311" t="n">
        <v>4</v>
      </c>
      <c r="AJ311" t="n">
        <v>2</v>
      </c>
      <c r="AK311" t="n">
        <v>7</v>
      </c>
      <c r="AL311" t="n">
        <v>1</v>
      </c>
      <c r="AM311" t="n">
        <v>4</v>
      </c>
      <c r="AN311" t="n">
        <v>0</v>
      </c>
      <c r="AO311" t="n">
        <v>0</v>
      </c>
      <c r="AP311" t="inlineStr">
        <is>
          <t>No</t>
        </is>
      </c>
      <c r="AQ311" t="inlineStr">
        <is>
          <t>Yes</t>
        </is>
      </c>
      <c r="AR311">
        <f>HYPERLINK("http://catalog.hathitrust.org/Record/102068806","HathiTrust Record")</f>
        <v/>
      </c>
      <c r="AS311">
        <f>HYPERLINK("https://creighton-primo.hosted.exlibrisgroup.com/primo-explore/search?tab=default_tab&amp;search_scope=EVERYTHING&amp;vid=01CRU&amp;lang=en_US&amp;offset=0&amp;query=any,contains,991000596349702656","Catalog Record")</f>
        <v/>
      </c>
      <c r="AT311">
        <f>HYPERLINK("http://www.worldcat.org/oclc/97167","WorldCat Record")</f>
        <v/>
      </c>
      <c r="AU311" t="inlineStr">
        <is>
          <t>1864140465:eng</t>
        </is>
      </c>
      <c r="AV311" t="inlineStr">
        <is>
          <t>97167</t>
        </is>
      </c>
      <c r="AW311" t="inlineStr">
        <is>
          <t>991000596349702656</t>
        </is>
      </c>
      <c r="AX311" t="inlineStr">
        <is>
          <t>991000596349702656</t>
        </is>
      </c>
      <c r="AY311" t="inlineStr">
        <is>
          <t>2269817140002656</t>
        </is>
      </c>
      <c r="AZ311" t="inlineStr">
        <is>
          <t>BOOK</t>
        </is>
      </c>
      <c r="BB311" t="inlineStr">
        <is>
          <t>9780404070687</t>
        </is>
      </c>
      <c r="BC311" t="inlineStr">
        <is>
          <t>32285002185303</t>
        </is>
      </c>
      <c r="BD311" t="inlineStr">
        <is>
          <t>893407348</t>
        </is>
      </c>
    </row>
    <row r="312">
      <c r="A312" t="inlineStr">
        <is>
          <t>No</t>
        </is>
      </c>
      <c r="B312" t="inlineStr">
        <is>
          <t>DC25 .Y68 1970 V.2</t>
        </is>
      </c>
      <c r="C312" t="inlineStr">
        <is>
          <t>0                      DC 0025000Y  68          1970                                        V.2</t>
        </is>
      </c>
      <c r="D312" t="inlineStr">
        <is>
          <t>Travels during the years 1787, 1788, &amp; 1789, undertaken more particularly with a view of ascertaining the cultivation, wealth, resources, and national prosperity of the kingdom of France.</t>
        </is>
      </c>
      <c r="E312" t="inlineStr">
        <is>
          <t>V.2*</t>
        </is>
      </c>
      <c r="F312" t="inlineStr">
        <is>
          <t>Yes</t>
        </is>
      </c>
      <c r="G312" t="inlineStr">
        <is>
          <t>1</t>
        </is>
      </c>
      <c r="H312" t="inlineStr">
        <is>
          <t>No</t>
        </is>
      </c>
      <c r="I312" t="inlineStr">
        <is>
          <t>No</t>
        </is>
      </c>
      <c r="J312" t="inlineStr">
        <is>
          <t>0</t>
        </is>
      </c>
      <c r="K312" t="inlineStr">
        <is>
          <t>Young, Arthur, 1741-1820.</t>
        </is>
      </c>
      <c r="L312" t="inlineStr">
        <is>
          <t>London, Printed for W. Richardson, 1794.</t>
        </is>
      </c>
      <c r="M312" t="inlineStr">
        <is>
          <t>1970</t>
        </is>
      </c>
      <c r="N312" t="inlineStr">
        <is>
          <t>2d ed.</t>
        </is>
      </c>
      <c r="O312" t="inlineStr">
        <is>
          <t>eng</t>
        </is>
      </c>
      <c r="P312" t="inlineStr">
        <is>
          <t>nyu</t>
        </is>
      </c>
      <c r="R312" t="inlineStr">
        <is>
          <t xml:space="preserve">DC </t>
        </is>
      </c>
      <c r="S312" t="n">
        <v>2</v>
      </c>
      <c r="T312" t="n">
        <v>4</v>
      </c>
      <c r="U312" t="inlineStr">
        <is>
          <t>2010-09-02</t>
        </is>
      </c>
      <c r="V312" t="inlineStr">
        <is>
          <t>2010-09-02</t>
        </is>
      </c>
      <c r="W312" t="inlineStr">
        <is>
          <t>1996-05-30</t>
        </is>
      </c>
      <c r="X312" t="inlineStr">
        <is>
          <t>1996-05-30</t>
        </is>
      </c>
      <c r="Y312" t="n">
        <v>52</v>
      </c>
      <c r="Z312" t="n">
        <v>45</v>
      </c>
      <c r="AA312" t="n">
        <v>275</v>
      </c>
      <c r="AB312" t="n">
        <v>2</v>
      </c>
      <c r="AC312" t="n">
        <v>5</v>
      </c>
      <c r="AD312" t="n">
        <v>3</v>
      </c>
      <c r="AE312" t="n">
        <v>14</v>
      </c>
      <c r="AF312" t="n">
        <v>2</v>
      </c>
      <c r="AG312" t="n">
        <v>2</v>
      </c>
      <c r="AH312" t="n">
        <v>0</v>
      </c>
      <c r="AI312" t="n">
        <v>4</v>
      </c>
      <c r="AJ312" t="n">
        <v>2</v>
      </c>
      <c r="AK312" t="n">
        <v>7</v>
      </c>
      <c r="AL312" t="n">
        <v>1</v>
      </c>
      <c r="AM312" t="n">
        <v>4</v>
      </c>
      <c r="AN312" t="n">
        <v>0</v>
      </c>
      <c r="AO312" t="n">
        <v>0</v>
      </c>
      <c r="AP312" t="inlineStr">
        <is>
          <t>No</t>
        </is>
      </c>
      <c r="AQ312" t="inlineStr">
        <is>
          <t>Yes</t>
        </is>
      </c>
      <c r="AR312">
        <f>HYPERLINK("http://catalog.hathitrust.org/Record/102068806","HathiTrust Record")</f>
        <v/>
      </c>
      <c r="AS312">
        <f>HYPERLINK("https://creighton-primo.hosted.exlibrisgroup.com/primo-explore/search?tab=default_tab&amp;search_scope=EVERYTHING&amp;vid=01CRU&amp;lang=en_US&amp;offset=0&amp;query=any,contains,991000596349702656","Catalog Record")</f>
        <v/>
      </c>
      <c r="AT312">
        <f>HYPERLINK("http://www.worldcat.org/oclc/97167","WorldCat Record")</f>
        <v/>
      </c>
      <c r="AU312" t="inlineStr">
        <is>
          <t>1864140465:eng</t>
        </is>
      </c>
      <c r="AV312" t="inlineStr">
        <is>
          <t>97167</t>
        </is>
      </c>
      <c r="AW312" t="inlineStr">
        <is>
          <t>991000596349702656</t>
        </is>
      </c>
      <c r="AX312" t="inlineStr">
        <is>
          <t>991000596349702656</t>
        </is>
      </c>
      <c r="AY312" t="inlineStr">
        <is>
          <t>2269817140002656</t>
        </is>
      </c>
      <c r="AZ312" t="inlineStr">
        <is>
          <t>BOOK</t>
        </is>
      </c>
      <c r="BB312" t="inlineStr">
        <is>
          <t>9780404070687</t>
        </is>
      </c>
      <c r="BC312" t="inlineStr">
        <is>
          <t>32285002185311</t>
        </is>
      </c>
      <c r="BD312" t="inlineStr">
        <is>
          <t>893413503</t>
        </is>
      </c>
    </row>
    <row r="313">
      <c r="A313" t="inlineStr">
        <is>
          <t>No</t>
        </is>
      </c>
      <c r="B313" t="inlineStr">
        <is>
          <t>DC251 .E3 1969</t>
        </is>
      </c>
      <c r="C313" t="inlineStr">
        <is>
          <t>0                      DC 0251000E  3           1969</t>
        </is>
      </c>
      <c r="D313" t="inlineStr">
        <is>
          <t>The revolutionary idea in France, 1789-1871 / by Lord Elton.</t>
        </is>
      </c>
      <c r="F313" t="inlineStr">
        <is>
          <t>No</t>
        </is>
      </c>
      <c r="G313" t="inlineStr">
        <is>
          <t>1</t>
        </is>
      </c>
      <c r="H313" t="inlineStr">
        <is>
          <t>No</t>
        </is>
      </c>
      <c r="I313" t="inlineStr">
        <is>
          <t>No</t>
        </is>
      </c>
      <c r="J313" t="inlineStr">
        <is>
          <t>0</t>
        </is>
      </c>
      <c r="K313" t="inlineStr">
        <is>
          <t>Elton, Godfrey Elton, Baron, 1892-1973.</t>
        </is>
      </c>
      <c r="L313" t="inlineStr">
        <is>
          <t>New York : H. Fertig, 1969.</t>
        </is>
      </c>
      <c r="M313" t="inlineStr">
        <is>
          <t>1969</t>
        </is>
      </c>
      <c r="O313" t="inlineStr">
        <is>
          <t>eng</t>
        </is>
      </c>
      <c r="P313" t="inlineStr">
        <is>
          <t>nyu</t>
        </is>
      </c>
      <c r="R313" t="inlineStr">
        <is>
          <t xml:space="preserve">DC </t>
        </is>
      </c>
      <c r="S313" t="n">
        <v>5</v>
      </c>
      <c r="T313" t="n">
        <v>5</v>
      </c>
      <c r="U313" t="inlineStr">
        <is>
          <t>2000-04-25</t>
        </is>
      </c>
      <c r="V313" t="inlineStr">
        <is>
          <t>2000-04-25</t>
        </is>
      </c>
      <c r="W313" t="inlineStr">
        <is>
          <t>1992-10-23</t>
        </is>
      </c>
      <c r="X313" t="inlineStr">
        <is>
          <t>1992-10-23</t>
        </is>
      </c>
      <c r="Y313" t="n">
        <v>341</v>
      </c>
      <c r="Z313" t="n">
        <v>319</v>
      </c>
      <c r="AA313" t="n">
        <v>621</v>
      </c>
      <c r="AB313" t="n">
        <v>4</v>
      </c>
      <c r="AC313" t="n">
        <v>5</v>
      </c>
      <c r="AD313" t="n">
        <v>20</v>
      </c>
      <c r="AE313" t="n">
        <v>37</v>
      </c>
      <c r="AF313" t="n">
        <v>10</v>
      </c>
      <c r="AG313" t="n">
        <v>15</v>
      </c>
      <c r="AH313" t="n">
        <v>4</v>
      </c>
      <c r="AI313" t="n">
        <v>9</v>
      </c>
      <c r="AJ313" t="n">
        <v>11</v>
      </c>
      <c r="AK313" t="n">
        <v>20</v>
      </c>
      <c r="AL313" t="n">
        <v>3</v>
      </c>
      <c r="AM313" t="n">
        <v>4</v>
      </c>
      <c r="AN313" t="n">
        <v>0</v>
      </c>
      <c r="AO313" t="n">
        <v>0</v>
      </c>
      <c r="AP313" t="inlineStr">
        <is>
          <t>No</t>
        </is>
      </c>
      <c r="AQ313" t="inlineStr">
        <is>
          <t>Yes</t>
        </is>
      </c>
      <c r="AR313">
        <f>HYPERLINK("http://catalog.hathitrust.org/Record/000607279","HathiTrust Record")</f>
        <v/>
      </c>
      <c r="AS313">
        <f>HYPERLINK("https://creighton-primo.hosted.exlibrisgroup.com/primo-explore/search?tab=default_tab&amp;search_scope=EVERYTHING&amp;vid=01CRU&amp;lang=en_US&amp;offset=0&amp;query=any,contains,991000038439702656","Catalog Record")</f>
        <v/>
      </c>
      <c r="AT313">
        <f>HYPERLINK("http://www.worldcat.org/oclc/21283","WorldCat Record")</f>
        <v/>
      </c>
      <c r="AU313" t="inlineStr">
        <is>
          <t>474468:eng</t>
        </is>
      </c>
      <c r="AV313" t="inlineStr">
        <is>
          <t>21283</t>
        </is>
      </c>
      <c r="AW313" t="inlineStr">
        <is>
          <t>991000038439702656</t>
        </is>
      </c>
      <c r="AX313" t="inlineStr">
        <is>
          <t>991000038439702656</t>
        </is>
      </c>
      <c r="AY313" t="inlineStr">
        <is>
          <t>2261437470002656</t>
        </is>
      </c>
      <c r="AZ313" t="inlineStr">
        <is>
          <t>BOOK</t>
        </is>
      </c>
      <c r="BC313" t="inlineStr">
        <is>
          <t>32285001376036</t>
        </is>
      </c>
      <c r="BD313" t="inlineStr">
        <is>
          <t>893345322</t>
        </is>
      </c>
    </row>
    <row r="314">
      <c r="A314" t="inlineStr">
        <is>
          <t>No</t>
        </is>
      </c>
      <c r="B314" t="inlineStr">
        <is>
          <t>DC251 .G54 2008</t>
        </is>
      </c>
      <c r="C314" t="inlineStr">
        <is>
          <t>0                      DC 0251000G  54          2008</t>
        </is>
      </c>
      <c r="D314" t="inlineStr">
        <is>
          <t>Children of the Revolution : the French, 1799-1914 / Robert Gildea.</t>
        </is>
      </c>
      <c r="F314" t="inlineStr">
        <is>
          <t>No</t>
        </is>
      </c>
      <c r="G314" t="inlineStr">
        <is>
          <t>1</t>
        </is>
      </c>
      <c r="H314" t="inlineStr">
        <is>
          <t>No</t>
        </is>
      </c>
      <c r="I314" t="inlineStr">
        <is>
          <t>No</t>
        </is>
      </c>
      <c r="J314" t="inlineStr">
        <is>
          <t>0</t>
        </is>
      </c>
      <c r="K314" t="inlineStr">
        <is>
          <t>Gildea, Robert.</t>
        </is>
      </c>
      <c r="L314" t="inlineStr">
        <is>
          <t>Cambridge, Mass. : Harvard University Press, 2008.</t>
        </is>
      </c>
      <c r="M314" t="inlineStr">
        <is>
          <t>2008</t>
        </is>
      </c>
      <c r="O314" t="inlineStr">
        <is>
          <t>eng</t>
        </is>
      </c>
      <c r="P314" t="inlineStr">
        <is>
          <t>mau</t>
        </is>
      </c>
      <c r="R314" t="inlineStr">
        <is>
          <t xml:space="preserve">DC </t>
        </is>
      </c>
      <c r="S314" t="n">
        <v>2</v>
      </c>
      <c r="T314" t="n">
        <v>2</v>
      </c>
      <c r="U314" t="inlineStr">
        <is>
          <t>2010-04-30</t>
        </is>
      </c>
      <c r="V314" t="inlineStr">
        <is>
          <t>2010-04-30</t>
        </is>
      </c>
      <c r="W314" t="inlineStr">
        <is>
          <t>2010-04-14</t>
        </is>
      </c>
      <c r="X314" t="inlineStr">
        <is>
          <t>2010-04-14</t>
        </is>
      </c>
      <c r="Y314" t="n">
        <v>775</v>
      </c>
      <c r="Z314" t="n">
        <v>689</v>
      </c>
      <c r="AA314" t="n">
        <v>722</v>
      </c>
      <c r="AB314" t="n">
        <v>4</v>
      </c>
      <c r="AC314" t="n">
        <v>4</v>
      </c>
      <c r="AD314" t="n">
        <v>31</v>
      </c>
      <c r="AE314" t="n">
        <v>32</v>
      </c>
      <c r="AF314" t="n">
        <v>13</v>
      </c>
      <c r="AG314" t="n">
        <v>13</v>
      </c>
      <c r="AH314" t="n">
        <v>7</v>
      </c>
      <c r="AI314" t="n">
        <v>8</v>
      </c>
      <c r="AJ314" t="n">
        <v>15</v>
      </c>
      <c r="AK314" t="n">
        <v>16</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HYPERLINK("https://creighton-primo.hosted.exlibrisgroup.com/primo-explore/search?tab=default_tab&amp;search_scope=EVERYTHING&amp;vid=01CRU&amp;lang=en_US&amp;offset=0&amp;query=any,contains,991005381309702656","Catalog Record")</f>
        <v/>
      </c>
      <c r="AT314">
        <f>HYPERLINK("http://www.worldcat.org/oclc/226966583","WorldCat Record")</f>
        <v/>
      </c>
      <c r="AU314" t="inlineStr">
        <is>
          <t>793011099:eng</t>
        </is>
      </c>
      <c r="AV314" t="inlineStr">
        <is>
          <t>226966583</t>
        </is>
      </c>
      <c r="AW314" t="inlineStr">
        <is>
          <t>991005381309702656</t>
        </is>
      </c>
      <c r="AX314" t="inlineStr">
        <is>
          <t>991005381309702656</t>
        </is>
      </c>
      <c r="AY314" t="inlineStr">
        <is>
          <t>2269664870002656</t>
        </is>
      </c>
      <c r="AZ314" t="inlineStr">
        <is>
          <t>BOOK</t>
        </is>
      </c>
      <c r="BB314" t="inlineStr">
        <is>
          <t>9780674032095</t>
        </is>
      </c>
      <c r="BC314" t="inlineStr">
        <is>
          <t>32285005564165</t>
        </is>
      </c>
      <c r="BD314" t="inlineStr">
        <is>
          <t>893802211</t>
        </is>
      </c>
    </row>
    <row r="315">
      <c r="A315" t="inlineStr">
        <is>
          <t>No</t>
        </is>
      </c>
      <c r="B315" t="inlineStr">
        <is>
          <t>DC251 .L68</t>
        </is>
      </c>
      <c r="C315" t="inlineStr">
        <is>
          <t>0                      DC 0251000L  68</t>
        </is>
      </c>
      <c r="D315" t="inlineStr">
        <is>
          <t>An introduction to nineteenth century France / John and Muriel Lough.</t>
        </is>
      </c>
      <c r="F315" t="inlineStr">
        <is>
          <t>No</t>
        </is>
      </c>
      <c r="G315" t="inlineStr">
        <is>
          <t>1</t>
        </is>
      </c>
      <c r="H315" t="inlineStr">
        <is>
          <t>No</t>
        </is>
      </c>
      <c r="I315" t="inlineStr">
        <is>
          <t>No</t>
        </is>
      </c>
      <c r="J315" t="inlineStr">
        <is>
          <t>0</t>
        </is>
      </c>
      <c r="K315" t="inlineStr">
        <is>
          <t>Lough, John.</t>
        </is>
      </c>
      <c r="L315" t="inlineStr">
        <is>
          <t>London : Longman, 1978.</t>
        </is>
      </c>
      <c r="M315" t="inlineStr">
        <is>
          <t>1978</t>
        </is>
      </c>
      <c r="O315" t="inlineStr">
        <is>
          <t>eng</t>
        </is>
      </c>
      <c r="P315" t="inlineStr">
        <is>
          <t>enk</t>
        </is>
      </c>
      <c r="R315" t="inlineStr">
        <is>
          <t xml:space="preserve">DC </t>
        </is>
      </c>
      <c r="S315" t="n">
        <v>2</v>
      </c>
      <c r="T315" t="n">
        <v>2</v>
      </c>
      <c r="U315" t="inlineStr">
        <is>
          <t>1992-11-05</t>
        </is>
      </c>
      <c r="V315" t="inlineStr">
        <is>
          <t>1992-11-05</t>
        </is>
      </c>
      <c r="W315" t="inlineStr">
        <is>
          <t>1991-01-14</t>
        </is>
      </c>
      <c r="X315" t="inlineStr">
        <is>
          <t>1991-01-14</t>
        </is>
      </c>
      <c r="Y315" t="n">
        <v>471</v>
      </c>
      <c r="Z315" t="n">
        <v>296</v>
      </c>
      <c r="AA315" t="n">
        <v>301</v>
      </c>
      <c r="AB315" t="n">
        <v>3</v>
      </c>
      <c r="AC315" t="n">
        <v>3</v>
      </c>
      <c r="AD315" t="n">
        <v>13</v>
      </c>
      <c r="AE315" t="n">
        <v>13</v>
      </c>
      <c r="AF315" t="n">
        <v>2</v>
      </c>
      <c r="AG315" t="n">
        <v>2</v>
      </c>
      <c r="AH315" t="n">
        <v>3</v>
      </c>
      <c r="AI315" t="n">
        <v>3</v>
      </c>
      <c r="AJ315" t="n">
        <v>8</v>
      </c>
      <c r="AK315" t="n">
        <v>8</v>
      </c>
      <c r="AL315" t="n">
        <v>2</v>
      </c>
      <c r="AM315" t="n">
        <v>2</v>
      </c>
      <c r="AN315" t="n">
        <v>0</v>
      </c>
      <c r="AO315" t="n">
        <v>0</v>
      </c>
      <c r="AP315" t="inlineStr">
        <is>
          <t>No</t>
        </is>
      </c>
      <c r="AQ315" t="inlineStr">
        <is>
          <t>Yes</t>
        </is>
      </c>
      <c r="AR315">
        <f>HYPERLINK("http://catalog.hathitrust.org/Record/000179016","HathiTrust Record")</f>
        <v/>
      </c>
      <c r="AS315">
        <f>HYPERLINK("https://creighton-primo.hosted.exlibrisgroup.com/primo-explore/search?tab=default_tab&amp;search_scope=EVERYTHING&amp;vid=01CRU&amp;lang=en_US&amp;offset=0&amp;query=any,contains,991004584739702656","Catalog Record")</f>
        <v/>
      </c>
      <c r="AT315">
        <f>HYPERLINK("http://www.worldcat.org/oclc/4077769","WorldCat Record")</f>
        <v/>
      </c>
      <c r="AU315" t="inlineStr">
        <is>
          <t>14172927:eng</t>
        </is>
      </c>
      <c r="AV315" t="inlineStr">
        <is>
          <t>4077769</t>
        </is>
      </c>
      <c r="AW315" t="inlineStr">
        <is>
          <t>991004584739702656</t>
        </is>
      </c>
      <c r="AX315" t="inlineStr">
        <is>
          <t>991004584739702656</t>
        </is>
      </c>
      <c r="AY315" t="inlineStr">
        <is>
          <t>2266949010002656</t>
        </is>
      </c>
      <c r="AZ315" t="inlineStr">
        <is>
          <t>BOOK</t>
        </is>
      </c>
      <c r="BB315" t="inlineStr">
        <is>
          <t>9780582351189</t>
        </is>
      </c>
      <c r="BC315" t="inlineStr">
        <is>
          <t>32285000394733</t>
        </is>
      </c>
      <c r="BD315" t="inlineStr">
        <is>
          <t>893801111</t>
        </is>
      </c>
    </row>
    <row r="316">
      <c r="A316" t="inlineStr">
        <is>
          <t>No</t>
        </is>
      </c>
      <c r="B316" t="inlineStr">
        <is>
          <t>DC251 .T14</t>
        </is>
      </c>
      <c r="C316" t="inlineStr">
        <is>
          <t>0                      DC 0251000T  14</t>
        </is>
      </c>
      <c r="D316" t="inlineStr">
        <is>
          <t>The French revolution, by Hippolyte Adolphe Taine ... tr. by John Durand.</t>
        </is>
      </c>
      <c r="E316" t="inlineStr">
        <is>
          <t>V. 2</t>
        </is>
      </c>
      <c r="F316" t="inlineStr">
        <is>
          <t>Yes</t>
        </is>
      </c>
      <c r="G316" t="inlineStr">
        <is>
          <t>1</t>
        </is>
      </c>
      <c r="H316" t="inlineStr">
        <is>
          <t>No</t>
        </is>
      </c>
      <c r="I316" t="inlineStr">
        <is>
          <t>No</t>
        </is>
      </c>
      <c r="J316" t="inlineStr">
        <is>
          <t>0</t>
        </is>
      </c>
      <c r="K316" t="inlineStr">
        <is>
          <t>Taine, Hippolyte, 1828-1893.</t>
        </is>
      </c>
      <c r="L316" t="inlineStr">
        <is>
          <t>New York, H. Holt and company, 1878-85.</t>
        </is>
      </c>
      <c r="M316" t="inlineStr">
        <is>
          <t>1878</t>
        </is>
      </c>
      <c r="O316" t="inlineStr">
        <is>
          <t>eng</t>
        </is>
      </c>
      <c r="P316" t="inlineStr">
        <is>
          <t>nyu</t>
        </is>
      </c>
      <c r="Q316" t="inlineStr">
        <is>
          <t>His Origins of contemporary France. [v.2-4]</t>
        </is>
      </c>
      <c r="R316" t="inlineStr">
        <is>
          <t xml:space="preserve">DC </t>
        </is>
      </c>
      <c r="S316" t="n">
        <v>0</v>
      </c>
      <c r="T316" t="n">
        <v>2</v>
      </c>
      <c r="V316" t="inlineStr">
        <is>
          <t>1998-04-15</t>
        </is>
      </c>
      <c r="W316" t="inlineStr">
        <is>
          <t>1996-11-13</t>
        </is>
      </c>
      <c r="X316" t="inlineStr">
        <is>
          <t>1996-11-13</t>
        </is>
      </c>
      <c r="Y316" t="n">
        <v>253</v>
      </c>
      <c r="Z316" t="n">
        <v>242</v>
      </c>
      <c r="AA316" t="n">
        <v>379</v>
      </c>
      <c r="AB316" t="n">
        <v>3</v>
      </c>
      <c r="AC316" t="n">
        <v>3</v>
      </c>
      <c r="AD316" t="n">
        <v>10</v>
      </c>
      <c r="AE316" t="n">
        <v>19</v>
      </c>
      <c r="AF316" t="n">
        <v>4</v>
      </c>
      <c r="AG316" t="n">
        <v>9</v>
      </c>
      <c r="AH316" t="n">
        <v>3</v>
      </c>
      <c r="AI316" t="n">
        <v>4</v>
      </c>
      <c r="AJ316" t="n">
        <v>5</v>
      </c>
      <c r="AK316" t="n">
        <v>8</v>
      </c>
      <c r="AL316" t="n">
        <v>2</v>
      </c>
      <c r="AM316" t="n">
        <v>2</v>
      </c>
      <c r="AN316" t="n">
        <v>0</v>
      </c>
      <c r="AO316" t="n">
        <v>1</v>
      </c>
      <c r="AP316" t="inlineStr">
        <is>
          <t>Yes</t>
        </is>
      </c>
      <c r="AQ316" t="inlineStr">
        <is>
          <t>No</t>
        </is>
      </c>
      <c r="AR316">
        <f>HYPERLINK("http://catalog.hathitrust.org/Record/100479797","HathiTrust Record")</f>
        <v/>
      </c>
      <c r="AS316">
        <f>HYPERLINK("https://creighton-primo.hosted.exlibrisgroup.com/primo-explore/search?tab=default_tab&amp;search_scope=EVERYTHING&amp;vid=01CRU&amp;lang=en_US&amp;offset=0&amp;query=any,contains,991003030559702656","Catalog Record")</f>
        <v/>
      </c>
      <c r="AT316">
        <f>HYPERLINK("http://www.worldcat.org/oclc/593770","WorldCat Record")</f>
        <v/>
      </c>
      <c r="AU316" t="inlineStr">
        <is>
          <t>4451870054:eng</t>
        </is>
      </c>
      <c r="AV316" t="inlineStr">
        <is>
          <t>593770</t>
        </is>
      </c>
      <c r="AW316" t="inlineStr">
        <is>
          <t>991003030559702656</t>
        </is>
      </c>
      <c r="AX316" t="inlineStr">
        <is>
          <t>991003030559702656</t>
        </is>
      </c>
      <c r="AY316" t="inlineStr">
        <is>
          <t>2264953580002656</t>
        </is>
      </c>
      <c r="AZ316" t="inlineStr">
        <is>
          <t>BOOK</t>
        </is>
      </c>
      <c r="BC316" t="inlineStr">
        <is>
          <t>32285002344652</t>
        </is>
      </c>
      <c r="BD316" t="inlineStr">
        <is>
          <t>893721766</t>
        </is>
      </c>
    </row>
    <row r="317">
      <c r="A317" t="inlineStr">
        <is>
          <t>No</t>
        </is>
      </c>
      <c r="B317" t="inlineStr">
        <is>
          <t>DC251 .T14</t>
        </is>
      </c>
      <c r="C317" t="inlineStr">
        <is>
          <t>0                      DC 0251000T  14</t>
        </is>
      </c>
      <c r="D317" t="inlineStr">
        <is>
          <t>The French revolution, by Hippolyte Adolphe Taine ... tr. by John Durand.</t>
        </is>
      </c>
      <c r="E317" t="inlineStr">
        <is>
          <t>V. 1</t>
        </is>
      </c>
      <c r="F317" t="inlineStr">
        <is>
          <t>Yes</t>
        </is>
      </c>
      <c r="G317" t="inlineStr">
        <is>
          <t>1</t>
        </is>
      </c>
      <c r="H317" t="inlineStr">
        <is>
          <t>No</t>
        </is>
      </c>
      <c r="I317" t="inlineStr">
        <is>
          <t>No</t>
        </is>
      </c>
      <c r="J317" t="inlineStr">
        <is>
          <t>0</t>
        </is>
      </c>
      <c r="K317" t="inlineStr">
        <is>
          <t>Taine, Hippolyte, 1828-1893.</t>
        </is>
      </c>
      <c r="L317" t="inlineStr">
        <is>
          <t>New York, H. Holt and company, 1878-85.</t>
        </is>
      </c>
      <c r="M317" t="inlineStr">
        <is>
          <t>1878</t>
        </is>
      </c>
      <c r="O317" t="inlineStr">
        <is>
          <t>eng</t>
        </is>
      </c>
      <c r="P317" t="inlineStr">
        <is>
          <t>nyu</t>
        </is>
      </c>
      <c r="Q317" t="inlineStr">
        <is>
          <t>His Origins of contemporary France. [v.2-4]</t>
        </is>
      </c>
      <c r="R317" t="inlineStr">
        <is>
          <t xml:space="preserve">DC </t>
        </is>
      </c>
      <c r="S317" t="n">
        <v>0</v>
      </c>
      <c r="T317" t="n">
        <v>2</v>
      </c>
      <c r="V317" t="inlineStr">
        <is>
          <t>1998-04-15</t>
        </is>
      </c>
      <c r="W317" t="inlineStr">
        <is>
          <t>1996-11-13</t>
        </is>
      </c>
      <c r="X317" t="inlineStr">
        <is>
          <t>1996-11-13</t>
        </is>
      </c>
      <c r="Y317" t="n">
        <v>253</v>
      </c>
      <c r="Z317" t="n">
        <v>242</v>
      </c>
      <c r="AA317" t="n">
        <v>379</v>
      </c>
      <c r="AB317" t="n">
        <v>3</v>
      </c>
      <c r="AC317" t="n">
        <v>3</v>
      </c>
      <c r="AD317" t="n">
        <v>10</v>
      </c>
      <c r="AE317" t="n">
        <v>19</v>
      </c>
      <c r="AF317" t="n">
        <v>4</v>
      </c>
      <c r="AG317" t="n">
        <v>9</v>
      </c>
      <c r="AH317" t="n">
        <v>3</v>
      </c>
      <c r="AI317" t="n">
        <v>4</v>
      </c>
      <c r="AJ317" t="n">
        <v>5</v>
      </c>
      <c r="AK317" t="n">
        <v>8</v>
      </c>
      <c r="AL317" t="n">
        <v>2</v>
      </c>
      <c r="AM317" t="n">
        <v>2</v>
      </c>
      <c r="AN317" t="n">
        <v>0</v>
      </c>
      <c r="AO317" t="n">
        <v>1</v>
      </c>
      <c r="AP317" t="inlineStr">
        <is>
          <t>Yes</t>
        </is>
      </c>
      <c r="AQ317" t="inlineStr">
        <is>
          <t>No</t>
        </is>
      </c>
      <c r="AR317">
        <f>HYPERLINK("http://catalog.hathitrust.org/Record/100479797","HathiTrust Record")</f>
        <v/>
      </c>
      <c r="AS317">
        <f>HYPERLINK("https://creighton-primo.hosted.exlibrisgroup.com/primo-explore/search?tab=default_tab&amp;search_scope=EVERYTHING&amp;vid=01CRU&amp;lang=en_US&amp;offset=0&amp;query=any,contains,991003030559702656","Catalog Record")</f>
        <v/>
      </c>
      <c r="AT317">
        <f>HYPERLINK("http://www.worldcat.org/oclc/593770","WorldCat Record")</f>
        <v/>
      </c>
      <c r="AU317" t="inlineStr">
        <is>
          <t>4451870054:eng</t>
        </is>
      </c>
      <c r="AV317" t="inlineStr">
        <is>
          <t>593770</t>
        </is>
      </c>
      <c r="AW317" t="inlineStr">
        <is>
          <t>991003030559702656</t>
        </is>
      </c>
      <c r="AX317" t="inlineStr">
        <is>
          <t>991003030559702656</t>
        </is>
      </c>
      <c r="AY317" t="inlineStr">
        <is>
          <t>2264953580002656</t>
        </is>
      </c>
      <c r="AZ317" t="inlineStr">
        <is>
          <t>BOOK</t>
        </is>
      </c>
      <c r="BC317" t="inlineStr">
        <is>
          <t>32285002344645</t>
        </is>
      </c>
      <c r="BD317" t="inlineStr">
        <is>
          <t>893692316</t>
        </is>
      </c>
    </row>
    <row r="318">
      <c r="A318" t="inlineStr">
        <is>
          <t>No</t>
        </is>
      </c>
      <c r="B318" t="inlineStr">
        <is>
          <t>DC251 .T14</t>
        </is>
      </c>
      <c r="C318" t="inlineStr">
        <is>
          <t>0                      DC 0251000T  14</t>
        </is>
      </c>
      <c r="D318" t="inlineStr">
        <is>
          <t>The French revolution, by Hippolyte Adolphe Taine ... tr. by John Durand.</t>
        </is>
      </c>
      <c r="E318" t="inlineStr">
        <is>
          <t>V. 3</t>
        </is>
      </c>
      <c r="F318" t="inlineStr">
        <is>
          <t>Yes</t>
        </is>
      </c>
      <c r="G318" t="inlineStr">
        <is>
          <t>1</t>
        </is>
      </c>
      <c r="H318" t="inlineStr">
        <is>
          <t>No</t>
        </is>
      </c>
      <c r="I318" t="inlineStr">
        <is>
          <t>No</t>
        </is>
      </c>
      <c r="J318" t="inlineStr">
        <is>
          <t>0</t>
        </is>
      </c>
      <c r="K318" t="inlineStr">
        <is>
          <t>Taine, Hippolyte, 1828-1893.</t>
        </is>
      </c>
      <c r="L318" t="inlineStr">
        <is>
          <t>New York, H. Holt and company, 1878-85.</t>
        </is>
      </c>
      <c r="M318" t="inlineStr">
        <is>
          <t>1878</t>
        </is>
      </c>
      <c r="O318" t="inlineStr">
        <is>
          <t>eng</t>
        </is>
      </c>
      <c r="P318" t="inlineStr">
        <is>
          <t>nyu</t>
        </is>
      </c>
      <c r="Q318" t="inlineStr">
        <is>
          <t>His Origins of contemporary France. [v.2-4]</t>
        </is>
      </c>
      <c r="R318" t="inlineStr">
        <is>
          <t xml:space="preserve">DC </t>
        </is>
      </c>
      <c r="S318" t="n">
        <v>2</v>
      </c>
      <c r="T318" t="n">
        <v>2</v>
      </c>
      <c r="U318" t="inlineStr">
        <is>
          <t>1998-04-15</t>
        </is>
      </c>
      <c r="V318" t="inlineStr">
        <is>
          <t>1998-04-15</t>
        </is>
      </c>
      <c r="W318" t="inlineStr">
        <is>
          <t>1996-11-13</t>
        </is>
      </c>
      <c r="X318" t="inlineStr">
        <is>
          <t>1996-11-13</t>
        </is>
      </c>
      <c r="Y318" t="n">
        <v>253</v>
      </c>
      <c r="Z318" t="n">
        <v>242</v>
      </c>
      <c r="AA318" t="n">
        <v>379</v>
      </c>
      <c r="AB318" t="n">
        <v>3</v>
      </c>
      <c r="AC318" t="n">
        <v>3</v>
      </c>
      <c r="AD318" t="n">
        <v>10</v>
      </c>
      <c r="AE318" t="n">
        <v>19</v>
      </c>
      <c r="AF318" t="n">
        <v>4</v>
      </c>
      <c r="AG318" t="n">
        <v>9</v>
      </c>
      <c r="AH318" t="n">
        <v>3</v>
      </c>
      <c r="AI318" t="n">
        <v>4</v>
      </c>
      <c r="AJ318" t="n">
        <v>5</v>
      </c>
      <c r="AK318" t="n">
        <v>8</v>
      </c>
      <c r="AL318" t="n">
        <v>2</v>
      </c>
      <c r="AM318" t="n">
        <v>2</v>
      </c>
      <c r="AN318" t="n">
        <v>0</v>
      </c>
      <c r="AO318" t="n">
        <v>1</v>
      </c>
      <c r="AP318" t="inlineStr">
        <is>
          <t>Yes</t>
        </is>
      </c>
      <c r="AQ318" t="inlineStr">
        <is>
          <t>No</t>
        </is>
      </c>
      <c r="AR318">
        <f>HYPERLINK("http://catalog.hathitrust.org/Record/100479797","HathiTrust Record")</f>
        <v/>
      </c>
      <c r="AS318">
        <f>HYPERLINK("https://creighton-primo.hosted.exlibrisgroup.com/primo-explore/search?tab=default_tab&amp;search_scope=EVERYTHING&amp;vid=01CRU&amp;lang=en_US&amp;offset=0&amp;query=any,contains,991003030559702656","Catalog Record")</f>
        <v/>
      </c>
      <c r="AT318">
        <f>HYPERLINK("http://www.worldcat.org/oclc/593770","WorldCat Record")</f>
        <v/>
      </c>
      <c r="AU318" t="inlineStr">
        <is>
          <t>4451870054:eng</t>
        </is>
      </c>
      <c r="AV318" t="inlineStr">
        <is>
          <t>593770</t>
        </is>
      </c>
      <c r="AW318" t="inlineStr">
        <is>
          <t>991003030559702656</t>
        </is>
      </c>
      <c r="AX318" t="inlineStr">
        <is>
          <t>991003030559702656</t>
        </is>
      </c>
      <c r="AY318" t="inlineStr">
        <is>
          <t>2264953580002656</t>
        </is>
      </c>
      <c r="AZ318" t="inlineStr">
        <is>
          <t>BOOK</t>
        </is>
      </c>
      <c r="BC318" t="inlineStr">
        <is>
          <t>32285002344660</t>
        </is>
      </c>
      <c r="BD318" t="inlineStr">
        <is>
          <t>893704832</t>
        </is>
      </c>
    </row>
    <row r="319">
      <c r="A319" t="inlineStr">
        <is>
          <t>No</t>
        </is>
      </c>
      <c r="B319" t="inlineStr">
        <is>
          <t>DC252 .M27 1986</t>
        </is>
      </c>
      <c r="C319" t="inlineStr">
        <is>
          <t>0                      DC 0252000M  27          1986</t>
        </is>
      </c>
      <c r="D319" t="inlineStr">
        <is>
          <t>France, 1815-1914 : the bourgeois century / Roger Magraw.</t>
        </is>
      </c>
      <c r="F319" t="inlineStr">
        <is>
          <t>No</t>
        </is>
      </c>
      <c r="G319" t="inlineStr">
        <is>
          <t>1</t>
        </is>
      </c>
      <c r="H319" t="inlineStr">
        <is>
          <t>No</t>
        </is>
      </c>
      <c r="I319" t="inlineStr">
        <is>
          <t>No</t>
        </is>
      </c>
      <c r="J319" t="inlineStr">
        <is>
          <t>0</t>
        </is>
      </c>
      <c r="K319" t="inlineStr">
        <is>
          <t>Magraw, Roger.</t>
        </is>
      </c>
      <c r="L319" t="inlineStr">
        <is>
          <t>New York : Oxford University Press, 1986, c1983.</t>
        </is>
      </c>
      <c r="M319" t="inlineStr">
        <is>
          <t>1983</t>
        </is>
      </c>
      <c r="O319" t="inlineStr">
        <is>
          <t>eng</t>
        </is>
      </c>
      <c r="P319" t="inlineStr">
        <is>
          <t>nyu</t>
        </is>
      </c>
      <c r="R319" t="inlineStr">
        <is>
          <t xml:space="preserve">DC </t>
        </is>
      </c>
      <c r="S319" t="n">
        <v>4</v>
      </c>
      <c r="T319" t="n">
        <v>4</v>
      </c>
      <c r="U319" t="inlineStr">
        <is>
          <t>1992-11-04</t>
        </is>
      </c>
      <c r="V319" t="inlineStr">
        <is>
          <t>1992-11-04</t>
        </is>
      </c>
      <c r="W319" t="inlineStr">
        <is>
          <t>1990-07-19</t>
        </is>
      </c>
      <c r="X319" t="inlineStr">
        <is>
          <t>1990-07-19</t>
        </is>
      </c>
      <c r="Y319" t="n">
        <v>545</v>
      </c>
      <c r="Z319" t="n">
        <v>499</v>
      </c>
      <c r="AA319" t="n">
        <v>510</v>
      </c>
      <c r="AB319" t="n">
        <v>1</v>
      </c>
      <c r="AC319" t="n">
        <v>1</v>
      </c>
      <c r="AD319" t="n">
        <v>25</v>
      </c>
      <c r="AE319" t="n">
        <v>25</v>
      </c>
      <c r="AF319" t="n">
        <v>10</v>
      </c>
      <c r="AG319" t="n">
        <v>10</v>
      </c>
      <c r="AH319" t="n">
        <v>9</v>
      </c>
      <c r="AI319" t="n">
        <v>9</v>
      </c>
      <c r="AJ319" t="n">
        <v>15</v>
      </c>
      <c r="AK319" t="n">
        <v>15</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HYPERLINK("https://creighton-primo.hosted.exlibrisgroup.com/primo-explore/search?tab=default_tab&amp;search_scope=EVERYTHING&amp;vid=01CRU&amp;lang=en_US&amp;offset=0&amp;query=any,contains,991000728809702656","Catalog Record")</f>
        <v/>
      </c>
      <c r="AT319">
        <f>HYPERLINK("http://www.worldcat.org/oclc/12721197","WorldCat Record")</f>
        <v/>
      </c>
      <c r="AU319" t="inlineStr">
        <is>
          <t>5508716:eng</t>
        </is>
      </c>
      <c r="AV319" t="inlineStr">
        <is>
          <t>12721197</t>
        </is>
      </c>
      <c r="AW319" t="inlineStr">
        <is>
          <t>991000728809702656</t>
        </is>
      </c>
      <c r="AX319" t="inlineStr">
        <is>
          <t>991000728809702656</t>
        </is>
      </c>
      <c r="AY319" t="inlineStr">
        <is>
          <t>2260390080002656</t>
        </is>
      </c>
      <c r="AZ319" t="inlineStr">
        <is>
          <t>BOOK</t>
        </is>
      </c>
      <c r="BB319" t="inlineStr">
        <is>
          <t>9780195205039</t>
        </is>
      </c>
      <c r="BC319" t="inlineStr">
        <is>
          <t>32285000239334</t>
        </is>
      </c>
      <c r="BD319" t="inlineStr">
        <is>
          <t>893803028</t>
        </is>
      </c>
    </row>
    <row r="320">
      <c r="A320" t="inlineStr">
        <is>
          <t>No</t>
        </is>
      </c>
      <c r="B320" t="inlineStr">
        <is>
          <t>DC252.7 .P67</t>
        </is>
      </c>
      <c r="C320" t="inlineStr">
        <is>
          <t>0                      DC 0252700P  67</t>
        </is>
      </c>
      <c r="D320" t="inlineStr">
        <is>
          <t>Army and revolution : France 1815-1848.</t>
        </is>
      </c>
      <c r="F320" t="inlineStr">
        <is>
          <t>No</t>
        </is>
      </c>
      <c r="G320" t="inlineStr">
        <is>
          <t>1</t>
        </is>
      </c>
      <c r="H320" t="inlineStr">
        <is>
          <t>No</t>
        </is>
      </c>
      <c r="I320" t="inlineStr">
        <is>
          <t>No</t>
        </is>
      </c>
      <c r="J320" t="inlineStr">
        <is>
          <t>0</t>
        </is>
      </c>
      <c r="K320" t="inlineStr">
        <is>
          <t>Porch, Douglas.</t>
        </is>
      </c>
      <c r="L320" t="inlineStr">
        <is>
          <t>London ; Boston : Routledge &amp; K. Paul, [1974]</t>
        </is>
      </c>
      <c r="M320" t="inlineStr">
        <is>
          <t>1974</t>
        </is>
      </c>
      <c r="O320" t="inlineStr">
        <is>
          <t>eng</t>
        </is>
      </c>
      <c r="P320" t="inlineStr">
        <is>
          <t>enk</t>
        </is>
      </c>
      <c r="R320" t="inlineStr">
        <is>
          <t xml:space="preserve">DC </t>
        </is>
      </c>
      <c r="S320" t="n">
        <v>3</v>
      </c>
      <c r="T320" t="n">
        <v>3</v>
      </c>
      <c r="U320" t="inlineStr">
        <is>
          <t>1996-01-22</t>
        </is>
      </c>
      <c r="V320" t="inlineStr">
        <is>
          <t>1996-01-22</t>
        </is>
      </c>
      <c r="W320" t="inlineStr">
        <is>
          <t>1993-04-22</t>
        </is>
      </c>
      <c r="X320" t="inlineStr">
        <is>
          <t>1993-04-22</t>
        </is>
      </c>
      <c r="Y320" t="n">
        <v>525</v>
      </c>
      <c r="Z320" t="n">
        <v>363</v>
      </c>
      <c r="AA320" t="n">
        <v>370</v>
      </c>
      <c r="AB320" t="n">
        <v>3</v>
      </c>
      <c r="AC320" t="n">
        <v>3</v>
      </c>
      <c r="AD320" t="n">
        <v>16</v>
      </c>
      <c r="AE320" t="n">
        <v>16</v>
      </c>
      <c r="AF320" t="n">
        <v>4</v>
      </c>
      <c r="AG320" t="n">
        <v>4</v>
      </c>
      <c r="AH320" t="n">
        <v>4</v>
      </c>
      <c r="AI320" t="n">
        <v>4</v>
      </c>
      <c r="AJ320" t="n">
        <v>11</v>
      </c>
      <c r="AK320" t="n">
        <v>11</v>
      </c>
      <c r="AL320" t="n">
        <v>2</v>
      </c>
      <c r="AM320" t="n">
        <v>2</v>
      </c>
      <c r="AN320" t="n">
        <v>0</v>
      </c>
      <c r="AO320" t="n">
        <v>0</v>
      </c>
      <c r="AP320" t="inlineStr">
        <is>
          <t>No</t>
        </is>
      </c>
      <c r="AQ320" t="inlineStr">
        <is>
          <t>Yes</t>
        </is>
      </c>
      <c r="AR320">
        <f>HYPERLINK("http://catalog.hathitrust.org/Record/001628004","HathiTrust Record")</f>
        <v/>
      </c>
      <c r="AS320">
        <f>HYPERLINK("https://creighton-primo.hosted.exlibrisgroup.com/primo-explore/search?tab=default_tab&amp;search_scope=EVERYTHING&amp;vid=01CRU&amp;lang=en_US&amp;offset=0&amp;query=any,contains,991004220019702656","Catalog Record")</f>
        <v/>
      </c>
      <c r="AT320">
        <f>HYPERLINK("http://www.worldcat.org/oclc/2709518","WorldCat Record")</f>
        <v/>
      </c>
      <c r="AU320" t="inlineStr">
        <is>
          <t>365353318:eng</t>
        </is>
      </c>
      <c r="AV320" t="inlineStr">
        <is>
          <t>2709518</t>
        </is>
      </c>
      <c r="AW320" t="inlineStr">
        <is>
          <t>991004220019702656</t>
        </is>
      </c>
      <c r="AX320" t="inlineStr">
        <is>
          <t>991004220019702656</t>
        </is>
      </c>
      <c r="AY320" t="inlineStr">
        <is>
          <t>2262095480002656</t>
        </is>
      </c>
      <c r="AZ320" t="inlineStr">
        <is>
          <t>BOOK</t>
        </is>
      </c>
      <c r="BB320" t="inlineStr">
        <is>
          <t>9780710074607</t>
        </is>
      </c>
      <c r="BC320" t="inlineStr">
        <is>
          <t>32285001622801</t>
        </is>
      </c>
      <c r="BD320" t="inlineStr">
        <is>
          <t>893888438</t>
        </is>
      </c>
    </row>
    <row r="321">
      <c r="A321" t="inlineStr">
        <is>
          <t>No</t>
        </is>
      </c>
      <c r="B321" t="inlineStr">
        <is>
          <t>DC255.T6 A4 1985</t>
        </is>
      </c>
      <c r="C321" t="inlineStr">
        <is>
          <t>0                      DC 0255000T  6                  A  4           1985</t>
        </is>
      </c>
      <c r="D321" t="inlineStr">
        <is>
          <t>Selected letters on politics and society / Alexis de Tocqueville ; edited by Roger Boesche ; translated by James Toupin and Roger Boesche.</t>
        </is>
      </c>
      <c r="F321" t="inlineStr">
        <is>
          <t>No</t>
        </is>
      </c>
      <c r="G321" t="inlineStr">
        <is>
          <t>1</t>
        </is>
      </c>
      <c r="H321" t="inlineStr">
        <is>
          <t>No</t>
        </is>
      </c>
      <c r="I321" t="inlineStr">
        <is>
          <t>No</t>
        </is>
      </c>
      <c r="J321" t="inlineStr">
        <is>
          <t>0</t>
        </is>
      </c>
      <c r="K321" t="inlineStr">
        <is>
          <t>Tocqueville, Alexis de, 1805-1859.</t>
        </is>
      </c>
      <c r="L321" t="inlineStr">
        <is>
          <t>Berkeley : University of California Press, c1985.</t>
        </is>
      </c>
      <c r="M321" t="inlineStr">
        <is>
          <t>1985</t>
        </is>
      </c>
      <c r="O321" t="inlineStr">
        <is>
          <t>eng</t>
        </is>
      </c>
      <c r="P321" t="inlineStr">
        <is>
          <t>cau</t>
        </is>
      </c>
      <c r="R321" t="inlineStr">
        <is>
          <t xml:space="preserve">DC </t>
        </is>
      </c>
      <c r="S321" t="n">
        <v>2</v>
      </c>
      <c r="T321" t="n">
        <v>2</v>
      </c>
      <c r="U321" t="inlineStr">
        <is>
          <t>1992-01-22</t>
        </is>
      </c>
      <c r="V321" t="inlineStr">
        <is>
          <t>1992-01-22</t>
        </is>
      </c>
      <c r="W321" t="inlineStr">
        <is>
          <t>1990-08-09</t>
        </is>
      </c>
      <c r="X321" t="inlineStr">
        <is>
          <t>1990-08-09</t>
        </is>
      </c>
      <c r="Y321" t="n">
        <v>848</v>
      </c>
      <c r="Z321" t="n">
        <v>741</v>
      </c>
      <c r="AA321" t="n">
        <v>745</v>
      </c>
      <c r="AB321" t="n">
        <v>2</v>
      </c>
      <c r="AC321" t="n">
        <v>2</v>
      </c>
      <c r="AD321" t="n">
        <v>27</v>
      </c>
      <c r="AE321" t="n">
        <v>27</v>
      </c>
      <c r="AF321" t="n">
        <v>8</v>
      </c>
      <c r="AG321" t="n">
        <v>8</v>
      </c>
      <c r="AH321" t="n">
        <v>7</v>
      </c>
      <c r="AI321" t="n">
        <v>7</v>
      </c>
      <c r="AJ321" t="n">
        <v>18</v>
      </c>
      <c r="AK321" t="n">
        <v>18</v>
      </c>
      <c r="AL321" t="n">
        <v>1</v>
      </c>
      <c r="AM321" t="n">
        <v>1</v>
      </c>
      <c r="AN321" t="n">
        <v>1</v>
      </c>
      <c r="AO321" t="n">
        <v>1</v>
      </c>
      <c r="AP321" t="inlineStr">
        <is>
          <t>No</t>
        </is>
      </c>
      <c r="AQ321" t="inlineStr">
        <is>
          <t>No</t>
        </is>
      </c>
      <c r="AS321">
        <f>HYPERLINK("https://creighton-primo.hosted.exlibrisgroup.com/primo-explore/search?tab=default_tab&amp;search_scope=EVERYTHING&amp;vid=01CRU&amp;lang=en_US&amp;offset=0&amp;query=any,contains,991000407799702656","Catalog Record")</f>
        <v/>
      </c>
      <c r="AT321">
        <f>HYPERLINK("http://www.worldcat.org/oclc/10696017","WorldCat Record")</f>
        <v/>
      </c>
      <c r="AU321" t="inlineStr">
        <is>
          <t>3439248:eng</t>
        </is>
      </c>
      <c r="AV321" t="inlineStr">
        <is>
          <t>10696017</t>
        </is>
      </c>
      <c r="AW321" t="inlineStr">
        <is>
          <t>991000407799702656</t>
        </is>
      </c>
      <c r="AX321" t="inlineStr">
        <is>
          <t>991000407799702656</t>
        </is>
      </c>
      <c r="AY321" t="inlineStr">
        <is>
          <t>2269102840002656</t>
        </is>
      </c>
      <c r="AZ321" t="inlineStr">
        <is>
          <t>BOOK</t>
        </is>
      </c>
      <c r="BB321" t="inlineStr">
        <is>
          <t>9780520050471</t>
        </is>
      </c>
      <c r="BC321" t="inlineStr">
        <is>
          <t>32285000272590</t>
        </is>
      </c>
      <c r="BD321" t="inlineStr">
        <is>
          <t>893231085</t>
        </is>
      </c>
    </row>
    <row r="322">
      <c r="A322" t="inlineStr">
        <is>
          <t>No</t>
        </is>
      </c>
      <c r="B322" t="inlineStr">
        <is>
          <t>DC256 .L82 1929a</t>
        </is>
      </c>
      <c r="C322" t="inlineStr">
        <is>
          <t>0                      DC 0256000L  82          1929a</t>
        </is>
      </c>
      <c r="D322" t="inlineStr">
        <is>
          <t>The restoration and the July monarchy, by J. Lucas-Dubreton. Translated from the French by E. F. Buckley.</t>
        </is>
      </c>
      <c r="F322" t="inlineStr">
        <is>
          <t>No</t>
        </is>
      </c>
      <c r="G322" t="inlineStr">
        <is>
          <t>1</t>
        </is>
      </c>
      <c r="H322" t="inlineStr">
        <is>
          <t>No</t>
        </is>
      </c>
      <c r="I322" t="inlineStr">
        <is>
          <t>No</t>
        </is>
      </c>
      <c r="J322" t="inlineStr">
        <is>
          <t>0</t>
        </is>
      </c>
      <c r="K322" t="inlineStr">
        <is>
          <t>Lucas-Dubreton, J. (Jean), 1883-1972.</t>
        </is>
      </c>
      <c r="L322" t="inlineStr">
        <is>
          <t>New York, G. P. Putnam's Sons, 1929.</t>
        </is>
      </c>
      <c r="M322" t="inlineStr">
        <is>
          <t>1929</t>
        </is>
      </c>
      <c r="O322" t="inlineStr">
        <is>
          <t>eng</t>
        </is>
      </c>
      <c r="P322" t="inlineStr">
        <is>
          <t>nyu</t>
        </is>
      </c>
      <c r="Q322" t="inlineStr">
        <is>
          <t>The national history of France</t>
        </is>
      </c>
      <c r="R322" t="inlineStr">
        <is>
          <t xml:space="preserve">DC </t>
        </is>
      </c>
      <c r="S322" t="n">
        <v>2</v>
      </c>
      <c r="T322" t="n">
        <v>2</v>
      </c>
      <c r="U322" t="inlineStr">
        <is>
          <t>1997-03-26</t>
        </is>
      </c>
      <c r="V322" t="inlineStr">
        <is>
          <t>1997-03-26</t>
        </is>
      </c>
      <c r="W322" t="inlineStr">
        <is>
          <t>1996-11-13</t>
        </is>
      </c>
      <c r="X322" t="inlineStr">
        <is>
          <t>1996-11-13</t>
        </is>
      </c>
      <c r="Y322" t="n">
        <v>235</v>
      </c>
      <c r="Z322" t="n">
        <v>212</v>
      </c>
      <c r="AA322" t="n">
        <v>483</v>
      </c>
      <c r="AB322" t="n">
        <v>4</v>
      </c>
      <c r="AC322" t="n">
        <v>5</v>
      </c>
      <c r="AD322" t="n">
        <v>17</v>
      </c>
      <c r="AE322" t="n">
        <v>36</v>
      </c>
      <c r="AF322" t="n">
        <v>6</v>
      </c>
      <c r="AG322" t="n">
        <v>12</v>
      </c>
      <c r="AH322" t="n">
        <v>3</v>
      </c>
      <c r="AI322" t="n">
        <v>11</v>
      </c>
      <c r="AJ322" t="n">
        <v>11</v>
      </c>
      <c r="AK322" t="n">
        <v>21</v>
      </c>
      <c r="AL322" t="n">
        <v>3</v>
      </c>
      <c r="AM322" t="n">
        <v>4</v>
      </c>
      <c r="AN322" t="n">
        <v>0</v>
      </c>
      <c r="AO322" t="n">
        <v>0</v>
      </c>
      <c r="AP322" t="inlineStr">
        <is>
          <t>No</t>
        </is>
      </c>
      <c r="AQ322" t="inlineStr">
        <is>
          <t>Yes</t>
        </is>
      </c>
      <c r="AR322">
        <f>HYPERLINK("http://catalog.hathitrust.org/Record/000647693","HathiTrust Record")</f>
        <v/>
      </c>
      <c r="AS322">
        <f>HYPERLINK("https://creighton-primo.hosted.exlibrisgroup.com/primo-explore/search?tab=default_tab&amp;search_scope=EVERYTHING&amp;vid=01CRU&amp;lang=en_US&amp;offset=0&amp;query=any,contains,991002738949702656","Catalog Record")</f>
        <v/>
      </c>
      <c r="AT322">
        <f>HYPERLINK("http://www.worldcat.org/oclc/420342","WorldCat Record")</f>
        <v/>
      </c>
      <c r="AU322" t="inlineStr">
        <is>
          <t>4159889083:eng</t>
        </is>
      </c>
      <c r="AV322" t="inlineStr">
        <is>
          <t>420342</t>
        </is>
      </c>
      <c r="AW322" t="inlineStr">
        <is>
          <t>991002738949702656</t>
        </is>
      </c>
      <c r="AX322" t="inlineStr">
        <is>
          <t>991002738949702656</t>
        </is>
      </c>
      <c r="AY322" t="inlineStr">
        <is>
          <t>2270662720002656</t>
        </is>
      </c>
      <c r="AZ322" t="inlineStr">
        <is>
          <t>BOOK</t>
        </is>
      </c>
      <c r="BC322" t="inlineStr">
        <is>
          <t>32285002344934</t>
        </is>
      </c>
      <c r="BD322" t="inlineStr">
        <is>
          <t>893523990</t>
        </is>
      </c>
    </row>
    <row r="323">
      <c r="A323" t="inlineStr">
        <is>
          <t>No</t>
        </is>
      </c>
      <c r="B323" t="inlineStr">
        <is>
          <t>DC261 .P56</t>
        </is>
      </c>
      <c r="C323" t="inlineStr">
        <is>
          <t>0                      DC 0261000P  56</t>
        </is>
      </c>
      <c r="D323" t="inlineStr">
        <is>
          <t>The French revolution of 1830 / by David H. Pinkney.</t>
        </is>
      </c>
      <c r="F323" t="inlineStr">
        <is>
          <t>No</t>
        </is>
      </c>
      <c r="G323" t="inlineStr">
        <is>
          <t>1</t>
        </is>
      </c>
      <c r="H323" t="inlineStr">
        <is>
          <t>No</t>
        </is>
      </c>
      <c r="I323" t="inlineStr">
        <is>
          <t>No</t>
        </is>
      </c>
      <c r="J323" t="inlineStr">
        <is>
          <t>0</t>
        </is>
      </c>
      <c r="K323" t="inlineStr">
        <is>
          <t>Pinkney, David H.</t>
        </is>
      </c>
      <c r="L323" t="inlineStr">
        <is>
          <t>[Princeton] N.J. : Princeton University Press, [1972]</t>
        </is>
      </c>
      <c r="M323" t="inlineStr">
        <is>
          <t>1972</t>
        </is>
      </c>
      <c r="O323" t="inlineStr">
        <is>
          <t>eng</t>
        </is>
      </c>
      <c r="P323" t="inlineStr">
        <is>
          <t>nju</t>
        </is>
      </c>
      <c r="R323" t="inlineStr">
        <is>
          <t xml:space="preserve">DC </t>
        </is>
      </c>
      <c r="S323" t="n">
        <v>3</v>
      </c>
      <c r="T323" t="n">
        <v>3</v>
      </c>
      <c r="U323" t="inlineStr">
        <is>
          <t>2008-12-12</t>
        </is>
      </c>
      <c r="V323" t="inlineStr">
        <is>
          <t>2008-12-12</t>
        </is>
      </c>
      <c r="W323" t="inlineStr">
        <is>
          <t>1992-12-09</t>
        </is>
      </c>
      <c r="X323" t="inlineStr">
        <is>
          <t>1992-12-09</t>
        </is>
      </c>
      <c r="Y323" t="n">
        <v>1039</v>
      </c>
      <c r="Z323" t="n">
        <v>858</v>
      </c>
      <c r="AA323" t="n">
        <v>1073</v>
      </c>
      <c r="AB323" t="n">
        <v>8</v>
      </c>
      <c r="AC323" t="n">
        <v>8</v>
      </c>
      <c r="AD323" t="n">
        <v>39</v>
      </c>
      <c r="AE323" t="n">
        <v>46</v>
      </c>
      <c r="AF323" t="n">
        <v>14</v>
      </c>
      <c r="AG323" t="n">
        <v>19</v>
      </c>
      <c r="AH323" t="n">
        <v>9</v>
      </c>
      <c r="AI323" t="n">
        <v>10</v>
      </c>
      <c r="AJ323" t="n">
        <v>20</v>
      </c>
      <c r="AK323" t="n">
        <v>23</v>
      </c>
      <c r="AL323" t="n">
        <v>7</v>
      </c>
      <c r="AM323" t="n">
        <v>7</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HYPERLINK("https://creighton-primo.hosted.exlibrisgroup.com/primo-explore/search?tab=default_tab&amp;search_scope=EVERYTHING&amp;vid=01CRU&amp;lang=en_US&amp;offset=0&amp;query=any,contains,991003016299702656","Catalog Record")</f>
        <v/>
      </c>
      <c r="AT323">
        <f>HYPERLINK("http://www.worldcat.org/oclc/581130","WorldCat Record")</f>
        <v/>
      </c>
      <c r="AU323" t="inlineStr">
        <is>
          <t>1730915:eng</t>
        </is>
      </c>
      <c r="AV323" t="inlineStr">
        <is>
          <t>581130</t>
        </is>
      </c>
      <c r="AW323" t="inlineStr">
        <is>
          <t>991003016299702656</t>
        </is>
      </c>
      <c r="AX323" t="inlineStr">
        <is>
          <t>991003016299702656</t>
        </is>
      </c>
      <c r="AY323" t="inlineStr">
        <is>
          <t>2271616820002656</t>
        </is>
      </c>
      <c r="AZ323" t="inlineStr">
        <is>
          <t>BOOK</t>
        </is>
      </c>
      <c r="BB323" t="inlineStr">
        <is>
          <t>9780691052021</t>
        </is>
      </c>
      <c r="BC323" t="inlineStr">
        <is>
          <t>32285001413680</t>
        </is>
      </c>
      <c r="BD323" t="inlineStr">
        <is>
          <t>893717223</t>
        </is>
      </c>
    </row>
    <row r="324">
      <c r="A324" t="inlineStr">
        <is>
          <t>No</t>
        </is>
      </c>
      <c r="B324" t="inlineStr">
        <is>
          <t>DC268 .G3</t>
        </is>
      </c>
      <c r="C324" t="inlineStr">
        <is>
          <t>0                      DC 0268000G  3</t>
        </is>
      </c>
      <c r="D324" t="inlineStr">
        <is>
          <t>Louis Philippe, King of the French, by Catherine I. Gavin...with four illustrations, three maps and a genealogical table.</t>
        </is>
      </c>
      <c r="F324" t="inlineStr">
        <is>
          <t>No</t>
        </is>
      </c>
      <c r="G324" t="inlineStr">
        <is>
          <t>1</t>
        </is>
      </c>
      <c r="H324" t="inlineStr">
        <is>
          <t>No</t>
        </is>
      </c>
      <c r="I324" t="inlineStr">
        <is>
          <t>No</t>
        </is>
      </c>
      <c r="J324" t="inlineStr">
        <is>
          <t>0</t>
        </is>
      </c>
      <c r="K324" t="inlineStr">
        <is>
          <t>Gavin, Catherine, 1907-1999.</t>
        </is>
      </c>
      <c r="L324" t="inlineStr">
        <is>
          <t>London, Methuen &amp; co. ltd. [1933]</t>
        </is>
      </c>
      <c r="M324" t="inlineStr">
        <is>
          <t>1933</t>
        </is>
      </c>
      <c r="O324" t="inlineStr">
        <is>
          <t>eng</t>
        </is>
      </c>
      <c r="P324" t="inlineStr">
        <is>
          <t>enk</t>
        </is>
      </c>
      <c r="R324" t="inlineStr">
        <is>
          <t xml:space="preserve">DC </t>
        </is>
      </c>
      <c r="S324" t="n">
        <v>1</v>
      </c>
      <c r="T324" t="n">
        <v>1</v>
      </c>
      <c r="U324" t="inlineStr">
        <is>
          <t>1997-03-26</t>
        </is>
      </c>
      <c r="V324" t="inlineStr">
        <is>
          <t>1997-03-26</t>
        </is>
      </c>
      <c r="W324" t="inlineStr">
        <is>
          <t>1996-11-13</t>
        </is>
      </c>
      <c r="X324" t="inlineStr">
        <is>
          <t>1996-11-13</t>
        </is>
      </c>
      <c r="Y324" t="n">
        <v>93</v>
      </c>
      <c r="Z324" t="n">
        <v>56</v>
      </c>
      <c r="AA324" t="n">
        <v>57</v>
      </c>
      <c r="AB324" t="n">
        <v>2</v>
      </c>
      <c r="AC324" t="n">
        <v>2</v>
      </c>
      <c r="AD324" t="n">
        <v>3</v>
      </c>
      <c r="AE324" t="n">
        <v>3</v>
      </c>
      <c r="AF324" t="n">
        <v>0</v>
      </c>
      <c r="AG324" t="n">
        <v>0</v>
      </c>
      <c r="AH324" t="n">
        <v>0</v>
      </c>
      <c r="AI324" t="n">
        <v>0</v>
      </c>
      <c r="AJ324" t="n">
        <v>2</v>
      </c>
      <c r="AK324" t="n">
        <v>2</v>
      </c>
      <c r="AL324" t="n">
        <v>1</v>
      </c>
      <c r="AM324" t="n">
        <v>1</v>
      </c>
      <c r="AN324" t="n">
        <v>0</v>
      </c>
      <c r="AO324" t="n">
        <v>0</v>
      </c>
      <c r="AP324" t="inlineStr">
        <is>
          <t>No</t>
        </is>
      </c>
      <c r="AQ324" t="inlineStr">
        <is>
          <t>No</t>
        </is>
      </c>
      <c r="AR324">
        <f>HYPERLINK("http://catalog.hathitrust.org/Record/000647458","HathiTrust Record")</f>
        <v/>
      </c>
      <c r="AS324">
        <f>HYPERLINK("https://creighton-primo.hosted.exlibrisgroup.com/primo-explore/search?tab=default_tab&amp;search_scope=EVERYTHING&amp;vid=01CRU&amp;lang=en_US&amp;offset=0&amp;query=any,contains,991004023749702656","Catalog Record")</f>
        <v/>
      </c>
      <c r="AT324">
        <f>HYPERLINK("http://www.worldcat.org/oclc/2129163","WorldCat Record")</f>
        <v/>
      </c>
      <c r="AU324" t="inlineStr">
        <is>
          <t>4156356:eng</t>
        </is>
      </c>
      <c r="AV324" t="inlineStr">
        <is>
          <t>2129163</t>
        </is>
      </c>
      <c r="AW324" t="inlineStr">
        <is>
          <t>991004023749702656</t>
        </is>
      </c>
      <c r="AX324" t="inlineStr">
        <is>
          <t>991004023749702656</t>
        </is>
      </c>
      <c r="AY324" t="inlineStr">
        <is>
          <t>2264796430002656</t>
        </is>
      </c>
      <c r="AZ324" t="inlineStr">
        <is>
          <t>BOOK</t>
        </is>
      </c>
      <c r="BC324" t="inlineStr">
        <is>
          <t>32285002345014</t>
        </is>
      </c>
      <c r="BD324" t="inlineStr">
        <is>
          <t>893611825</t>
        </is>
      </c>
    </row>
    <row r="325">
      <c r="A325" t="inlineStr">
        <is>
          <t>No</t>
        </is>
      </c>
      <c r="B325" t="inlineStr">
        <is>
          <t>DC269.T3 Z5 1963</t>
        </is>
      </c>
      <c r="C325" t="inlineStr">
        <is>
          <t>0                      DC 0269000T  3                  Z  5           1963</t>
        </is>
      </c>
      <c r="D325" t="inlineStr">
        <is>
          <t>The Duchess of Dino.</t>
        </is>
      </c>
      <c r="F325" t="inlineStr">
        <is>
          <t>No</t>
        </is>
      </c>
      <c r="G325" t="inlineStr">
        <is>
          <t>1</t>
        </is>
      </c>
      <c r="H325" t="inlineStr">
        <is>
          <t>No</t>
        </is>
      </c>
      <c r="I325" t="inlineStr">
        <is>
          <t>No</t>
        </is>
      </c>
      <c r="J325" t="inlineStr">
        <is>
          <t>0</t>
        </is>
      </c>
      <c r="K325" t="inlineStr">
        <is>
          <t>Ziegler, Philip.</t>
        </is>
      </c>
      <c r="L325" t="inlineStr">
        <is>
          <t>New York : John Day Co., [1963, c1962]</t>
        </is>
      </c>
      <c r="M325" t="inlineStr">
        <is>
          <t>1963</t>
        </is>
      </c>
      <c r="N325" t="inlineStr">
        <is>
          <t>[1st American ed.]</t>
        </is>
      </c>
      <c r="O325" t="inlineStr">
        <is>
          <t>eng</t>
        </is>
      </c>
      <c r="P325" t="inlineStr">
        <is>
          <t>nyu</t>
        </is>
      </c>
      <c r="R325" t="inlineStr">
        <is>
          <t xml:space="preserve">DC </t>
        </is>
      </c>
      <c r="S325" t="n">
        <v>1</v>
      </c>
      <c r="T325" t="n">
        <v>1</v>
      </c>
      <c r="U325" t="inlineStr">
        <is>
          <t>1996-07-09</t>
        </is>
      </c>
      <c r="V325" t="inlineStr">
        <is>
          <t>1996-07-09</t>
        </is>
      </c>
      <c r="W325" t="inlineStr">
        <is>
          <t>1992-04-24</t>
        </is>
      </c>
      <c r="X325" t="inlineStr">
        <is>
          <t>1992-04-24</t>
        </is>
      </c>
      <c r="Y325" t="n">
        <v>274</v>
      </c>
      <c r="Z325" t="n">
        <v>269</v>
      </c>
      <c r="AA325" t="n">
        <v>338</v>
      </c>
      <c r="AB325" t="n">
        <v>1</v>
      </c>
      <c r="AC325" t="n">
        <v>1</v>
      </c>
      <c r="AD325" t="n">
        <v>14</v>
      </c>
      <c r="AE325" t="n">
        <v>15</v>
      </c>
      <c r="AF325" t="n">
        <v>2</v>
      </c>
      <c r="AG325" t="n">
        <v>2</v>
      </c>
      <c r="AH325" t="n">
        <v>7</v>
      </c>
      <c r="AI325" t="n">
        <v>7</v>
      </c>
      <c r="AJ325" t="n">
        <v>10</v>
      </c>
      <c r="AK325" t="n">
        <v>11</v>
      </c>
      <c r="AL325" t="n">
        <v>0</v>
      </c>
      <c r="AM325" t="n">
        <v>0</v>
      </c>
      <c r="AN325" t="n">
        <v>0</v>
      </c>
      <c r="AO325" t="n">
        <v>0</v>
      </c>
      <c r="AP325" t="inlineStr">
        <is>
          <t>No</t>
        </is>
      </c>
      <c r="AQ325" t="inlineStr">
        <is>
          <t>Yes</t>
        </is>
      </c>
      <c r="AR325">
        <f>HYPERLINK("http://catalog.hathitrust.org/Record/006592240","HathiTrust Record")</f>
        <v/>
      </c>
      <c r="AS325">
        <f>HYPERLINK("https://creighton-primo.hosted.exlibrisgroup.com/primo-explore/search?tab=default_tab&amp;search_scope=EVERYTHING&amp;vid=01CRU&amp;lang=en_US&amp;offset=0&amp;query=any,contains,991002167659702656","Catalog Record")</f>
        <v/>
      </c>
      <c r="AT325">
        <f>HYPERLINK("http://www.worldcat.org/oclc/275800","WorldCat Record")</f>
        <v/>
      </c>
      <c r="AU325" t="inlineStr">
        <is>
          <t>1150942563:eng</t>
        </is>
      </c>
      <c r="AV325" t="inlineStr">
        <is>
          <t>275800</t>
        </is>
      </c>
      <c r="AW325" t="inlineStr">
        <is>
          <t>991002167659702656</t>
        </is>
      </c>
      <c r="AX325" t="inlineStr">
        <is>
          <t>991002167659702656</t>
        </is>
      </c>
      <c r="AY325" t="inlineStr">
        <is>
          <t>2263430680002656</t>
        </is>
      </c>
      <c r="AZ325" t="inlineStr">
        <is>
          <t>BOOK</t>
        </is>
      </c>
      <c r="BC325" t="inlineStr">
        <is>
          <t>32285001086841</t>
        </is>
      </c>
      <c r="BD325" t="inlineStr">
        <is>
          <t>893523270</t>
        </is>
      </c>
    </row>
    <row r="326">
      <c r="A326" t="inlineStr">
        <is>
          <t>No</t>
        </is>
      </c>
      <c r="B326" t="inlineStr">
        <is>
          <t>DC270 .A55</t>
        </is>
      </c>
      <c r="C326" t="inlineStr">
        <is>
          <t>0                      DC 0270000A  55</t>
        </is>
      </c>
      <c r="D326" t="inlineStr">
        <is>
          <t>Revolution and mass democracy; the Paris club movement in 1848 [by] Peter H. Amann.</t>
        </is>
      </c>
      <c r="F326" t="inlineStr">
        <is>
          <t>No</t>
        </is>
      </c>
      <c r="G326" t="inlineStr">
        <is>
          <t>1</t>
        </is>
      </c>
      <c r="H326" t="inlineStr">
        <is>
          <t>No</t>
        </is>
      </c>
      <c r="I326" t="inlineStr">
        <is>
          <t>No</t>
        </is>
      </c>
      <c r="J326" t="inlineStr">
        <is>
          <t>0</t>
        </is>
      </c>
      <c r="K326" t="inlineStr">
        <is>
          <t>Amann, Peter H., 1927-</t>
        </is>
      </c>
      <c r="L326" t="inlineStr">
        <is>
          <t>[Princeton] N.J., Princeton University Press [1975]</t>
        </is>
      </c>
      <c r="M326" t="inlineStr">
        <is>
          <t>1975</t>
        </is>
      </c>
      <c r="O326" t="inlineStr">
        <is>
          <t>eng</t>
        </is>
      </c>
      <c r="P326" t="inlineStr">
        <is>
          <t>nju</t>
        </is>
      </c>
      <c r="R326" t="inlineStr">
        <is>
          <t xml:space="preserve">DC </t>
        </is>
      </c>
      <c r="S326" t="n">
        <v>3</v>
      </c>
      <c r="T326" t="n">
        <v>3</v>
      </c>
      <c r="U326" t="inlineStr">
        <is>
          <t>2000-04-25</t>
        </is>
      </c>
      <c r="V326" t="inlineStr">
        <is>
          <t>2000-04-25</t>
        </is>
      </c>
      <c r="W326" t="inlineStr">
        <is>
          <t>1996-11-13</t>
        </is>
      </c>
      <c r="X326" t="inlineStr">
        <is>
          <t>1996-11-13</t>
        </is>
      </c>
      <c r="Y326" t="n">
        <v>689</v>
      </c>
      <c r="Z326" t="n">
        <v>525</v>
      </c>
      <c r="AA326" t="n">
        <v>721</v>
      </c>
      <c r="AB326" t="n">
        <v>5</v>
      </c>
      <c r="AC326" t="n">
        <v>7</v>
      </c>
      <c r="AD326" t="n">
        <v>27</v>
      </c>
      <c r="AE326" t="n">
        <v>35</v>
      </c>
      <c r="AF326" t="n">
        <v>7</v>
      </c>
      <c r="AG326" t="n">
        <v>14</v>
      </c>
      <c r="AH326" t="n">
        <v>8</v>
      </c>
      <c r="AI326" t="n">
        <v>9</v>
      </c>
      <c r="AJ326" t="n">
        <v>15</v>
      </c>
      <c r="AK326" t="n">
        <v>16</v>
      </c>
      <c r="AL326" t="n">
        <v>4</v>
      </c>
      <c r="AM326" t="n">
        <v>5</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HYPERLINK("https://creighton-primo.hosted.exlibrisgroup.com/primo-explore/search?tab=default_tab&amp;search_scope=EVERYTHING&amp;vid=01CRU&amp;lang=en_US&amp;offset=0&amp;query=any,contains,991003448159702656","Catalog Record")</f>
        <v/>
      </c>
      <c r="AT326">
        <f>HYPERLINK("http://www.worldcat.org/oclc/983945","WorldCat Record")</f>
        <v/>
      </c>
      <c r="AU326" t="inlineStr">
        <is>
          <t>803007993:eng</t>
        </is>
      </c>
      <c r="AV326" t="inlineStr">
        <is>
          <t>983945</t>
        </is>
      </c>
      <c r="AW326" t="inlineStr">
        <is>
          <t>991003448159702656</t>
        </is>
      </c>
      <c r="AX326" t="inlineStr">
        <is>
          <t>991003448159702656</t>
        </is>
      </c>
      <c r="AY326" t="inlineStr">
        <is>
          <t>2272596320002656</t>
        </is>
      </c>
      <c r="AZ326" t="inlineStr">
        <is>
          <t>BOOK</t>
        </is>
      </c>
      <c r="BB326" t="inlineStr">
        <is>
          <t>9780691052236</t>
        </is>
      </c>
      <c r="BC326" t="inlineStr">
        <is>
          <t>32285002345063</t>
        </is>
      </c>
      <c r="BD326" t="inlineStr">
        <is>
          <t>893868412</t>
        </is>
      </c>
    </row>
    <row r="327">
      <c r="A327" t="inlineStr">
        <is>
          <t>No</t>
        </is>
      </c>
      <c r="B327" t="inlineStr">
        <is>
          <t>DC270 .B5513 1971</t>
        </is>
      </c>
      <c r="C327" t="inlineStr">
        <is>
          <t>0                      DC 0270000B  5513        1971</t>
        </is>
      </c>
      <c r="D327" t="inlineStr">
        <is>
          <t>1848, historical revelations, inscribed to Lord Normanby.</t>
        </is>
      </c>
      <c r="F327" t="inlineStr">
        <is>
          <t>No</t>
        </is>
      </c>
      <c r="G327" t="inlineStr">
        <is>
          <t>1</t>
        </is>
      </c>
      <c r="H327" t="inlineStr">
        <is>
          <t>No</t>
        </is>
      </c>
      <c r="I327" t="inlineStr">
        <is>
          <t>No</t>
        </is>
      </c>
      <c r="J327" t="inlineStr">
        <is>
          <t>0</t>
        </is>
      </c>
      <c r="K327" t="inlineStr">
        <is>
          <t>Blanc, Louis, 1811-1882.</t>
        </is>
      </c>
      <c r="L327" t="inlineStr">
        <is>
          <t>New York, H. Fertig, 1971.</t>
        </is>
      </c>
      <c r="M327" t="inlineStr">
        <is>
          <t>1971</t>
        </is>
      </c>
      <c r="O327" t="inlineStr">
        <is>
          <t>eng</t>
        </is>
      </c>
      <c r="P327" t="inlineStr">
        <is>
          <t>nyu</t>
        </is>
      </c>
      <c r="R327" t="inlineStr">
        <is>
          <t xml:space="preserve">DC </t>
        </is>
      </c>
      <c r="S327" t="n">
        <v>5</v>
      </c>
      <c r="T327" t="n">
        <v>5</v>
      </c>
      <c r="U327" t="inlineStr">
        <is>
          <t>2000-04-14</t>
        </is>
      </c>
      <c r="V327" t="inlineStr">
        <is>
          <t>2000-04-14</t>
        </is>
      </c>
      <c r="W327" t="inlineStr">
        <is>
          <t>1996-11-21</t>
        </is>
      </c>
      <c r="X327" t="inlineStr">
        <is>
          <t>1996-11-21</t>
        </is>
      </c>
      <c r="Y327" t="n">
        <v>321</v>
      </c>
      <c r="Z327" t="n">
        <v>295</v>
      </c>
      <c r="AA327" t="n">
        <v>298</v>
      </c>
      <c r="AB327" t="n">
        <v>2</v>
      </c>
      <c r="AC327" t="n">
        <v>2</v>
      </c>
      <c r="AD327" t="n">
        <v>10</v>
      </c>
      <c r="AE327" t="n">
        <v>10</v>
      </c>
      <c r="AF327" t="n">
        <v>1</v>
      </c>
      <c r="AG327" t="n">
        <v>1</v>
      </c>
      <c r="AH327" t="n">
        <v>4</v>
      </c>
      <c r="AI327" t="n">
        <v>4</v>
      </c>
      <c r="AJ327" t="n">
        <v>7</v>
      </c>
      <c r="AK327" t="n">
        <v>7</v>
      </c>
      <c r="AL327" t="n">
        <v>1</v>
      </c>
      <c r="AM327" t="n">
        <v>1</v>
      </c>
      <c r="AN327" t="n">
        <v>0</v>
      </c>
      <c r="AO327" t="n">
        <v>0</v>
      </c>
      <c r="AP327" t="inlineStr">
        <is>
          <t>No</t>
        </is>
      </c>
      <c r="AQ327" t="inlineStr">
        <is>
          <t>Yes</t>
        </is>
      </c>
      <c r="AR327">
        <f>HYPERLINK("http://catalog.hathitrust.org/Record/004406484","HathiTrust Record")</f>
        <v/>
      </c>
      <c r="AS327">
        <f>HYPERLINK("https://creighton-primo.hosted.exlibrisgroup.com/primo-explore/search?tab=default_tab&amp;search_scope=EVERYTHING&amp;vid=01CRU&amp;lang=en_US&amp;offset=0&amp;query=any,contains,991000815019702656","Catalog Record")</f>
        <v/>
      </c>
      <c r="AT327">
        <f>HYPERLINK("http://www.worldcat.org/oclc/142136","WorldCat Record")</f>
        <v/>
      </c>
      <c r="AU327" t="inlineStr">
        <is>
          <t>5551776226:eng</t>
        </is>
      </c>
      <c r="AV327" t="inlineStr">
        <is>
          <t>142136</t>
        </is>
      </c>
      <c r="AW327" t="inlineStr">
        <is>
          <t>991000815019702656</t>
        </is>
      </c>
      <c r="AX327" t="inlineStr">
        <is>
          <t>991000815019702656</t>
        </is>
      </c>
      <c r="AY327" t="inlineStr">
        <is>
          <t>2255124820002656</t>
        </is>
      </c>
      <c r="AZ327" t="inlineStr">
        <is>
          <t>BOOK</t>
        </is>
      </c>
      <c r="BC327" t="inlineStr">
        <is>
          <t>32285002346343</t>
        </is>
      </c>
      <c r="BD327" t="inlineStr">
        <is>
          <t>893243613</t>
        </is>
      </c>
    </row>
    <row r="328">
      <c r="A328" t="inlineStr">
        <is>
          <t>No</t>
        </is>
      </c>
      <c r="B328" t="inlineStr">
        <is>
          <t>DC270 .D853</t>
        </is>
      </c>
      <c r="C328" t="inlineStr">
        <is>
          <t>0                      DC 0270000D  853</t>
        </is>
      </c>
      <c r="D328" t="inlineStr">
        <is>
          <t>1848, the making of a revolution. Translated by Anne Carter.</t>
        </is>
      </c>
      <c r="F328" t="inlineStr">
        <is>
          <t>No</t>
        </is>
      </c>
      <c r="G328" t="inlineStr">
        <is>
          <t>1</t>
        </is>
      </c>
      <c r="H328" t="inlineStr">
        <is>
          <t>No</t>
        </is>
      </c>
      <c r="I328" t="inlineStr">
        <is>
          <t>No</t>
        </is>
      </c>
      <c r="J328" t="inlineStr">
        <is>
          <t>0</t>
        </is>
      </c>
      <c r="K328" t="inlineStr">
        <is>
          <t>Duveau, Georges, 1903-1958.</t>
        </is>
      </c>
      <c r="L328" t="inlineStr">
        <is>
          <t>New York, Pantheon Books [1967]</t>
        </is>
      </c>
      <c r="M328" t="inlineStr">
        <is>
          <t>1967</t>
        </is>
      </c>
      <c r="O328" t="inlineStr">
        <is>
          <t>eng</t>
        </is>
      </c>
      <c r="P328" t="inlineStr">
        <is>
          <t>nyu</t>
        </is>
      </c>
      <c r="R328" t="inlineStr">
        <is>
          <t xml:space="preserve">DC </t>
        </is>
      </c>
      <c r="S328" t="n">
        <v>5</v>
      </c>
      <c r="T328" t="n">
        <v>5</v>
      </c>
      <c r="U328" t="inlineStr">
        <is>
          <t>2000-04-14</t>
        </is>
      </c>
      <c r="V328" t="inlineStr">
        <is>
          <t>2000-04-14</t>
        </is>
      </c>
      <c r="W328" t="inlineStr">
        <is>
          <t>1997-06-23</t>
        </is>
      </c>
      <c r="X328" t="inlineStr">
        <is>
          <t>1997-06-23</t>
        </is>
      </c>
      <c r="Y328" t="n">
        <v>746</v>
      </c>
      <c r="Z328" t="n">
        <v>695</v>
      </c>
      <c r="AA328" t="n">
        <v>955</v>
      </c>
      <c r="AB328" t="n">
        <v>4</v>
      </c>
      <c r="AC328" t="n">
        <v>6</v>
      </c>
      <c r="AD328" t="n">
        <v>26</v>
      </c>
      <c r="AE328" t="n">
        <v>36</v>
      </c>
      <c r="AF328" t="n">
        <v>12</v>
      </c>
      <c r="AG328" t="n">
        <v>16</v>
      </c>
      <c r="AH328" t="n">
        <v>3</v>
      </c>
      <c r="AI328" t="n">
        <v>6</v>
      </c>
      <c r="AJ328" t="n">
        <v>14</v>
      </c>
      <c r="AK328" t="n">
        <v>19</v>
      </c>
      <c r="AL328" t="n">
        <v>3</v>
      </c>
      <c r="AM328" t="n">
        <v>5</v>
      </c>
      <c r="AN328" t="n">
        <v>0</v>
      </c>
      <c r="AO328" t="n">
        <v>0</v>
      </c>
      <c r="AP328" t="inlineStr">
        <is>
          <t>No</t>
        </is>
      </c>
      <c r="AQ328" t="inlineStr">
        <is>
          <t>Yes</t>
        </is>
      </c>
      <c r="AR328">
        <f>HYPERLINK("http://catalog.hathitrust.org/Record/000645488","HathiTrust Record")</f>
        <v/>
      </c>
      <c r="AS328">
        <f>HYPERLINK("https://creighton-primo.hosted.exlibrisgroup.com/primo-explore/search?tab=default_tab&amp;search_scope=EVERYTHING&amp;vid=01CRU&amp;lang=en_US&amp;offset=0&amp;query=any,contains,991002728909702656","Catalog Record")</f>
        <v/>
      </c>
      <c r="AT328">
        <f>HYPERLINK("http://www.worldcat.org/oclc/415226","WorldCat Record")</f>
        <v/>
      </c>
      <c r="AU328" t="inlineStr">
        <is>
          <t>1473909:eng</t>
        </is>
      </c>
      <c r="AV328" t="inlineStr">
        <is>
          <t>415226</t>
        </is>
      </c>
      <c r="AW328" t="inlineStr">
        <is>
          <t>991002728909702656</t>
        </is>
      </c>
      <c r="AX328" t="inlineStr">
        <is>
          <t>991002728909702656</t>
        </is>
      </c>
      <c r="AY328" t="inlineStr">
        <is>
          <t>2266968510002656</t>
        </is>
      </c>
      <c r="AZ328" t="inlineStr">
        <is>
          <t>BOOK</t>
        </is>
      </c>
      <c r="BC328" t="inlineStr">
        <is>
          <t>32285002829074</t>
        </is>
      </c>
      <c r="BD328" t="inlineStr">
        <is>
          <t>893798933</t>
        </is>
      </c>
    </row>
    <row r="329">
      <c r="A329" t="inlineStr">
        <is>
          <t>No</t>
        </is>
      </c>
      <c r="B329" t="inlineStr">
        <is>
          <t>DC270 .L21 1851</t>
        </is>
      </c>
      <c r="C329" t="inlineStr">
        <is>
          <t>0                      DC 0270000L  21          1851</t>
        </is>
      </c>
      <c r="D329" t="inlineStr">
        <is>
          <t>History of the French revolution of 1848 / By A. de Lamartine ; translated by Francis A. Durivage and William S. Chase.</t>
        </is>
      </c>
      <c r="F329" t="inlineStr">
        <is>
          <t>No</t>
        </is>
      </c>
      <c r="G329" t="inlineStr">
        <is>
          <t>1</t>
        </is>
      </c>
      <c r="H329" t="inlineStr">
        <is>
          <t>No</t>
        </is>
      </c>
      <c r="I329" t="inlineStr">
        <is>
          <t>No</t>
        </is>
      </c>
      <c r="J329" t="inlineStr">
        <is>
          <t>0</t>
        </is>
      </c>
      <c r="K329" t="inlineStr">
        <is>
          <t>Lamartine, Alphonse de, 1790-1869.</t>
        </is>
      </c>
      <c r="L329" t="inlineStr">
        <is>
          <t>Boston : Phillips, Sampson &amp; Company, 1851, c1849.</t>
        </is>
      </c>
      <c r="M329" t="inlineStr">
        <is>
          <t>1851</t>
        </is>
      </c>
      <c r="N329" t="inlineStr">
        <is>
          <t>1st American ed.</t>
        </is>
      </c>
      <c r="O329" t="inlineStr">
        <is>
          <t>eng</t>
        </is>
      </c>
      <c r="P329" t="inlineStr">
        <is>
          <t>mau</t>
        </is>
      </c>
      <c r="R329" t="inlineStr">
        <is>
          <t xml:space="preserve">DC </t>
        </is>
      </c>
      <c r="S329" t="n">
        <v>3</v>
      </c>
      <c r="T329" t="n">
        <v>3</v>
      </c>
      <c r="U329" t="inlineStr">
        <is>
          <t>2000-04-25</t>
        </is>
      </c>
      <c r="V329" t="inlineStr">
        <is>
          <t>2000-04-25</t>
        </is>
      </c>
      <c r="W329" t="inlineStr">
        <is>
          <t>1996-05-15</t>
        </is>
      </c>
      <c r="X329" t="inlineStr">
        <is>
          <t>1996-05-15</t>
        </is>
      </c>
      <c r="Y329" t="n">
        <v>33</v>
      </c>
      <c r="Z329" t="n">
        <v>30</v>
      </c>
      <c r="AA329" t="n">
        <v>426</v>
      </c>
      <c r="AB329" t="n">
        <v>1</v>
      </c>
      <c r="AC329" t="n">
        <v>5</v>
      </c>
      <c r="AD329" t="n">
        <v>2</v>
      </c>
      <c r="AE329" t="n">
        <v>26</v>
      </c>
      <c r="AF329" t="n">
        <v>1</v>
      </c>
      <c r="AG329" t="n">
        <v>7</v>
      </c>
      <c r="AH329" t="n">
        <v>0</v>
      </c>
      <c r="AI329" t="n">
        <v>7</v>
      </c>
      <c r="AJ329" t="n">
        <v>1</v>
      </c>
      <c r="AK329" t="n">
        <v>14</v>
      </c>
      <c r="AL329" t="n">
        <v>0</v>
      </c>
      <c r="AM329" t="n">
        <v>4</v>
      </c>
      <c r="AN329" t="n">
        <v>0</v>
      </c>
      <c r="AO329" t="n">
        <v>0</v>
      </c>
      <c r="AP329" t="inlineStr">
        <is>
          <t>Yes</t>
        </is>
      </c>
      <c r="AQ329" t="inlineStr">
        <is>
          <t>No</t>
        </is>
      </c>
      <c r="AR329">
        <f>HYPERLINK("http://catalog.hathitrust.org/Record/008720330","HathiTrust Record")</f>
        <v/>
      </c>
      <c r="AS329">
        <f>HYPERLINK("https://creighton-primo.hosted.exlibrisgroup.com/primo-explore/search?tab=default_tab&amp;search_scope=EVERYTHING&amp;vid=01CRU&amp;lang=en_US&amp;offset=0&amp;query=any,contains,991004978249702656","Catalog Record")</f>
        <v/>
      </c>
      <c r="AT329">
        <f>HYPERLINK("http://www.worldcat.org/oclc/6416891","WorldCat Record")</f>
        <v/>
      </c>
      <c r="AU329" t="inlineStr">
        <is>
          <t>1400053:eng</t>
        </is>
      </c>
      <c r="AV329" t="inlineStr">
        <is>
          <t>6416891</t>
        </is>
      </c>
      <c r="AW329" t="inlineStr">
        <is>
          <t>991004978249702656</t>
        </is>
      </c>
      <c r="AX329" t="inlineStr">
        <is>
          <t>991004978249702656</t>
        </is>
      </c>
      <c r="AY329" t="inlineStr">
        <is>
          <t>2266127750002656</t>
        </is>
      </c>
      <c r="AZ329" t="inlineStr">
        <is>
          <t>BOOK</t>
        </is>
      </c>
      <c r="BC329" t="inlineStr">
        <is>
          <t>32285002163854</t>
        </is>
      </c>
      <c r="BD329" t="inlineStr">
        <is>
          <t>893883173</t>
        </is>
      </c>
    </row>
    <row r="330">
      <c r="A330" t="inlineStr">
        <is>
          <t>No</t>
        </is>
      </c>
      <c r="B330" t="inlineStr">
        <is>
          <t>DC270 .R48</t>
        </is>
      </c>
      <c r="C330" t="inlineStr">
        <is>
          <t>0                      DC 0270000R  48</t>
        </is>
      </c>
      <c r="D330" t="inlineStr">
        <is>
          <t>Revolution and reaction : 1848 and the Second French Republic / edited by Roger Price.</t>
        </is>
      </c>
      <c r="F330" t="inlineStr">
        <is>
          <t>No</t>
        </is>
      </c>
      <c r="G330" t="inlineStr">
        <is>
          <t>1</t>
        </is>
      </c>
      <c r="H330" t="inlineStr">
        <is>
          <t>No</t>
        </is>
      </c>
      <c r="I330" t="inlineStr">
        <is>
          <t>No</t>
        </is>
      </c>
      <c r="J330" t="inlineStr">
        <is>
          <t>0</t>
        </is>
      </c>
      <c r="L330" t="inlineStr">
        <is>
          <t>London : C. Helm ; New York : Barnes &amp; Noble Books, 1975.</t>
        </is>
      </c>
      <c r="M330" t="inlineStr">
        <is>
          <t>1975</t>
        </is>
      </c>
      <c r="O330" t="inlineStr">
        <is>
          <t>eng</t>
        </is>
      </c>
      <c r="P330" t="inlineStr">
        <is>
          <t>enk</t>
        </is>
      </c>
      <c r="R330" t="inlineStr">
        <is>
          <t xml:space="preserve">DC </t>
        </is>
      </c>
      <c r="S330" t="n">
        <v>14</v>
      </c>
      <c r="T330" t="n">
        <v>14</v>
      </c>
      <c r="U330" t="inlineStr">
        <is>
          <t>2005-01-21</t>
        </is>
      </c>
      <c r="V330" t="inlineStr">
        <is>
          <t>2005-01-21</t>
        </is>
      </c>
      <c r="W330" t="inlineStr">
        <is>
          <t>1996-11-13</t>
        </is>
      </c>
      <c r="X330" t="inlineStr">
        <is>
          <t>1996-11-13</t>
        </is>
      </c>
      <c r="Y330" t="n">
        <v>503</v>
      </c>
      <c r="Z330" t="n">
        <v>365</v>
      </c>
      <c r="AA330" t="n">
        <v>370</v>
      </c>
      <c r="AB330" t="n">
        <v>6</v>
      </c>
      <c r="AC330" t="n">
        <v>6</v>
      </c>
      <c r="AD330" t="n">
        <v>20</v>
      </c>
      <c r="AE330" t="n">
        <v>20</v>
      </c>
      <c r="AF330" t="n">
        <v>6</v>
      </c>
      <c r="AG330" t="n">
        <v>6</v>
      </c>
      <c r="AH330" t="n">
        <v>5</v>
      </c>
      <c r="AI330" t="n">
        <v>5</v>
      </c>
      <c r="AJ330" t="n">
        <v>12</v>
      </c>
      <c r="AK330" t="n">
        <v>12</v>
      </c>
      <c r="AL330" t="n">
        <v>5</v>
      </c>
      <c r="AM330" t="n">
        <v>5</v>
      </c>
      <c r="AN330" t="n">
        <v>0</v>
      </c>
      <c r="AO330" t="n">
        <v>0</v>
      </c>
      <c r="AP330" t="inlineStr">
        <is>
          <t>No</t>
        </is>
      </c>
      <c r="AQ330" t="inlineStr">
        <is>
          <t>Yes</t>
        </is>
      </c>
      <c r="AR330">
        <f>HYPERLINK("http://catalog.hathitrust.org/Record/000687168","HathiTrust Record")</f>
        <v/>
      </c>
      <c r="AS330">
        <f>HYPERLINK("https://creighton-primo.hosted.exlibrisgroup.com/primo-explore/search?tab=default_tab&amp;search_scope=EVERYTHING&amp;vid=01CRU&amp;lang=en_US&amp;offset=0&amp;query=any,contains,991003989549702656","Catalog Record")</f>
        <v/>
      </c>
      <c r="AT330">
        <f>HYPERLINK("http://www.worldcat.org/oclc/2040070","WorldCat Record")</f>
        <v/>
      </c>
      <c r="AU330" t="inlineStr">
        <is>
          <t>877633899:eng</t>
        </is>
      </c>
      <c r="AV330" t="inlineStr">
        <is>
          <t>2040070</t>
        </is>
      </c>
      <c r="AW330" t="inlineStr">
        <is>
          <t>991003989549702656</t>
        </is>
      </c>
      <c r="AX330" t="inlineStr">
        <is>
          <t>991003989549702656</t>
        </is>
      </c>
      <c r="AY330" t="inlineStr">
        <is>
          <t>2269890280002656</t>
        </is>
      </c>
      <c r="AZ330" t="inlineStr">
        <is>
          <t>BOOK</t>
        </is>
      </c>
      <c r="BB330" t="inlineStr">
        <is>
          <t>9780064957205</t>
        </is>
      </c>
      <c r="BC330" t="inlineStr">
        <is>
          <t>32285002345089</t>
        </is>
      </c>
      <c r="BD330" t="inlineStr">
        <is>
          <t>893599288</t>
        </is>
      </c>
    </row>
    <row r="331">
      <c r="A331" t="inlineStr">
        <is>
          <t>No</t>
        </is>
      </c>
      <c r="B331" t="inlineStr">
        <is>
          <t>DC270 .T652 1959</t>
        </is>
      </c>
      <c r="C331" t="inlineStr">
        <is>
          <t>0                      DC 0270000T  652         1959</t>
        </is>
      </c>
      <c r="D331" t="inlineStr">
        <is>
          <t>Recollections / translated by Alexander Teixeira de Mattos; edited by J.P. Mayer.</t>
        </is>
      </c>
      <c r="F331" t="inlineStr">
        <is>
          <t>No</t>
        </is>
      </c>
      <c r="G331" t="inlineStr">
        <is>
          <t>1</t>
        </is>
      </c>
      <c r="H331" t="inlineStr">
        <is>
          <t>No</t>
        </is>
      </c>
      <c r="I331" t="inlineStr">
        <is>
          <t>No</t>
        </is>
      </c>
      <c r="J331" t="inlineStr">
        <is>
          <t>0</t>
        </is>
      </c>
      <c r="K331" t="inlineStr">
        <is>
          <t>Tocqueville, Alexis de, 1805-1859.</t>
        </is>
      </c>
      <c r="L331" t="inlineStr">
        <is>
          <t>New York : Meridian Books, [1959]</t>
        </is>
      </c>
      <c r="M331" t="inlineStr">
        <is>
          <t>1959</t>
        </is>
      </c>
      <c r="O331" t="inlineStr">
        <is>
          <t>eng</t>
        </is>
      </c>
      <c r="P331" t="inlineStr">
        <is>
          <t xml:space="preserve">xx </t>
        </is>
      </c>
      <c r="Q331" t="inlineStr">
        <is>
          <t>Meridian books ; M82</t>
        </is>
      </c>
      <c r="R331" t="inlineStr">
        <is>
          <t xml:space="preserve">DC </t>
        </is>
      </c>
      <c r="S331" t="n">
        <v>3</v>
      </c>
      <c r="T331" t="n">
        <v>3</v>
      </c>
      <c r="U331" t="inlineStr">
        <is>
          <t>1996-10-27</t>
        </is>
      </c>
      <c r="V331" t="inlineStr">
        <is>
          <t>1996-10-27</t>
        </is>
      </c>
      <c r="W331" t="inlineStr">
        <is>
          <t>1992-03-23</t>
        </is>
      </c>
      <c r="X331" t="inlineStr">
        <is>
          <t>1992-03-23</t>
        </is>
      </c>
      <c r="Y331" t="n">
        <v>176</v>
      </c>
      <c r="Z331" t="n">
        <v>149</v>
      </c>
      <c r="AA331" t="n">
        <v>973</v>
      </c>
      <c r="AB331" t="n">
        <v>2</v>
      </c>
      <c r="AC331" t="n">
        <v>9</v>
      </c>
      <c r="AD331" t="n">
        <v>9</v>
      </c>
      <c r="AE331" t="n">
        <v>46</v>
      </c>
      <c r="AF331" t="n">
        <v>5</v>
      </c>
      <c r="AG331" t="n">
        <v>16</v>
      </c>
      <c r="AH331" t="n">
        <v>3</v>
      </c>
      <c r="AI331" t="n">
        <v>8</v>
      </c>
      <c r="AJ331" t="n">
        <v>5</v>
      </c>
      <c r="AK331" t="n">
        <v>24</v>
      </c>
      <c r="AL331" t="n">
        <v>1</v>
      </c>
      <c r="AM331" t="n">
        <v>8</v>
      </c>
      <c r="AN331" t="n">
        <v>0</v>
      </c>
      <c r="AO331" t="n">
        <v>1</v>
      </c>
      <c r="AP331" t="inlineStr">
        <is>
          <t>No</t>
        </is>
      </c>
      <c r="AQ331" t="inlineStr">
        <is>
          <t>No</t>
        </is>
      </c>
      <c r="AS331">
        <f>HYPERLINK("https://creighton-primo.hosted.exlibrisgroup.com/primo-explore/search?tab=default_tab&amp;search_scope=EVERYTHING&amp;vid=01CRU&amp;lang=en_US&amp;offset=0&amp;query=any,contains,991003561389702656","Catalog Record")</f>
        <v/>
      </c>
      <c r="AT331">
        <f>HYPERLINK("http://www.worldcat.org/oclc/1132010","WorldCat Record")</f>
        <v/>
      </c>
      <c r="AU331" t="inlineStr">
        <is>
          <t>4915445806:eng</t>
        </is>
      </c>
      <c r="AV331" t="inlineStr">
        <is>
          <t>1132010</t>
        </is>
      </c>
      <c r="AW331" t="inlineStr">
        <is>
          <t>991003561389702656</t>
        </is>
      </c>
      <c r="AX331" t="inlineStr">
        <is>
          <t>991003561389702656</t>
        </is>
      </c>
      <c r="AY331" t="inlineStr">
        <is>
          <t>2264515490002656</t>
        </is>
      </c>
      <c r="AZ331" t="inlineStr">
        <is>
          <t>BOOK</t>
        </is>
      </c>
      <c r="BC331" t="inlineStr">
        <is>
          <t>32285001026441</t>
        </is>
      </c>
      <c r="BD331" t="inlineStr">
        <is>
          <t>893234293</t>
        </is>
      </c>
    </row>
    <row r="332">
      <c r="A332" t="inlineStr">
        <is>
          <t>No</t>
        </is>
      </c>
      <c r="B332" t="inlineStr">
        <is>
          <t>DC273.6 .J46</t>
        </is>
      </c>
      <c r="C332" t="inlineStr">
        <is>
          <t>0                      DC 0273600J  46</t>
        </is>
      </c>
      <c r="D332" t="inlineStr">
        <is>
          <t>France and Europe in 1848: a study of French foreign affairs in time of crisis, [by] Lawrence C. Jennings.</t>
        </is>
      </c>
      <c r="F332" t="inlineStr">
        <is>
          <t>No</t>
        </is>
      </c>
      <c r="G332" t="inlineStr">
        <is>
          <t>1</t>
        </is>
      </c>
      <c r="H332" t="inlineStr">
        <is>
          <t>No</t>
        </is>
      </c>
      <c r="I332" t="inlineStr">
        <is>
          <t>No</t>
        </is>
      </c>
      <c r="J332" t="inlineStr">
        <is>
          <t>0</t>
        </is>
      </c>
      <c r="K332" t="inlineStr">
        <is>
          <t>Jennings, Lawrence C.</t>
        </is>
      </c>
      <c r="L332" t="inlineStr">
        <is>
          <t>Oxford, Clarendon Press, 1973.</t>
        </is>
      </c>
      <c r="M332" t="inlineStr">
        <is>
          <t>1973</t>
        </is>
      </c>
      <c r="O332" t="inlineStr">
        <is>
          <t>eng</t>
        </is>
      </c>
      <c r="P332" t="inlineStr">
        <is>
          <t>enk</t>
        </is>
      </c>
      <c r="R332" t="inlineStr">
        <is>
          <t xml:space="preserve">DC </t>
        </is>
      </c>
      <c r="S332" t="n">
        <v>5</v>
      </c>
      <c r="T332" t="n">
        <v>5</v>
      </c>
      <c r="U332" t="inlineStr">
        <is>
          <t>2000-04-14</t>
        </is>
      </c>
      <c r="V332" t="inlineStr">
        <is>
          <t>2000-04-14</t>
        </is>
      </c>
      <c r="W332" t="inlineStr">
        <is>
          <t>1996-11-13</t>
        </is>
      </c>
      <c r="X332" t="inlineStr">
        <is>
          <t>1996-11-13</t>
        </is>
      </c>
      <c r="Y332" t="n">
        <v>681</v>
      </c>
      <c r="Z332" t="n">
        <v>501</v>
      </c>
      <c r="AA332" t="n">
        <v>506</v>
      </c>
      <c r="AB332" t="n">
        <v>4</v>
      </c>
      <c r="AC332" t="n">
        <v>4</v>
      </c>
      <c r="AD332" t="n">
        <v>25</v>
      </c>
      <c r="AE332" t="n">
        <v>25</v>
      </c>
      <c r="AF332" t="n">
        <v>10</v>
      </c>
      <c r="AG332" t="n">
        <v>10</v>
      </c>
      <c r="AH332" t="n">
        <v>4</v>
      </c>
      <c r="AI332" t="n">
        <v>4</v>
      </c>
      <c r="AJ332" t="n">
        <v>14</v>
      </c>
      <c r="AK332" t="n">
        <v>14</v>
      </c>
      <c r="AL332" t="n">
        <v>3</v>
      </c>
      <c r="AM332" t="n">
        <v>3</v>
      </c>
      <c r="AN332" t="n">
        <v>0</v>
      </c>
      <c r="AO332" t="n">
        <v>0</v>
      </c>
      <c r="AP332" t="inlineStr">
        <is>
          <t>No</t>
        </is>
      </c>
      <c r="AQ332" t="inlineStr">
        <is>
          <t>Yes</t>
        </is>
      </c>
      <c r="AR332">
        <f>HYPERLINK("http://catalog.hathitrust.org/Record/000607927","HathiTrust Record")</f>
        <v/>
      </c>
      <c r="AS332">
        <f>HYPERLINK("https://creighton-primo.hosted.exlibrisgroup.com/primo-explore/search?tab=default_tab&amp;search_scope=EVERYTHING&amp;vid=01CRU&amp;lang=en_US&amp;offset=0&amp;query=any,contains,991003201319702656","Catalog Record")</f>
        <v/>
      </c>
      <c r="AT332">
        <f>HYPERLINK("http://www.worldcat.org/oclc/726139","WorldCat Record")</f>
        <v/>
      </c>
      <c r="AU332" t="inlineStr">
        <is>
          <t>350926550:eng</t>
        </is>
      </c>
      <c r="AV332" t="inlineStr">
        <is>
          <t>726139</t>
        </is>
      </c>
      <c r="AW332" t="inlineStr">
        <is>
          <t>991003201319702656</t>
        </is>
      </c>
      <c r="AX332" t="inlineStr">
        <is>
          <t>991003201319702656</t>
        </is>
      </c>
      <c r="AY332" t="inlineStr">
        <is>
          <t>2264080920002656</t>
        </is>
      </c>
      <c r="AZ332" t="inlineStr">
        <is>
          <t>BOOK</t>
        </is>
      </c>
      <c r="BB332" t="inlineStr">
        <is>
          <t>9780198225140</t>
        </is>
      </c>
      <c r="BC332" t="inlineStr">
        <is>
          <t>32285002345105</t>
        </is>
      </c>
      <c r="BD332" t="inlineStr">
        <is>
          <t>893705000</t>
        </is>
      </c>
    </row>
    <row r="333">
      <c r="A333" t="inlineStr">
        <is>
          <t>No</t>
        </is>
      </c>
      <c r="B333" t="inlineStr">
        <is>
          <t>DC275.2 .N63 1970</t>
        </is>
      </c>
      <c r="C333" t="inlineStr">
        <is>
          <t>0                      DC 0275200N  63          1970</t>
        </is>
      </c>
      <c r="D333" t="inlineStr">
        <is>
          <t>The Second Empire and its downfall; the correspondence of the Emperor Napoleon III and his cousin Prince Napoleon, now published for the first time by Ernest d'Hauterive. And translated from the French by Herbert Wilson.</t>
        </is>
      </c>
      <c r="F333" t="inlineStr">
        <is>
          <t>No</t>
        </is>
      </c>
      <c r="G333" t="inlineStr">
        <is>
          <t>1</t>
        </is>
      </c>
      <c r="H333" t="inlineStr">
        <is>
          <t>No</t>
        </is>
      </c>
      <c r="I333" t="inlineStr">
        <is>
          <t>No</t>
        </is>
      </c>
      <c r="J333" t="inlineStr">
        <is>
          <t>0</t>
        </is>
      </c>
      <c r="K333" t="inlineStr">
        <is>
          <t>Napoleon III, Emperor of the French, 1808-1873.</t>
        </is>
      </c>
      <c r="L333" t="inlineStr">
        <is>
          <t>Freeport, N.Y., Books for Libraries Press [1970]</t>
        </is>
      </c>
      <c r="M333" t="inlineStr">
        <is>
          <t>1970</t>
        </is>
      </c>
      <c r="O333" t="inlineStr">
        <is>
          <t>eng</t>
        </is>
      </c>
      <c r="P333" t="inlineStr">
        <is>
          <t>nyu</t>
        </is>
      </c>
      <c r="R333" t="inlineStr">
        <is>
          <t xml:space="preserve">DC </t>
        </is>
      </c>
      <c r="S333" t="n">
        <v>1</v>
      </c>
      <c r="T333" t="n">
        <v>1</v>
      </c>
      <c r="U333" t="inlineStr">
        <is>
          <t>2009-01-18</t>
        </is>
      </c>
      <c r="V333" t="inlineStr">
        <is>
          <t>2009-01-18</t>
        </is>
      </c>
      <c r="W333" t="inlineStr">
        <is>
          <t>1996-11-13</t>
        </is>
      </c>
      <c r="X333" t="inlineStr">
        <is>
          <t>1996-11-13</t>
        </is>
      </c>
      <c r="Y333" t="n">
        <v>139</v>
      </c>
      <c r="Z333" t="n">
        <v>127</v>
      </c>
      <c r="AA333" t="n">
        <v>225</v>
      </c>
      <c r="AB333" t="n">
        <v>3</v>
      </c>
      <c r="AC333" t="n">
        <v>3</v>
      </c>
      <c r="AD333" t="n">
        <v>6</v>
      </c>
      <c r="AE333" t="n">
        <v>13</v>
      </c>
      <c r="AF333" t="n">
        <v>1</v>
      </c>
      <c r="AG333" t="n">
        <v>5</v>
      </c>
      <c r="AH333" t="n">
        <v>3</v>
      </c>
      <c r="AI333" t="n">
        <v>5</v>
      </c>
      <c r="AJ333" t="n">
        <v>2</v>
      </c>
      <c r="AK333" t="n">
        <v>8</v>
      </c>
      <c r="AL333" t="n">
        <v>2</v>
      </c>
      <c r="AM333" t="n">
        <v>2</v>
      </c>
      <c r="AN333" t="n">
        <v>0</v>
      </c>
      <c r="AO333" t="n">
        <v>0</v>
      </c>
      <c r="AP333" t="inlineStr">
        <is>
          <t>No</t>
        </is>
      </c>
      <c r="AQ333" t="inlineStr">
        <is>
          <t>Yes</t>
        </is>
      </c>
      <c r="AR333">
        <f>HYPERLINK("http://catalog.hathitrust.org/Record/000001264","HathiTrust Record")</f>
        <v/>
      </c>
      <c r="AS333">
        <f>HYPERLINK("https://creighton-primo.hosted.exlibrisgroup.com/primo-explore/search?tab=default_tab&amp;search_scope=EVERYTHING&amp;vid=01CRU&amp;lang=en_US&amp;offset=0&amp;query=any,contains,991000561239702656","Catalog Record")</f>
        <v/>
      </c>
      <c r="AT333">
        <f>HYPERLINK("http://www.worldcat.org/oclc/93467","WorldCat Record")</f>
        <v/>
      </c>
      <c r="AU333" t="inlineStr">
        <is>
          <t>2864057168:eng</t>
        </is>
      </c>
      <c r="AV333" t="inlineStr">
        <is>
          <t>93467</t>
        </is>
      </c>
      <c r="AW333" t="inlineStr">
        <is>
          <t>991000561239702656</t>
        </is>
      </c>
      <c r="AX333" t="inlineStr">
        <is>
          <t>991000561239702656</t>
        </is>
      </c>
      <c r="AY333" t="inlineStr">
        <is>
          <t>2263023890002656</t>
        </is>
      </c>
      <c r="AZ333" t="inlineStr">
        <is>
          <t>BOOK</t>
        </is>
      </c>
      <c r="BB333" t="inlineStr">
        <is>
          <t>9780836954647</t>
        </is>
      </c>
      <c r="BC333" t="inlineStr">
        <is>
          <t>32285002345139</t>
        </is>
      </c>
      <c r="BD333" t="inlineStr">
        <is>
          <t>893595668</t>
        </is>
      </c>
    </row>
    <row r="334">
      <c r="A334" t="inlineStr">
        <is>
          <t>No</t>
        </is>
      </c>
      <c r="B334" t="inlineStr">
        <is>
          <t>DC277.33 .P5313 1875</t>
        </is>
      </c>
      <c r="C334" t="inlineStr">
        <is>
          <t>0                      DC 0277330P  5313        1875</t>
        </is>
      </c>
      <c r="D334" t="inlineStr">
        <is>
          <t>Rome and her captors : letters / collected and edited by count Henri d'Ideville ; and tr. by F.R. Wegg-Prosser.</t>
        </is>
      </c>
      <c r="F334" t="inlineStr">
        <is>
          <t>No</t>
        </is>
      </c>
      <c r="G334" t="inlineStr">
        <is>
          <t>1</t>
        </is>
      </c>
      <c r="H334" t="inlineStr">
        <is>
          <t>No</t>
        </is>
      </c>
      <c r="I334" t="inlineStr">
        <is>
          <t>No</t>
        </is>
      </c>
      <c r="J334" t="inlineStr">
        <is>
          <t>0</t>
        </is>
      </c>
      <c r="K334" t="inlineStr">
        <is>
          <t>Ideville, Henry-Amédée Lelorgne, comte d', 1830-1887, editor.</t>
        </is>
      </c>
      <c r="L334" t="inlineStr">
        <is>
          <t>London : R. Washbourne, 1875.</t>
        </is>
      </c>
      <c r="M334" t="inlineStr">
        <is>
          <t>1875</t>
        </is>
      </c>
      <c r="O334" t="inlineStr">
        <is>
          <t>eng</t>
        </is>
      </c>
      <c r="P334" t="inlineStr">
        <is>
          <t>enk</t>
        </is>
      </c>
      <c r="R334" t="inlineStr">
        <is>
          <t xml:space="preserve">DC </t>
        </is>
      </c>
      <c r="S334" t="n">
        <v>0</v>
      </c>
      <c r="T334" t="n">
        <v>0</v>
      </c>
      <c r="U334" t="inlineStr">
        <is>
          <t>2005-06-13</t>
        </is>
      </c>
      <c r="V334" t="inlineStr">
        <is>
          <t>2005-06-13</t>
        </is>
      </c>
      <c r="W334" t="inlineStr">
        <is>
          <t>1991-01-14</t>
        </is>
      </c>
      <c r="X334" t="inlineStr">
        <is>
          <t>1991-01-14</t>
        </is>
      </c>
      <c r="Y334" t="n">
        <v>13</v>
      </c>
      <c r="Z334" t="n">
        <v>7</v>
      </c>
      <c r="AA334" t="n">
        <v>7</v>
      </c>
      <c r="AB334" t="n">
        <v>1</v>
      </c>
      <c r="AC334" t="n">
        <v>1</v>
      </c>
      <c r="AD334" t="n">
        <v>1</v>
      </c>
      <c r="AE334" t="n">
        <v>1</v>
      </c>
      <c r="AF334" t="n">
        <v>0</v>
      </c>
      <c r="AG334" t="n">
        <v>0</v>
      </c>
      <c r="AH334" t="n">
        <v>0</v>
      </c>
      <c r="AI334" t="n">
        <v>0</v>
      </c>
      <c r="AJ334" t="n">
        <v>1</v>
      </c>
      <c r="AK334" t="n">
        <v>1</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HYPERLINK("https://creighton-primo.hosted.exlibrisgroup.com/primo-explore/search?tab=default_tab&amp;search_scope=EVERYTHING&amp;vid=01CRU&amp;lang=en_US&amp;offset=0&amp;query=any,contains,991000594479702656","Catalog Record")</f>
        <v/>
      </c>
      <c r="AT334">
        <f>HYPERLINK("http://www.worldcat.org/oclc/11810996","WorldCat Record")</f>
        <v/>
      </c>
      <c r="AU334" t="inlineStr">
        <is>
          <t>348881188:eng</t>
        </is>
      </c>
      <c r="AV334" t="inlineStr">
        <is>
          <t>11810996</t>
        </is>
      </c>
      <c r="AW334" t="inlineStr">
        <is>
          <t>991000594479702656</t>
        </is>
      </c>
      <c r="AX334" t="inlineStr">
        <is>
          <t>991000594479702656</t>
        </is>
      </c>
      <c r="AY334" t="inlineStr">
        <is>
          <t>2268645400002656</t>
        </is>
      </c>
      <c r="AZ334" t="inlineStr">
        <is>
          <t>BOOK</t>
        </is>
      </c>
      <c r="BC334" t="inlineStr">
        <is>
          <t>32285000394857</t>
        </is>
      </c>
      <c r="BD334" t="inlineStr">
        <is>
          <t>893521821</t>
        </is>
      </c>
    </row>
    <row r="335">
      <c r="A335" t="inlineStr">
        <is>
          <t>No</t>
        </is>
      </c>
      <c r="B335" t="inlineStr">
        <is>
          <t>DC277.4 .V64</t>
        </is>
      </c>
      <c r="C335" t="inlineStr">
        <is>
          <t>0                      DC 0277400V  64</t>
        </is>
      </c>
      <c r="D335" t="inlineStr">
        <is>
          <t>La place du catholicisme dans les relations entre la France et le Viet-Nam de 1851 à 1870, par E. Vo Duc Hanh.</t>
        </is>
      </c>
      <c r="F335" t="inlineStr">
        <is>
          <t>Yes</t>
        </is>
      </c>
      <c r="G335" t="inlineStr">
        <is>
          <t>1</t>
        </is>
      </c>
      <c r="H335" t="inlineStr">
        <is>
          <t>Yes</t>
        </is>
      </c>
      <c r="I335" t="inlineStr">
        <is>
          <t>No</t>
        </is>
      </c>
      <c r="J335" t="inlineStr">
        <is>
          <t>0</t>
        </is>
      </c>
      <c r="K335" t="inlineStr">
        <is>
          <t>Võ, Etienne Đức Hạnh.</t>
        </is>
      </c>
      <c r="L335" t="inlineStr">
        <is>
          <t>Leiden, Brill, 1969.</t>
        </is>
      </c>
      <c r="M335" t="inlineStr">
        <is>
          <t>1969</t>
        </is>
      </c>
      <c r="O335" t="inlineStr">
        <is>
          <t>fre</t>
        </is>
      </c>
      <c r="P335" t="inlineStr">
        <is>
          <t xml:space="preserve">xx </t>
        </is>
      </c>
      <c r="R335" t="inlineStr">
        <is>
          <t xml:space="preserve">DC </t>
        </is>
      </c>
      <c r="S335" t="n">
        <v>0</v>
      </c>
      <c r="T335" t="n">
        <v>0</v>
      </c>
      <c r="U335" t="inlineStr">
        <is>
          <t>2006-04-24</t>
        </is>
      </c>
      <c r="V335" t="inlineStr">
        <is>
          <t>2006-04-24</t>
        </is>
      </c>
      <c r="W335" t="inlineStr">
        <is>
          <t>1996-11-13</t>
        </is>
      </c>
      <c r="X335" t="inlineStr">
        <is>
          <t>1996-11-13</t>
        </is>
      </c>
      <c r="Y335" t="n">
        <v>123</v>
      </c>
      <c r="Z335" t="n">
        <v>93</v>
      </c>
      <c r="AA335" t="n">
        <v>102</v>
      </c>
      <c r="AB335" t="n">
        <v>2</v>
      </c>
      <c r="AC335" t="n">
        <v>2</v>
      </c>
      <c r="AD335" t="n">
        <v>8</v>
      </c>
      <c r="AE335" t="n">
        <v>8</v>
      </c>
      <c r="AF335" t="n">
        <v>1</v>
      </c>
      <c r="AG335" t="n">
        <v>1</v>
      </c>
      <c r="AH335" t="n">
        <v>1</v>
      </c>
      <c r="AI335" t="n">
        <v>1</v>
      </c>
      <c r="AJ335" t="n">
        <v>5</v>
      </c>
      <c r="AK335" t="n">
        <v>5</v>
      </c>
      <c r="AL335" t="n">
        <v>1</v>
      </c>
      <c r="AM335" t="n">
        <v>1</v>
      </c>
      <c r="AN335" t="n">
        <v>0</v>
      </c>
      <c r="AO335" t="n">
        <v>0</v>
      </c>
      <c r="AP335" t="inlineStr">
        <is>
          <t>No</t>
        </is>
      </c>
      <c r="AQ335" t="inlineStr">
        <is>
          <t>Yes</t>
        </is>
      </c>
      <c r="AR335">
        <f>HYPERLINK("http://catalog.hathitrust.org/Record/000374355","HathiTrust Record")</f>
        <v/>
      </c>
      <c r="AS335">
        <f>HYPERLINK("https://creighton-primo.hosted.exlibrisgroup.com/primo-explore/search?tab=default_tab&amp;search_scope=EVERYTHING&amp;vid=01CRU&amp;lang=en_US&amp;offset=0&amp;query=any,contains,991001162819702656","Catalog Record")</f>
        <v/>
      </c>
      <c r="AT335">
        <f>HYPERLINK("http://www.worldcat.org/oclc/187229","WorldCat Record")</f>
        <v/>
      </c>
      <c r="AU335" t="inlineStr">
        <is>
          <t>4917552013:fre</t>
        </is>
      </c>
      <c r="AV335" t="inlineStr">
        <is>
          <t>187229</t>
        </is>
      </c>
      <c r="AW335" t="inlineStr">
        <is>
          <t>991001162819702656</t>
        </is>
      </c>
      <c r="AX335" t="inlineStr">
        <is>
          <t>991001162819702656</t>
        </is>
      </c>
      <c r="AY335" t="inlineStr">
        <is>
          <t>2265356870002656</t>
        </is>
      </c>
      <c r="AZ335" t="inlineStr">
        <is>
          <t>BOOK</t>
        </is>
      </c>
      <c r="BC335" t="inlineStr">
        <is>
          <t>32285002345204</t>
        </is>
      </c>
      <c r="BD335" t="inlineStr">
        <is>
          <t>893346302</t>
        </is>
      </c>
    </row>
    <row r="336">
      <c r="A336" t="inlineStr">
        <is>
          <t>No</t>
        </is>
      </c>
      <c r="B336" t="inlineStr">
        <is>
          <t>DC277.4 .V64 V. 2-3</t>
        </is>
      </c>
      <c r="C336" t="inlineStr">
        <is>
          <t>0                      DC 0277400V  64                                                      V. 2-3</t>
        </is>
      </c>
      <c r="D336" t="inlineStr">
        <is>
          <t>La place du catholicisme dans les relations entre la France et le Viet-Nam de 1851 à 1870, par E. Vo Duc Hanh.</t>
        </is>
      </c>
      <c r="E336" t="inlineStr">
        <is>
          <t>V. 2-3*</t>
        </is>
      </c>
      <c r="F336" t="inlineStr">
        <is>
          <t>Yes</t>
        </is>
      </c>
      <c r="G336" t="inlineStr">
        <is>
          <t>1</t>
        </is>
      </c>
      <c r="H336" t="inlineStr">
        <is>
          <t>No</t>
        </is>
      </c>
      <c r="I336" t="inlineStr">
        <is>
          <t>No</t>
        </is>
      </c>
      <c r="J336" t="inlineStr">
        <is>
          <t>0</t>
        </is>
      </c>
      <c r="K336" t="inlineStr">
        <is>
          <t>Võ, Etienne Đức Hạnh.</t>
        </is>
      </c>
      <c r="L336" t="inlineStr">
        <is>
          <t>Leiden, Brill, 1969.</t>
        </is>
      </c>
      <c r="M336" t="inlineStr">
        <is>
          <t>1969</t>
        </is>
      </c>
      <c r="O336" t="inlineStr">
        <is>
          <t>fre</t>
        </is>
      </c>
      <c r="P336" t="inlineStr">
        <is>
          <t xml:space="preserve">xx </t>
        </is>
      </c>
      <c r="R336" t="inlineStr">
        <is>
          <t xml:space="preserve">DC </t>
        </is>
      </c>
      <c r="S336" t="n">
        <v>0</v>
      </c>
      <c r="T336" t="n">
        <v>0</v>
      </c>
      <c r="U336" t="inlineStr">
        <is>
          <t>2006-04-24</t>
        </is>
      </c>
      <c r="V336" t="inlineStr">
        <is>
          <t>2006-04-24</t>
        </is>
      </c>
      <c r="W336" t="inlineStr">
        <is>
          <t>1996-11-13</t>
        </is>
      </c>
      <c r="X336" t="inlineStr">
        <is>
          <t>1996-11-13</t>
        </is>
      </c>
      <c r="Y336" t="n">
        <v>123</v>
      </c>
      <c r="Z336" t="n">
        <v>93</v>
      </c>
      <c r="AA336" t="n">
        <v>102</v>
      </c>
      <c r="AB336" t="n">
        <v>2</v>
      </c>
      <c r="AC336" t="n">
        <v>2</v>
      </c>
      <c r="AD336" t="n">
        <v>8</v>
      </c>
      <c r="AE336" t="n">
        <v>8</v>
      </c>
      <c r="AF336" t="n">
        <v>1</v>
      </c>
      <c r="AG336" t="n">
        <v>1</v>
      </c>
      <c r="AH336" t="n">
        <v>1</v>
      </c>
      <c r="AI336" t="n">
        <v>1</v>
      </c>
      <c r="AJ336" t="n">
        <v>5</v>
      </c>
      <c r="AK336" t="n">
        <v>5</v>
      </c>
      <c r="AL336" t="n">
        <v>1</v>
      </c>
      <c r="AM336" t="n">
        <v>1</v>
      </c>
      <c r="AN336" t="n">
        <v>0</v>
      </c>
      <c r="AO336" t="n">
        <v>0</v>
      </c>
      <c r="AP336" t="inlineStr">
        <is>
          <t>No</t>
        </is>
      </c>
      <c r="AQ336" t="inlineStr">
        <is>
          <t>Yes</t>
        </is>
      </c>
      <c r="AR336">
        <f>HYPERLINK("http://catalog.hathitrust.org/Record/000374355","HathiTrust Record")</f>
        <v/>
      </c>
      <c r="AS336">
        <f>HYPERLINK("https://creighton-primo.hosted.exlibrisgroup.com/primo-explore/search?tab=default_tab&amp;search_scope=EVERYTHING&amp;vid=01CRU&amp;lang=en_US&amp;offset=0&amp;query=any,contains,991001162819702656","Catalog Record")</f>
        <v/>
      </c>
      <c r="AT336">
        <f>HYPERLINK("http://www.worldcat.org/oclc/187229","WorldCat Record")</f>
        <v/>
      </c>
      <c r="AU336" t="inlineStr">
        <is>
          <t>4917552013:fre</t>
        </is>
      </c>
      <c r="AV336" t="inlineStr">
        <is>
          <t>187229</t>
        </is>
      </c>
      <c r="AW336" t="inlineStr">
        <is>
          <t>991001162819702656</t>
        </is>
      </c>
      <c r="AX336" t="inlineStr">
        <is>
          <t>991001162819702656</t>
        </is>
      </c>
      <c r="AY336" t="inlineStr">
        <is>
          <t>2265356870002656</t>
        </is>
      </c>
      <c r="AZ336" t="inlineStr">
        <is>
          <t>BOOK</t>
        </is>
      </c>
      <c r="BC336" t="inlineStr">
        <is>
          <t>32285002345212</t>
        </is>
      </c>
      <c r="BD336" t="inlineStr">
        <is>
          <t>893334116</t>
        </is>
      </c>
    </row>
    <row r="337">
      <c r="A337" t="inlineStr">
        <is>
          <t>No</t>
        </is>
      </c>
      <c r="B337" t="inlineStr">
        <is>
          <t>DC28 .H6 1918</t>
        </is>
      </c>
      <c r="C337" t="inlineStr">
        <is>
          <t>0                      DC 0028000H  6           1918</t>
        </is>
      </c>
      <c r="D337" t="inlineStr">
        <is>
          <t>France / by Gordon Home ; containing 64 full-page illustrations in colour.</t>
        </is>
      </c>
      <c r="F337" t="inlineStr">
        <is>
          <t>No</t>
        </is>
      </c>
      <c r="G337" t="inlineStr">
        <is>
          <t>1</t>
        </is>
      </c>
      <c r="H337" t="inlineStr">
        <is>
          <t>No</t>
        </is>
      </c>
      <c r="I337" t="inlineStr">
        <is>
          <t>No</t>
        </is>
      </c>
      <c r="J337" t="inlineStr">
        <is>
          <t>0</t>
        </is>
      </c>
      <c r="K337" t="inlineStr">
        <is>
          <t>Home, Gordon, 1878-1969.</t>
        </is>
      </c>
      <c r="L337" t="inlineStr">
        <is>
          <t>London : A. &amp; C. Black, 1918.</t>
        </is>
      </c>
      <c r="M337" t="inlineStr">
        <is>
          <t>1918</t>
        </is>
      </c>
      <c r="O337" t="inlineStr">
        <is>
          <t>eng</t>
        </is>
      </c>
      <c r="P337" t="inlineStr">
        <is>
          <t>enk</t>
        </is>
      </c>
      <c r="R337" t="inlineStr">
        <is>
          <t xml:space="preserve">DC </t>
        </is>
      </c>
      <c r="S337" t="n">
        <v>4</v>
      </c>
      <c r="T337" t="n">
        <v>4</v>
      </c>
      <c r="U337" t="inlineStr">
        <is>
          <t>2010-09-02</t>
        </is>
      </c>
      <c r="V337" t="inlineStr">
        <is>
          <t>2010-09-02</t>
        </is>
      </c>
      <c r="W337" t="inlineStr">
        <is>
          <t>1990-11-21</t>
        </is>
      </c>
      <c r="X337" t="inlineStr">
        <is>
          <t>1990-11-21</t>
        </is>
      </c>
      <c r="Y337" t="n">
        <v>45</v>
      </c>
      <c r="Z337" t="n">
        <v>39</v>
      </c>
      <c r="AA337" t="n">
        <v>142</v>
      </c>
      <c r="AB337" t="n">
        <v>2</v>
      </c>
      <c r="AC337" t="n">
        <v>2</v>
      </c>
      <c r="AD337" t="n">
        <v>2</v>
      </c>
      <c r="AE337" t="n">
        <v>9</v>
      </c>
      <c r="AF337" t="n">
        <v>1</v>
      </c>
      <c r="AG337" t="n">
        <v>2</v>
      </c>
      <c r="AH337" t="n">
        <v>0</v>
      </c>
      <c r="AI337" t="n">
        <v>3</v>
      </c>
      <c r="AJ337" t="n">
        <v>0</v>
      </c>
      <c r="AK337" t="n">
        <v>5</v>
      </c>
      <c r="AL337" t="n">
        <v>1</v>
      </c>
      <c r="AM337" t="n">
        <v>1</v>
      </c>
      <c r="AN337" t="n">
        <v>0</v>
      </c>
      <c r="AO337" t="n">
        <v>0</v>
      </c>
      <c r="AP337" t="inlineStr">
        <is>
          <t>Yes</t>
        </is>
      </c>
      <c r="AQ337" t="inlineStr">
        <is>
          <t>No</t>
        </is>
      </c>
      <c r="AR337">
        <f>HYPERLINK("http://catalog.hathitrust.org/Record/102004713","HathiTrust Record")</f>
        <v/>
      </c>
      <c r="AS337">
        <f>HYPERLINK("https://creighton-primo.hosted.exlibrisgroup.com/primo-explore/search?tab=default_tab&amp;search_scope=EVERYTHING&amp;vid=01CRU&amp;lang=en_US&amp;offset=0&amp;query=any,contains,991004440029702656","Catalog Record")</f>
        <v/>
      </c>
      <c r="AT337">
        <f>HYPERLINK("http://www.worldcat.org/oclc/3456722","WorldCat Record")</f>
        <v/>
      </c>
      <c r="AU337" t="inlineStr">
        <is>
          <t>1709364:eng</t>
        </is>
      </c>
      <c r="AV337" t="inlineStr">
        <is>
          <t>3456722</t>
        </is>
      </c>
      <c r="AW337" t="inlineStr">
        <is>
          <t>991004440029702656</t>
        </is>
      </c>
      <c r="AX337" t="inlineStr">
        <is>
          <t>991004440029702656</t>
        </is>
      </c>
      <c r="AY337" t="inlineStr">
        <is>
          <t>2257699370002656</t>
        </is>
      </c>
      <c r="AZ337" t="inlineStr">
        <is>
          <t>BOOK</t>
        </is>
      </c>
      <c r="BC337" t="inlineStr">
        <is>
          <t>32285000393255</t>
        </is>
      </c>
      <c r="BD337" t="inlineStr">
        <is>
          <t>893319230</t>
        </is>
      </c>
    </row>
    <row r="338">
      <c r="A338" t="inlineStr">
        <is>
          <t>No</t>
        </is>
      </c>
      <c r="B338" t="inlineStr">
        <is>
          <t>DC28 .J27 1969</t>
        </is>
      </c>
      <c r="C338" t="inlineStr">
        <is>
          <t>0                      DC 0028000J  27          1969</t>
        </is>
      </c>
      <c r="D338" t="inlineStr">
        <is>
          <t>A little tour in France. With illus. by Joseph Pennell.</t>
        </is>
      </c>
      <c r="F338" t="inlineStr">
        <is>
          <t>No</t>
        </is>
      </c>
      <c r="G338" t="inlineStr">
        <is>
          <t>1</t>
        </is>
      </c>
      <c r="H338" t="inlineStr">
        <is>
          <t>No</t>
        </is>
      </c>
      <c r="I338" t="inlineStr">
        <is>
          <t>No</t>
        </is>
      </c>
      <c r="J338" t="inlineStr">
        <is>
          <t>0</t>
        </is>
      </c>
      <c r="K338" t="inlineStr">
        <is>
          <t>James, Henry, 1843-1916.</t>
        </is>
      </c>
      <c r="L338" t="inlineStr">
        <is>
          <t>New York, AMS Press [1969]</t>
        </is>
      </c>
      <c r="M338" t="inlineStr">
        <is>
          <t>1969</t>
        </is>
      </c>
      <c r="O338" t="inlineStr">
        <is>
          <t>eng</t>
        </is>
      </c>
      <c r="P338" t="inlineStr">
        <is>
          <t>nyu</t>
        </is>
      </c>
      <c r="R338" t="inlineStr">
        <is>
          <t xml:space="preserve">DC </t>
        </is>
      </c>
      <c r="S338" t="n">
        <v>2</v>
      </c>
      <c r="T338" t="n">
        <v>2</v>
      </c>
      <c r="U338" t="inlineStr">
        <is>
          <t>2010-09-02</t>
        </is>
      </c>
      <c r="V338" t="inlineStr">
        <is>
          <t>2010-09-02</t>
        </is>
      </c>
      <c r="W338" t="inlineStr">
        <is>
          <t>1996-10-24</t>
        </is>
      </c>
      <c r="X338" t="inlineStr">
        <is>
          <t>1996-10-24</t>
        </is>
      </c>
      <c r="Y338" t="n">
        <v>131</v>
      </c>
      <c r="Z338" t="n">
        <v>118</v>
      </c>
      <c r="AA338" t="n">
        <v>1233</v>
      </c>
      <c r="AB338" t="n">
        <v>1</v>
      </c>
      <c r="AC338" t="n">
        <v>6</v>
      </c>
      <c r="AD338" t="n">
        <v>3</v>
      </c>
      <c r="AE338" t="n">
        <v>43</v>
      </c>
      <c r="AF338" t="n">
        <v>2</v>
      </c>
      <c r="AG338" t="n">
        <v>21</v>
      </c>
      <c r="AH338" t="n">
        <v>0</v>
      </c>
      <c r="AI338" t="n">
        <v>8</v>
      </c>
      <c r="AJ338" t="n">
        <v>1</v>
      </c>
      <c r="AK338" t="n">
        <v>19</v>
      </c>
      <c r="AL338" t="n">
        <v>0</v>
      </c>
      <c r="AM338" t="n">
        <v>5</v>
      </c>
      <c r="AN338" t="n">
        <v>0</v>
      </c>
      <c r="AO338" t="n">
        <v>0</v>
      </c>
      <c r="AP338" t="inlineStr">
        <is>
          <t>No</t>
        </is>
      </c>
      <c r="AQ338" t="inlineStr">
        <is>
          <t>Yes</t>
        </is>
      </c>
      <c r="AR338">
        <f>HYPERLINK("http://catalog.hathitrust.org/Record/000124468","HathiTrust Record")</f>
        <v/>
      </c>
      <c r="AS338">
        <f>HYPERLINK("https://creighton-primo.hosted.exlibrisgroup.com/primo-explore/search?tab=default_tab&amp;search_scope=EVERYTHING&amp;vid=01CRU&amp;lang=en_US&amp;offset=0&amp;query=any,contains,991000128309702656","Catalog Record")</f>
        <v/>
      </c>
      <c r="AT338">
        <f>HYPERLINK("http://www.worldcat.org/oclc/52850","WorldCat Record")</f>
        <v/>
      </c>
      <c r="AU338" t="inlineStr">
        <is>
          <t>4202346662:eng</t>
        </is>
      </c>
      <c r="AV338" t="inlineStr">
        <is>
          <t>52850</t>
        </is>
      </c>
      <c r="AW338" t="inlineStr">
        <is>
          <t>991000128309702656</t>
        </is>
      </c>
      <c r="AX338" t="inlineStr">
        <is>
          <t>991000128309702656</t>
        </is>
      </c>
      <c r="AY338" t="inlineStr">
        <is>
          <t>2259283420002656</t>
        </is>
      </c>
      <c r="AZ338" t="inlineStr">
        <is>
          <t>BOOK</t>
        </is>
      </c>
      <c r="BC338" t="inlineStr">
        <is>
          <t>32285002377975</t>
        </is>
      </c>
      <c r="BD338" t="inlineStr">
        <is>
          <t>893230892</t>
        </is>
      </c>
    </row>
    <row r="339">
      <c r="A339" t="inlineStr">
        <is>
          <t>No</t>
        </is>
      </c>
      <c r="B339" t="inlineStr">
        <is>
          <t>DC28 .M73</t>
        </is>
      </c>
      <c r="C339" t="inlineStr">
        <is>
          <t>0                      DC 0028000M  73</t>
        </is>
      </c>
      <c r="D339" t="inlineStr">
        <is>
          <t>The road to Paris, being the chronicle of a three-month holiday in France and Italy, by Michael Monahan.</t>
        </is>
      </c>
      <c r="F339" t="inlineStr">
        <is>
          <t>No</t>
        </is>
      </c>
      <c r="G339" t="inlineStr">
        <is>
          <t>1</t>
        </is>
      </c>
      <c r="H339" t="inlineStr">
        <is>
          <t>No</t>
        </is>
      </c>
      <c r="I339" t="inlineStr">
        <is>
          <t>No</t>
        </is>
      </c>
      <c r="J339" t="inlineStr">
        <is>
          <t>0</t>
        </is>
      </c>
      <c r="K339" t="inlineStr">
        <is>
          <t>Monahan, Michael, 1865-1933.</t>
        </is>
      </c>
      <c r="L339" t="inlineStr">
        <is>
          <t>New York, N.L. Brown, 1925.</t>
        </is>
      </c>
      <c r="M339" t="inlineStr">
        <is>
          <t>1925</t>
        </is>
      </c>
      <c r="O339" t="inlineStr">
        <is>
          <t>eng</t>
        </is>
      </c>
      <c r="P339" t="inlineStr">
        <is>
          <t xml:space="preserve">xx </t>
        </is>
      </c>
      <c r="R339" t="inlineStr">
        <is>
          <t xml:space="preserve">DC </t>
        </is>
      </c>
      <c r="S339" t="n">
        <v>1</v>
      </c>
      <c r="T339" t="n">
        <v>1</v>
      </c>
      <c r="U339" t="inlineStr">
        <is>
          <t>2010-09-07</t>
        </is>
      </c>
      <c r="V339" t="inlineStr">
        <is>
          <t>2010-09-07</t>
        </is>
      </c>
      <c r="W339" t="inlineStr">
        <is>
          <t>1996-10-24</t>
        </is>
      </c>
      <c r="X339" t="inlineStr">
        <is>
          <t>1996-10-24</t>
        </is>
      </c>
      <c r="Y339" t="n">
        <v>45</v>
      </c>
      <c r="Z339" t="n">
        <v>45</v>
      </c>
      <c r="AA339" t="n">
        <v>88</v>
      </c>
      <c r="AB339" t="n">
        <v>1</v>
      </c>
      <c r="AC339" t="n">
        <v>2</v>
      </c>
      <c r="AD339" t="n">
        <v>2</v>
      </c>
      <c r="AE339" t="n">
        <v>5</v>
      </c>
      <c r="AF339" t="n">
        <v>0</v>
      </c>
      <c r="AG339" t="n">
        <v>0</v>
      </c>
      <c r="AH339" t="n">
        <v>0</v>
      </c>
      <c r="AI339" t="n">
        <v>0</v>
      </c>
      <c r="AJ339" t="n">
        <v>2</v>
      </c>
      <c r="AK339" t="n">
        <v>4</v>
      </c>
      <c r="AL339" t="n">
        <v>0</v>
      </c>
      <c r="AM339" t="n">
        <v>1</v>
      </c>
      <c r="AN339" t="n">
        <v>0</v>
      </c>
      <c r="AO339" t="n">
        <v>0</v>
      </c>
      <c r="AP339" t="inlineStr">
        <is>
          <t>Yes</t>
        </is>
      </c>
      <c r="AQ339" t="inlineStr">
        <is>
          <t>No</t>
        </is>
      </c>
      <c r="AR339">
        <f>HYPERLINK("http://catalog.hathitrust.org/Record/102106107","HathiTrust Record")</f>
        <v/>
      </c>
      <c r="AS339">
        <f>HYPERLINK("https://creighton-primo.hosted.exlibrisgroup.com/primo-explore/search?tab=default_tab&amp;search_scope=EVERYTHING&amp;vid=01CRU&amp;lang=en_US&amp;offset=0&amp;query=any,contains,991004140469702656","Catalog Record")</f>
        <v/>
      </c>
      <c r="AT339">
        <f>HYPERLINK("http://www.worldcat.org/oclc/2495958","WorldCat Record")</f>
        <v/>
      </c>
      <c r="AU339" t="inlineStr">
        <is>
          <t>233312710:eng</t>
        </is>
      </c>
      <c r="AV339" t="inlineStr">
        <is>
          <t>2495958</t>
        </is>
      </c>
      <c r="AW339" t="inlineStr">
        <is>
          <t>991004140469702656</t>
        </is>
      </c>
      <c r="AX339" t="inlineStr">
        <is>
          <t>991004140469702656</t>
        </is>
      </c>
      <c r="AY339" t="inlineStr">
        <is>
          <t>2261970730002656</t>
        </is>
      </c>
      <c r="AZ339" t="inlineStr">
        <is>
          <t>BOOK</t>
        </is>
      </c>
      <c r="BC339" t="inlineStr">
        <is>
          <t>32285002377983</t>
        </is>
      </c>
      <c r="BD339" t="inlineStr">
        <is>
          <t>893722289</t>
        </is>
      </c>
    </row>
    <row r="340">
      <c r="A340" t="inlineStr">
        <is>
          <t>No</t>
        </is>
      </c>
      <c r="B340" t="inlineStr">
        <is>
          <t>DC280 .B74 1999</t>
        </is>
      </c>
      <c r="C340" t="inlineStr">
        <is>
          <t>0                      DC 0280000B  74          1999</t>
        </is>
      </c>
      <c r="D340" t="inlineStr">
        <is>
          <t>Napoleon III : a life / Fenton Bresler.</t>
        </is>
      </c>
      <c r="F340" t="inlineStr">
        <is>
          <t>No</t>
        </is>
      </c>
      <c r="G340" t="inlineStr">
        <is>
          <t>1</t>
        </is>
      </c>
      <c r="H340" t="inlineStr">
        <is>
          <t>No</t>
        </is>
      </c>
      <c r="I340" t="inlineStr">
        <is>
          <t>No</t>
        </is>
      </c>
      <c r="J340" t="inlineStr">
        <is>
          <t>0</t>
        </is>
      </c>
      <c r="K340" t="inlineStr">
        <is>
          <t>Bresler, Fenton S.</t>
        </is>
      </c>
      <c r="L340" t="inlineStr">
        <is>
          <t>New York : Carroll &amp; Graf, 1999.</t>
        </is>
      </c>
      <c r="M340" t="inlineStr">
        <is>
          <t>1999</t>
        </is>
      </c>
      <c r="N340" t="inlineStr">
        <is>
          <t>1st Carroll &amp; Graf ed.</t>
        </is>
      </c>
      <c r="O340" t="inlineStr">
        <is>
          <t>eng</t>
        </is>
      </c>
      <c r="P340" t="inlineStr">
        <is>
          <t>nyu</t>
        </is>
      </c>
      <c r="R340" t="inlineStr">
        <is>
          <t xml:space="preserve">DC </t>
        </is>
      </c>
      <c r="S340" t="n">
        <v>4</v>
      </c>
      <c r="T340" t="n">
        <v>4</v>
      </c>
      <c r="U340" t="inlineStr">
        <is>
          <t>2002-08-23</t>
        </is>
      </c>
      <c r="V340" t="inlineStr">
        <is>
          <t>2002-08-23</t>
        </is>
      </c>
      <c r="W340" t="inlineStr">
        <is>
          <t>2000-07-17</t>
        </is>
      </c>
      <c r="X340" t="inlineStr">
        <is>
          <t>2000-07-17</t>
        </is>
      </c>
      <c r="Y340" t="n">
        <v>740</v>
      </c>
      <c r="Z340" t="n">
        <v>707</v>
      </c>
      <c r="AA340" t="n">
        <v>743</v>
      </c>
      <c r="AB340" t="n">
        <v>9</v>
      </c>
      <c r="AC340" t="n">
        <v>9</v>
      </c>
      <c r="AD340" t="n">
        <v>20</v>
      </c>
      <c r="AE340" t="n">
        <v>23</v>
      </c>
      <c r="AF340" t="n">
        <v>6</v>
      </c>
      <c r="AG340" t="n">
        <v>6</v>
      </c>
      <c r="AH340" t="n">
        <v>2</v>
      </c>
      <c r="AI340" t="n">
        <v>5</v>
      </c>
      <c r="AJ340" t="n">
        <v>8</v>
      </c>
      <c r="AK340" t="n">
        <v>10</v>
      </c>
      <c r="AL340" t="n">
        <v>7</v>
      </c>
      <c r="AM340" t="n">
        <v>7</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HYPERLINK("https://creighton-primo.hosted.exlibrisgroup.com/primo-explore/search?tab=default_tab&amp;search_scope=EVERYTHING&amp;vid=01CRU&amp;lang=en_US&amp;offset=0&amp;query=any,contains,991003202939702656","Catalog Record")</f>
        <v/>
      </c>
      <c r="AT340">
        <f>HYPERLINK("http://www.worldcat.org/oclc/42885716","WorldCat Record")</f>
        <v/>
      </c>
      <c r="AU340" t="inlineStr">
        <is>
          <t>27972751:eng</t>
        </is>
      </c>
      <c r="AV340" t="inlineStr">
        <is>
          <t>42885716</t>
        </is>
      </c>
      <c r="AW340" t="inlineStr">
        <is>
          <t>991003202939702656</t>
        </is>
      </c>
      <c r="AX340" t="inlineStr">
        <is>
          <t>991003202939702656</t>
        </is>
      </c>
      <c r="AY340" t="inlineStr">
        <is>
          <t>2262677920002656</t>
        </is>
      </c>
      <c r="AZ340" t="inlineStr">
        <is>
          <t>BOOK</t>
        </is>
      </c>
      <c r="BB340" t="inlineStr">
        <is>
          <t>9780786706600</t>
        </is>
      </c>
      <c r="BC340" t="inlineStr">
        <is>
          <t>32285003714671</t>
        </is>
      </c>
      <c r="BD340" t="inlineStr">
        <is>
          <t>893336240</t>
        </is>
      </c>
    </row>
    <row r="341">
      <c r="A341" t="inlineStr">
        <is>
          <t>No</t>
        </is>
      </c>
      <c r="B341" t="inlineStr">
        <is>
          <t>DC280 .M43 1991</t>
        </is>
      </c>
      <c r="C341" t="inlineStr">
        <is>
          <t>0                      DC 0280000M  43          1991</t>
        </is>
      </c>
      <c r="D341" t="inlineStr">
        <is>
          <t>Napoleon III / James F. McMillan.</t>
        </is>
      </c>
      <c r="F341" t="inlineStr">
        <is>
          <t>No</t>
        </is>
      </c>
      <c r="G341" t="inlineStr">
        <is>
          <t>1</t>
        </is>
      </c>
      <c r="H341" t="inlineStr">
        <is>
          <t>No</t>
        </is>
      </c>
      <c r="I341" t="inlineStr">
        <is>
          <t>No</t>
        </is>
      </c>
      <c r="J341" t="inlineStr">
        <is>
          <t>0</t>
        </is>
      </c>
      <c r="K341" t="inlineStr">
        <is>
          <t>McMillan, James F., 1948-2010.</t>
        </is>
      </c>
      <c r="L341" t="inlineStr">
        <is>
          <t>London ; New York : Longman, 1991.</t>
        </is>
      </c>
      <c r="M341" t="inlineStr">
        <is>
          <t>1991</t>
        </is>
      </c>
      <c r="O341" t="inlineStr">
        <is>
          <t>eng</t>
        </is>
      </c>
      <c r="P341" t="inlineStr">
        <is>
          <t>enk</t>
        </is>
      </c>
      <c r="Q341" t="inlineStr">
        <is>
          <t>Profiles in power</t>
        </is>
      </c>
      <c r="R341" t="inlineStr">
        <is>
          <t xml:space="preserve">DC </t>
        </is>
      </c>
      <c r="S341" t="n">
        <v>2</v>
      </c>
      <c r="T341" t="n">
        <v>2</v>
      </c>
      <c r="U341" t="inlineStr">
        <is>
          <t>2010-02-17</t>
        </is>
      </c>
      <c r="V341" t="inlineStr">
        <is>
          <t>2010-02-17</t>
        </is>
      </c>
      <c r="W341" t="inlineStr">
        <is>
          <t>2003-05-12</t>
        </is>
      </c>
      <c r="X341" t="inlineStr">
        <is>
          <t>2003-05-12</t>
        </is>
      </c>
      <c r="Y341" t="n">
        <v>423</v>
      </c>
      <c r="Z341" t="n">
        <v>251</v>
      </c>
      <c r="AA341" t="n">
        <v>274</v>
      </c>
      <c r="AB341" t="n">
        <v>3</v>
      </c>
      <c r="AC341" t="n">
        <v>3</v>
      </c>
      <c r="AD341" t="n">
        <v>17</v>
      </c>
      <c r="AE341" t="n">
        <v>17</v>
      </c>
      <c r="AF341" t="n">
        <v>5</v>
      </c>
      <c r="AG341" t="n">
        <v>5</v>
      </c>
      <c r="AH341" t="n">
        <v>5</v>
      </c>
      <c r="AI341" t="n">
        <v>5</v>
      </c>
      <c r="AJ341" t="n">
        <v>11</v>
      </c>
      <c r="AK341" t="n">
        <v>11</v>
      </c>
      <c r="AL341" t="n">
        <v>2</v>
      </c>
      <c r="AM341" t="n">
        <v>2</v>
      </c>
      <c r="AN341" t="n">
        <v>0</v>
      </c>
      <c r="AO341" t="n">
        <v>0</v>
      </c>
      <c r="AP341" t="inlineStr">
        <is>
          <t>No</t>
        </is>
      </c>
      <c r="AQ341" t="inlineStr">
        <is>
          <t>Yes</t>
        </is>
      </c>
      <c r="AR341">
        <f>HYPERLINK("http://catalog.hathitrust.org/Record/002602213","HathiTrust Record")</f>
        <v/>
      </c>
      <c r="AS341">
        <f>HYPERLINK("https://creighton-primo.hosted.exlibrisgroup.com/primo-explore/search?tab=default_tab&amp;search_scope=EVERYTHING&amp;vid=01CRU&amp;lang=en_US&amp;offset=0&amp;query=any,contains,991003988069702656","Catalog Record")</f>
        <v/>
      </c>
      <c r="AT341">
        <f>HYPERLINK("http://www.worldcat.org/oclc/22279063","WorldCat Record")</f>
        <v/>
      </c>
      <c r="AU341" t="inlineStr">
        <is>
          <t>3856574190:eng</t>
        </is>
      </c>
      <c r="AV341" t="inlineStr">
        <is>
          <t>22279063</t>
        </is>
      </c>
      <c r="AW341" t="inlineStr">
        <is>
          <t>991003988069702656</t>
        </is>
      </c>
      <c r="AX341" t="inlineStr">
        <is>
          <t>991003988069702656</t>
        </is>
      </c>
      <c r="AY341" t="inlineStr">
        <is>
          <t>2259901910002656</t>
        </is>
      </c>
      <c r="AZ341" t="inlineStr">
        <is>
          <t>BOOK</t>
        </is>
      </c>
      <c r="BB341" t="inlineStr">
        <is>
          <t>9780582494831</t>
        </is>
      </c>
      <c r="BC341" t="inlineStr">
        <is>
          <t>32285004745591</t>
        </is>
      </c>
      <c r="BD341" t="inlineStr">
        <is>
          <t>893900645</t>
        </is>
      </c>
    </row>
    <row r="342">
      <c r="A342" t="inlineStr">
        <is>
          <t>No</t>
        </is>
      </c>
      <c r="B342" t="inlineStr">
        <is>
          <t>DC280 .T5 1967</t>
        </is>
      </c>
      <c r="C342" t="inlineStr">
        <is>
          <t>0                      DC 0280000T  5           1967</t>
        </is>
      </c>
      <c r="D342" t="inlineStr">
        <is>
          <t>Louis Napoleon and the Second Empire / by J. M. Thompson.</t>
        </is>
      </c>
      <c r="F342" t="inlineStr">
        <is>
          <t>No</t>
        </is>
      </c>
      <c r="G342" t="inlineStr">
        <is>
          <t>1</t>
        </is>
      </c>
      <c r="H342" t="inlineStr">
        <is>
          <t>No</t>
        </is>
      </c>
      <c r="I342" t="inlineStr">
        <is>
          <t>Yes</t>
        </is>
      </c>
      <c r="J342" t="inlineStr">
        <is>
          <t>0</t>
        </is>
      </c>
      <c r="K342" t="inlineStr">
        <is>
          <t>Thompson, J. M. (James Matthew), 1878-1956.</t>
        </is>
      </c>
      <c r="L342" t="inlineStr">
        <is>
          <t>New York : W. W. Norton &amp; company, [1967]</t>
        </is>
      </c>
      <c r="M342" t="inlineStr">
        <is>
          <t>1967</t>
        </is>
      </c>
      <c r="O342" t="inlineStr">
        <is>
          <t>eng</t>
        </is>
      </c>
      <c r="P342" t="inlineStr">
        <is>
          <t>___</t>
        </is>
      </c>
      <c r="R342" t="inlineStr">
        <is>
          <t xml:space="preserve">DC </t>
        </is>
      </c>
      <c r="S342" t="n">
        <v>2</v>
      </c>
      <c r="T342" t="n">
        <v>2</v>
      </c>
      <c r="U342" t="inlineStr">
        <is>
          <t>1995-12-06</t>
        </is>
      </c>
      <c r="V342" t="inlineStr">
        <is>
          <t>1995-12-06</t>
        </is>
      </c>
      <c r="W342" t="inlineStr">
        <is>
          <t>1991-01-14</t>
        </is>
      </c>
      <c r="X342" t="inlineStr">
        <is>
          <t>1991-01-14</t>
        </is>
      </c>
      <c r="Y342" t="n">
        <v>247</v>
      </c>
      <c r="Z342" t="n">
        <v>236</v>
      </c>
      <c r="AA342" t="n">
        <v>1026</v>
      </c>
      <c r="AB342" t="n">
        <v>4</v>
      </c>
      <c r="AC342" t="n">
        <v>9</v>
      </c>
      <c r="AD342" t="n">
        <v>14</v>
      </c>
      <c r="AE342" t="n">
        <v>46</v>
      </c>
      <c r="AF342" t="n">
        <v>6</v>
      </c>
      <c r="AG342" t="n">
        <v>18</v>
      </c>
      <c r="AH342" t="n">
        <v>3</v>
      </c>
      <c r="AI342" t="n">
        <v>9</v>
      </c>
      <c r="AJ342" t="n">
        <v>6</v>
      </c>
      <c r="AK342" t="n">
        <v>20</v>
      </c>
      <c r="AL342" t="n">
        <v>3</v>
      </c>
      <c r="AM342" t="n">
        <v>8</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HYPERLINK("https://creighton-primo.hosted.exlibrisgroup.com/primo-explore/search?tab=default_tab&amp;search_scope=EVERYTHING&amp;vid=01CRU&amp;lang=en_US&amp;offset=0&amp;query=any,contains,991003209899702656","Catalog Record")</f>
        <v/>
      </c>
      <c r="AT342">
        <f>HYPERLINK("http://www.worldcat.org/oclc/736079","WorldCat Record")</f>
        <v/>
      </c>
      <c r="AU342" t="inlineStr">
        <is>
          <t>1417401:eng</t>
        </is>
      </c>
      <c r="AV342" t="inlineStr">
        <is>
          <t>736079</t>
        </is>
      </c>
      <c r="AW342" t="inlineStr">
        <is>
          <t>991003209899702656</t>
        </is>
      </c>
      <c r="AX342" t="inlineStr">
        <is>
          <t>991003209899702656</t>
        </is>
      </c>
      <c r="AY342" t="inlineStr">
        <is>
          <t>2255081600002656</t>
        </is>
      </c>
      <c r="AZ342" t="inlineStr">
        <is>
          <t>BOOK</t>
        </is>
      </c>
      <c r="BC342" t="inlineStr">
        <is>
          <t>32285000394881</t>
        </is>
      </c>
      <c r="BD342" t="inlineStr">
        <is>
          <t>893799478</t>
        </is>
      </c>
    </row>
    <row r="343">
      <c r="A343" t="inlineStr">
        <is>
          <t>No</t>
        </is>
      </c>
      <c r="B343" t="inlineStr">
        <is>
          <t>DC280.4 .G6</t>
        </is>
      </c>
      <c r="C343" t="inlineStr">
        <is>
          <t>0                      DC 0280400G  6</t>
        </is>
      </c>
      <c r="D343" t="inlineStr">
        <is>
          <t>The Second Empire.</t>
        </is>
      </c>
      <c r="F343" t="inlineStr">
        <is>
          <t>No</t>
        </is>
      </c>
      <c r="G343" t="inlineStr">
        <is>
          <t>1</t>
        </is>
      </c>
      <c r="H343" t="inlineStr">
        <is>
          <t>No</t>
        </is>
      </c>
      <c r="I343" t="inlineStr">
        <is>
          <t>No</t>
        </is>
      </c>
      <c r="J343" t="inlineStr">
        <is>
          <t>0</t>
        </is>
      </c>
      <c r="K343" t="inlineStr">
        <is>
          <t>Gooch, G. P. (George Peabody), 1873-1968.</t>
        </is>
      </c>
      <c r="L343" t="inlineStr">
        <is>
          <t>[London] Longmans, [1960]</t>
        </is>
      </c>
      <c r="M343" t="inlineStr">
        <is>
          <t>1960</t>
        </is>
      </c>
      <c r="O343" t="inlineStr">
        <is>
          <t>eng</t>
        </is>
      </c>
      <c r="P343" t="inlineStr">
        <is>
          <t>enk</t>
        </is>
      </c>
      <c r="R343" t="inlineStr">
        <is>
          <t xml:space="preserve">DC </t>
        </is>
      </c>
      <c r="S343" t="n">
        <v>2</v>
      </c>
      <c r="T343" t="n">
        <v>2</v>
      </c>
      <c r="U343" t="inlineStr">
        <is>
          <t>2001-06-05</t>
        </is>
      </c>
      <c r="V343" t="inlineStr">
        <is>
          <t>2001-06-05</t>
        </is>
      </c>
      <c r="W343" t="inlineStr">
        <is>
          <t>1996-11-14</t>
        </is>
      </c>
      <c r="X343" t="inlineStr">
        <is>
          <t>1996-11-14</t>
        </is>
      </c>
      <c r="Y343" t="n">
        <v>743</v>
      </c>
      <c r="Z343" t="n">
        <v>618</v>
      </c>
      <c r="AA343" t="n">
        <v>693</v>
      </c>
      <c r="AB343" t="n">
        <v>5</v>
      </c>
      <c r="AC343" t="n">
        <v>6</v>
      </c>
      <c r="AD343" t="n">
        <v>35</v>
      </c>
      <c r="AE343" t="n">
        <v>36</v>
      </c>
      <c r="AF343" t="n">
        <v>14</v>
      </c>
      <c r="AG343" t="n">
        <v>14</v>
      </c>
      <c r="AH343" t="n">
        <v>8</v>
      </c>
      <c r="AI343" t="n">
        <v>8</v>
      </c>
      <c r="AJ343" t="n">
        <v>18</v>
      </c>
      <c r="AK343" t="n">
        <v>18</v>
      </c>
      <c r="AL343" t="n">
        <v>4</v>
      </c>
      <c r="AM343" t="n">
        <v>5</v>
      </c>
      <c r="AN343" t="n">
        <v>0</v>
      </c>
      <c r="AO343" t="n">
        <v>0</v>
      </c>
      <c r="AP343" t="inlineStr">
        <is>
          <t>No</t>
        </is>
      </c>
      <c r="AQ343" t="inlineStr">
        <is>
          <t>Yes</t>
        </is>
      </c>
      <c r="AR343">
        <f>HYPERLINK("http://catalog.hathitrust.org/Record/000649394","HathiTrust Record")</f>
        <v/>
      </c>
      <c r="AS343">
        <f>HYPERLINK("https://creighton-primo.hosted.exlibrisgroup.com/primo-explore/search?tab=default_tab&amp;search_scope=EVERYTHING&amp;vid=01CRU&amp;lang=en_US&amp;offset=0&amp;query=any,contains,991003234519702656","Catalog Record")</f>
        <v/>
      </c>
      <c r="AT343">
        <f>HYPERLINK("http://www.worldcat.org/oclc/42802966","WorldCat Record")</f>
        <v/>
      </c>
      <c r="AU343" t="inlineStr">
        <is>
          <t>2123201:eng</t>
        </is>
      </c>
      <c r="AV343" t="inlineStr">
        <is>
          <t>42802966</t>
        </is>
      </c>
      <c r="AW343" t="inlineStr">
        <is>
          <t>991003234519702656</t>
        </is>
      </c>
      <c r="AX343" t="inlineStr">
        <is>
          <t>991003234519702656</t>
        </is>
      </c>
      <c r="AY343" t="inlineStr">
        <is>
          <t>2271909180002656</t>
        </is>
      </c>
      <c r="AZ343" t="inlineStr">
        <is>
          <t>BOOK</t>
        </is>
      </c>
      <c r="BC343" t="inlineStr">
        <is>
          <t>32285002345394</t>
        </is>
      </c>
      <c r="BD343" t="inlineStr">
        <is>
          <t>893336279</t>
        </is>
      </c>
    </row>
    <row r="344">
      <c r="A344" t="inlineStr">
        <is>
          <t>No</t>
        </is>
      </c>
      <c r="B344" t="inlineStr">
        <is>
          <t>DC280.5.C3 C6613 2000</t>
        </is>
      </c>
      <c r="C344" t="inlineStr">
        <is>
          <t>0                      DC 0280500C  3                  C  6613        2000</t>
        </is>
      </c>
      <c r="D344" t="inlineStr">
        <is>
          <t>La divine comtesse : photographs of the Countess de Castiglione / Pierre Apraxine, Xavier Demange ; with the collaboration of Françoise Heilbrun, Michele Falzone del Barbarò ; [translated by Caroline Beamish].</t>
        </is>
      </c>
      <c r="F344" t="inlineStr">
        <is>
          <t>No</t>
        </is>
      </c>
      <c r="G344" t="inlineStr">
        <is>
          <t>1</t>
        </is>
      </c>
      <c r="H344" t="inlineStr">
        <is>
          <t>No</t>
        </is>
      </c>
      <c r="I344" t="inlineStr">
        <is>
          <t>No</t>
        </is>
      </c>
      <c r="J344" t="inlineStr">
        <is>
          <t>0</t>
        </is>
      </c>
      <c r="K344" t="inlineStr">
        <is>
          <t>Comtesse de Castiglione par elle-même. English.</t>
        </is>
      </c>
      <c r="L344" t="inlineStr">
        <is>
          <t>New Haven : Yale University Press in association with the Metropolitan Museum of Art, New York, c2000.</t>
        </is>
      </c>
      <c r="M344" t="inlineStr">
        <is>
          <t>2000</t>
        </is>
      </c>
      <c r="N344" t="inlineStr">
        <is>
          <t>Rev. ed.</t>
        </is>
      </c>
      <c r="O344" t="inlineStr">
        <is>
          <t>eng</t>
        </is>
      </c>
      <c r="P344" t="inlineStr">
        <is>
          <t>ctu</t>
        </is>
      </c>
      <c r="R344" t="inlineStr">
        <is>
          <t xml:space="preserve">DC </t>
        </is>
      </c>
      <c r="S344" t="n">
        <v>1</v>
      </c>
      <c r="T344" t="n">
        <v>1</v>
      </c>
      <c r="U344" t="inlineStr">
        <is>
          <t>2004-11-08</t>
        </is>
      </c>
      <c r="V344" t="inlineStr">
        <is>
          <t>2004-11-08</t>
        </is>
      </c>
      <c r="W344" t="inlineStr">
        <is>
          <t>2004-11-08</t>
        </is>
      </c>
      <c r="X344" t="inlineStr">
        <is>
          <t>2004-11-08</t>
        </is>
      </c>
      <c r="Y344" t="n">
        <v>261</v>
      </c>
      <c r="Z344" t="n">
        <v>210</v>
      </c>
      <c r="AA344" t="n">
        <v>213</v>
      </c>
      <c r="AB344" t="n">
        <v>1</v>
      </c>
      <c r="AC344" t="n">
        <v>1</v>
      </c>
      <c r="AD344" t="n">
        <v>4</v>
      </c>
      <c r="AE344" t="n">
        <v>4</v>
      </c>
      <c r="AF344" t="n">
        <v>2</v>
      </c>
      <c r="AG344" t="n">
        <v>2</v>
      </c>
      <c r="AH344" t="n">
        <v>0</v>
      </c>
      <c r="AI344" t="n">
        <v>0</v>
      </c>
      <c r="AJ344" t="n">
        <v>2</v>
      </c>
      <c r="AK344" t="n">
        <v>2</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HYPERLINK("https://creighton-primo.hosted.exlibrisgroup.com/primo-explore/search?tab=default_tab&amp;search_scope=EVERYTHING&amp;vid=01CRU&amp;lang=en_US&amp;offset=0&amp;query=any,contains,991004396039702656","Catalog Record")</f>
        <v/>
      </c>
      <c r="AT344">
        <f>HYPERLINK("http://www.worldcat.org/oclc/49276261","WorldCat Record")</f>
        <v/>
      </c>
      <c r="AU344" t="inlineStr">
        <is>
          <t>3943817497:eng</t>
        </is>
      </c>
      <c r="AV344" t="inlineStr">
        <is>
          <t>49276261</t>
        </is>
      </c>
      <c r="AW344" t="inlineStr">
        <is>
          <t>991004396039702656</t>
        </is>
      </c>
      <c r="AX344" t="inlineStr">
        <is>
          <t>991004396039702656</t>
        </is>
      </c>
      <c r="AY344" t="inlineStr">
        <is>
          <t>2255237270002656</t>
        </is>
      </c>
      <c r="AZ344" t="inlineStr">
        <is>
          <t>BOOK</t>
        </is>
      </c>
      <c r="BB344" t="inlineStr">
        <is>
          <t>9780300085099</t>
        </is>
      </c>
      <c r="BC344" t="inlineStr">
        <is>
          <t>32285005009328</t>
        </is>
      </c>
      <c r="BD344" t="inlineStr">
        <is>
          <t>893532341</t>
        </is>
      </c>
    </row>
    <row r="345">
      <c r="A345" t="inlineStr">
        <is>
          <t>No</t>
        </is>
      </c>
      <c r="B345" t="inlineStr">
        <is>
          <t>DC280.5.T5 L5</t>
        </is>
      </c>
      <c r="C345" t="inlineStr">
        <is>
          <t>0                      DC 0280500T  5                  L  5</t>
        </is>
      </c>
      <c r="D345" t="inlineStr">
        <is>
          <t>The life of Louis Adolphe Thiers / by Françius le Goff. Translated from the unpublished manuscript by Theodore Stanton.</t>
        </is>
      </c>
      <c r="F345" t="inlineStr">
        <is>
          <t>No</t>
        </is>
      </c>
      <c r="G345" t="inlineStr">
        <is>
          <t>1</t>
        </is>
      </c>
      <c r="H345" t="inlineStr">
        <is>
          <t>No</t>
        </is>
      </c>
      <c r="I345" t="inlineStr">
        <is>
          <t>No</t>
        </is>
      </c>
      <c r="J345" t="inlineStr">
        <is>
          <t>0</t>
        </is>
      </c>
      <c r="K345" t="inlineStr">
        <is>
          <t>Le Goff, François J.</t>
        </is>
      </c>
      <c r="L345" t="inlineStr">
        <is>
          <t>New York : G. P. Putnam's Sons, 1879.</t>
        </is>
      </c>
      <c r="M345" t="inlineStr">
        <is>
          <t>1879</t>
        </is>
      </c>
      <c r="O345" t="inlineStr">
        <is>
          <t>eng</t>
        </is>
      </c>
      <c r="P345" t="inlineStr">
        <is>
          <t>nyu</t>
        </is>
      </c>
      <c r="R345" t="inlineStr">
        <is>
          <t xml:space="preserve">DC </t>
        </is>
      </c>
      <c r="S345" t="n">
        <v>2</v>
      </c>
      <c r="T345" t="n">
        <v>2</v>
      </c>
      <c r="U345" t="inlineStr">
        <is>
          <t>2003-04-09</t>
        </is>
      </c>
      <c r="V345" t="inlineStr">
        <is>
          <t>2003-04-09</t>
        </is>
      </c>
      <c r="W345" t="inlineStr">
        <is>
          <t>1996-05-15</t>
        </is>
      </c>
      <c r="X345" t="inlineStr">
        <is>
          <t>1996-05-15</t>
        </is>
      </c>
      <c r="Y345" t="n">
        <v>90</v>
      </c>
      <c r="Z345" t="n">
        <v>87</v>
      </c>
      <c r="AA345" t="n">
        <v>109</v>
      </c>
      <c r="AB345" t="n">
        <v>1</v>
      </c>
      <c r="AC345" t="n">
        <v>2</v>
      </c>
      <c r="AD345" t="n">
        <v>1</v>
      </c>
      <c r="AE345" t="n">
        <v>3</v>
      </c>
      <c r="AF345" t="n">
        <v>0</v>
      </c>
      <c r="AG345" t="n">
        <v>0</v>
      </c>
      <c r="AH345" t="n">
        <v>1</v>
      </c>
      <c r="AI345" t="n">
        <v>2</v>
      </c>
      <c r="AJ345" t="n">
        <v>0</v>
      </c>
      <c r="AK345" t="n">
        <v>0</v>
      </c>
      <c r="AL345" t="n">
        <v>0</v>
      </c>
      <c r="AM345" t="n">
        <v>1</v>
      </c>
      <c r="AN345" t="n">
        <v>0</v>
      </c>
      <c r="AO345" t="n">
        <v>0</v>
      </c>
      <c r="AP345" t="inlineStr">
        <is>
          <t>Yes</t>
        </is>
      </c>
      <c r="AQ345" t="inlineStr">
        <is>
          <t>No</t>
        </is>
      </c>
      <c r="AR345">
        <f>HYPERLINK("http://catalog.hathitrust.org/Record/006297927","HathiTrust Record")</f>
        <v/>
      </c>
      <c r="AS345">
        <f>HYPERLINK("https://creighton-primo.hosted.exlibrisgroup.com/primo-explore/search?tab=default_tab&amp;search_scope=EVERYTHING&amp;vid=01CRU&amp;lang=en_US&amp;offset=0&amp;query=any,contains,991004431569702656","Catalog Record")</f>
        <v/>
      </c>
      <c r="AT345">
        <f>HYPERLINK("http://www.worldcat.org/oclc/3424838","WorldCat Record")</f>
        <v/>
      </c>
      <c r="AU345" t="inlineStr">
        <is>
          <t>10261572:eng</t>
        </is>
      </c>
      <c r="AV345" t="inlineStr">
        <is>
          <t>3424838</t>
        </is>
      </c>
      <c r="AW345" t="inlineStr">
        <is>
          <t>991004431569702656</t>
        </is>
      </c>
      <c r="AX345" t="inlineStr">
        <is>
          <t>991004431569702656</t>
        </is>
      </c>
      <c r="AY345" t="inlineStr">
        <is>
          <t>2267879680002656</t>
        </is>
      </c>
      <c r="AZ345" t="inlineStr">
        <is>
          <t>BOOK</t>
        </is>
      </c>
      <c r="BC345" t="inlineStr">
        <is>
          <t>32285002163888</t>
        </is>
      </c>
      <c r="BD345" t="inlineStr">
        <is>
          <t>893506842</t>
        </is>
      </c>
    </row>
    <row r="346">
      <c r="A346" t="inlineStr">
        <is>
          <t>No</t>
        </is>
      </c>
      <c r="B346" t="inlineStr">
        <is>
          <t>DC292 .L6</t>
        </is>
      </c>
      <c r="C346" t="inlineStr">
        <is>
          <t>0                      DC 0292000L  6</t>
        </is>
      </c>
      <c r="D346" t="inlineStr">
        <is>
          <t>The origins of the war of 1870, new documents from the German archives, by Robert Howard Lord.</t>
        </is>
      </c>
      <c r="F346" t="inlineStr">
        <is>
          <t>No</t>
        </is>
      </c>
      <c r="G346" t="inlineStr">
        <is>
          <t>1</t>
        </is>
      </c>
      <c r="H346" t="inlineStr">
        <is>
          <t>No</t>
        </is>
      </c>
      <c r="I346" t="inlineStr">
        <is>
          <t>No</t>
        </is>
      </c>
      <c r="J346" t="inlineStr">
        <is>
          <t>0</t>
        </is>
      </c>
      <c r="K346" t="inlineStr">
        <is>
          <t>Lord, Robert Howard, 1885-1954.</t>
        </is>
      </c>
      <c r="L346" t="inlineStr">
        <is>
          <t>Cambridge, Harvard university press; 1924.</t>
        </is>
      </c>
      <c r="M346" t="inlineStr">
        <is>
          <t>1924</t>
        </is>
      </c>
      <c r="O346" t="inlineStr">
        <is>
          <t>eng</t>
        </is>
      </c>
      <c r="P346" t="inlineStr">
        <is>
          <t xml:space="preserve">ma </t>
        </is>
      </c>
      <c r="Q346" t="inlineStr">
        <is>
          <t>Harvard historical studies ; vol. XXVIII</t>
        </is>
      </c>
      <c r="R346" t="inlineStr">
        <is>
          <t xml:space="preserve">DC </t>
        </is>
      </c>
      <c r="S346" t="n">
        <v>1</v>
      </c>
      <c r="T346" t="n">
        <v>1</v>
      </c>
      <c r="U346" t="inlineStr">
        <is>
          <t>2008-03-13</t>
        </is>
      </c>
      <c r="V346" t="inlineStr">
        <is>
          <t>2008-03-13</t>
        </is>
      </c>
      <c r="W346" t="inlineStr">
        <is>
          <t>1996-11-14</t>
        </is>
      </c>
      <c r="X346" t="inlineStr">
        <is>
          <t>1996-11-14</t>
        </is>
      </c>
      <c r="Y346" t="n">
        <v>366</v>
      </c>
      <c r="Z346" t="n">
        <v>299</v>
      </c>
      <c r="AA346" t="n">
        <v>687</v>
      </c>
      <c r="AB346" t="n">
        <v>4</v>
      </c>
      <c r="AC346" t="n">
        <v>7</v>
      </c>
      <c r="AD346" t="n">
        <v>20</v>
      </c>
      <c r="AE346" t="n">
        <v>42</v>
      </c>
      <c r="AF346" t="n">
        <v>7</v>
      </c>
      <c r="AG346" t="n">
        <v>18</v>
      </c>
      <c r="AH346" t="n">
        <v>3</v>
      </c>
      <c r="AI346" t="n">
        <v>7</v>
      </c>
      <c r="AJ346" t="n">
        <v>10</v>
      </c>
      <c r="AK346" t="n">
        <v>17</v>
      </c>
      <c r="AL346" t="n">
        <v>3</v>
      </c>
      <c r="AM346" t="n">
        <v>6</v>
      </c>
      <c r="AN346" t="n">
        <v>0</v>
      </c>
      <c r="AO346" t="n">
        <v>2</v>
      </c>
      <c r="AP346" t="inlineStr">
        <is>
          <t>Yes</t>
        </is>
      </c>
      <c r="AQ346" t="inlineStr">
        <is>
          <t>No</t>
        </is>
      </c>
      <c r="AR346">
        <f>HYPERLINK("http://catalog.hathitrust.org/Record/000647832","HathiTrust Record")</f>
        <v/>
      </c>
      <c r="AS346">
        <f>HYPERLINK("https://creighton-primo.hosted.exlibrisgroup.com/primo-explore/search?tab=default_tab&amp;search_scope=EVERYTHING&amp;vid=01CRU&amp;lang=en_US&amp;offset=0&amp;query=any,contains,991003937939702656","Catalog Record")</f>
        <v/>
      </c>
      <c r="AT346">
        <f>HYPERLINK("http://www.worldcat.org/oclc/1920404","WorldCat Record")</f>
        <v/>
      </c>
      <c r="AU346" t="inlineStr">
        <is>
          <t>1416405:eng</t>
        </is>
      </c>
      <c r="AV346" t="inlineStr">
        <is>
          <t>1920404</t>
        </is>
      </c>
      <c r="AW346" t="inlineStr">
        <is>
          <t>991003937939702656</t>
        </is>
      </c>
      <c r="AX346" t="inlineStr">
        <is>
          <t>991003937939702656</t>
        </is>
      </c>
      <c r="AY346" t="inlineStr">
        <is>
          <t>2261428260002656</t>
        </is>
      </c>
      <c r="AZ346" t="inlineStr">
        <is>
          <t>BOOK</t>
        </is>
      </c>
      <c r="BC346" t="inlineStr">
        <is>
          <t>32285002345477</t>
        </is>
      </c>
      <c r="BD346" t="inlineStr">
        <is>
          <t>893318613</t>
        </is>
      </c>
    </row>
    <row r="347">
      <c r="A347" t="inlineStr">
        <is>
          <t>No</t>
        </is>
      </c>
      <c r="B347" t="inlineStr">
        <is>
          <t>DC292 .S7</t>
        </is>
      </c>
      <c r="C347" t="inlineStr">
        <is>
          <t>0                      DC 0292000S  7</t>
        </is>
      </c>
      <c r="D347" t="inlineStr">
        <is>
          <t>Bismarck, the Hohenzollern candidacy, and the origins of the Franco-German War of 1870.</t>
        </is>
      </c>
      <c r="F347" t="inlineStr">
        <is>
          <t>No</t>
        </is>
      </c>
      <c r="G347" t="inlineStr">
        <is>
          <t>1</t>
        </is>
      </c>
      <c r="H347" t="inlineStr">
        <is>
          <t>No</t>
        </is>
      </c>
      <c r="I347" t="inlineStr">
        <is>
          <t>No</t>
        </is>
      </c>
      <c r="J347" t="inlineStr">
        <is>
          <t>0</t>
        </is>
      </c>
      <c r="K347" t="inlineStr">
        <is>
          <t>Steefel, Lawrence D. (Lawrence Dinkelspiel), 1894-1976.</t>
        </is>
      </c>
      <c r="L347" t="inlineStr">
        <is>
          <t>Cambridge, Harvard University Press, 1962.</t>
        </is>
      </c>
      <c r="M347" t="inlineStr">
        <is>
          <t>1962</t>
        </is>
      </c>
      <c r="O347" t="inlineStr">
        <is>
          <t>eng</t>
        </is>
      </c>
      <c r="P347" t="inlineStr">
        <is>
          <t>mau</t>
        </is>
      </c>
      <c r="R347" t="inlineStr">
        <is>
          <t xml:space="preserve">DC </t>
        </is>
      </c>
      <c r="S347" t="n">
        <v>1</v>
      </c>
      <c r="T347" t="n">
        <v>1</v>
      </c>
      <c r="U347" t="inlineStr">
        <is>
          <t>2008-03-13</t>
        </is>
      </c>
      <c r="V347" t="inlineStr">
        <is>
          <t>2008-03-13</t>
        </is>
      </c>
      <c r="W347" t="inlineStr">
        <is>
          <t>1996-11-14</t>
        </is>
      </c>
      <c r="X347" t="inlineStr">
        <is>
          <t>1996-11-14</t>
        </is>
      </c>
      <c r="Y347" t="n">
        <v>820</v>
      </c>
      <c r="Z347" t="n">
        <v>692</v>
      </c>
      <c r="AA347" t="n">
        <v>721</v>
      </c>
      <c r="AB347" t="n">
        <v>5</v>
      </c>
      <c r="AC347" t="n">
        <v>5</v>
      </c>
      <c r="AD347" t="n">
        <v>37</v>
      </c>
      <c r="AE347" t="n">
        <v>38</v>
      </c>
      <c r="AF347" t="n">
        <v>13</v>
      </c>
      <c r="AG347" t="n">
        <v>14</v>
      </c>
      <c r="AH347" t="n">
        <v>8</v>
      </c>
      <c r="AI347" t="n">
        <v>9</v>
      </c>
      <c r="AJ347" t="n">
        <v>22</v>
      </c>
      <c r="AK347" t="n">
        <v>22</v>
      </c>
      <c r="AL347" t="n">
        <v>4</v>
      </c>
      <c r="AM347" t="n">
        <v>4</v>
      </c>
      <c r="AN347" t="n">
        <v>0</v>
      </c>
      <c r="AO347" t="n">
        <v>0</v>
      </c>
      <c r="AP347" t="inlineStr">
        <is>
          <t>Yes</t>
        </is>
      </c>
      <c r="AQ347" t="inlineStr">
        <is>
          <t>No</t>
        </is>
      </c>
      <c r="AR347">
        <f>HYPERLINK("http://catalog.hathitrust.org/Record/000648349","HathiTrust Record")</f>
        <v/>
      </c>
      <c r="AS347">
        <f>HYPERLINK("https://creighton-primo.hosted.exlibrisgroup.com/primo-explore/search?tab=default_tab&amp;search_scope=EVERYTHING&amp;vid=01CRU&amp;lang=en_US&amp;offset=0&amp;query=any,contains,991002690299702656","Catalog Record")</f>
        <v/>
      </c>
      <c r="AT347">
        <f>HYPERLINK("http://www.worldcat.org/oclc/401378","WorldCat Record")</f>
        <v/>
      </c>
      <c r="AU347" t="inlineStr">
        <is>
          <t>118052183:eng</t>
        </is>
      </c>
      <c r="AV347" t="inlineStr">
        <is>
          <t>401378</t>
        </is>
      </c>
      <c r="AW347" t="inlineStr">
        <is>
          <t>991002690299702656</t>
        </is>
      </c>
      <c r="AX347" t="inlineStr">
        <is>
          <t>991002690299702656</t>
        </is>
      </c>
      <c r="AY347" t="inlineStr">
        <is>
          <t>2268099670002656</t>
        </is>
      </c>
      <c r="AZ347" t="inlineStr">
        <is>
          <t>BOOK</t>
        </is>
      </c>
      <c r="BC347" t="inlineStr">
        <is>
          <t>32285002345501</t>
        </is>
      </c>
      <c r="BD347" t="inlineStr">
        <is>
          <t>893873866</t>
        </is>
      </c>
    </row>
    <row r="348">
      <c r="A348" t="inlineStr">
        <is>
          <t>No</t>
        </is>
      </c>
      <c r="B348" t="inlineStr">
        <is>
          <t>DC316 .E3 1973</t>
        </is>
      </c>
      <c r="C348" t="inlineStr">
        <is>
          <t>0                      DC 0316000E  3           1973</t>
        </is>
      </c>
      <c r="D348" t="inlineStr">
        <is>
          <t>The Paris Commune, 1871.</t>
        </is>
      </c>
      <c r="F348" t="inlineStr">
        <is>
          <t>No</t>
        </is>
      </c>
      <c r="G348" t="inlineStr">
        <is>
          <t>1</t>
        </is>
      </c>
      <c r="H348" t="inlineStr">
        <is>
          <t>No</t>
        </is>
      </c>
      <c r="I348" t="inlineStr">
        <is>
          <t>No</t>
        </is>
      </c>
      <c r="J348" t="inlineStr">
        <is>
          <t>0</t>
        </is>
      </c>
      <c r="K348" t="inlineStr">
        <is>
          <t>Edwards, Stewart, 1937-</t>
        </is>
      </c>
      <c r="L348" t="inlineStr">
        <is>
          <t>Chicago, Quadrangle Books [1973, c1971]</t>
        </is>
      </c>
      <c r="M348" t="inlineStr">
        <is>
          <t>1973</t>
        </is>
      </c>
      <c r="N348" t="inlineStr">
        <is>
          <t>[1st American ed.]</t>
        </is>
      </c>
      <c r="O348" t="inlineStr">
        <is>
          <t>eng</t>
        </is>
      </c>
      <c r="P348" t="inlineStr">
        <is>
          <t>ilu</t>
        </is>
      </c>
      <c r="R348" t="inlineStr">
        <is>
          <t xml:space="preserve">DC </t>
        </is>
      </c>
      <c r="S348" t="n">
        <v>1</v>
      </c>
      <c r="T348" t="n">
        <v>1</v>
      </c>
      <c r="U348" t="inlineStr">
        <is>
          <t>2003-01-22</t>
        </is>
      </c>
      <c r="V348" t="inlineStr">
        <is>
          <t>2003-01-22</t>
        </is>
      </c>
      <c r="W348" t="inlineStr">
        <is>
          <t>1996-11-14</t>
        </is>
      </c>
      <c r="X348" t="inlineStr">
        <is>
          <t>1996-11-14</t>
        </is>
      </c>
      <c r="Y348" t="n">
        <v>451</v>
      </c>
      <c r="Z348" t="n">
        <v>430</v>
      </c>
      <c r="AA348" t="n">
        <v>593</v>
      </c>
      <c r="AB348" t="n">
        <v>5</v>
      </c>
      <c r="AC348" t="n">
        <v>5</v>
      </c>
      <c r="AD348" t="n">
        <v>17</v>
      </c>
      <c r="AE348" t="n">
        <v>24</v>
      </c>
      <c r="AF348" t="n">
        <v>7</v>
      </c>
      <c r="AG348" t="n">
        <v>9</v>
      </c>
      <c r="AH348" t="n">
        <v>4</v>
      </c>
      <c r="AI348" t="n">
        <v>8</v>
      </c>
      <c r="AJ348" t="n">
        <v>9</v>
      </c>
      <c r="AK348" t="n">
        <v>13</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HYPERLINK("https://creighton-primo.hosted.exlibrisgroup.com/primo-explore/search?tab=default_tab&amp;search_scope=EVERYTHING&amp;vid=01CRU&amp;lang=en_US&amp;offset=0&amp;query=any,contains,991003222249702656","Catalog Record")</f>
        <v/>
      </c>
      <c r="AT348">
        <f>HYPERLINK("http://www.worldcat.org/oclc/747442","WorldCat Record")</f>
        <v/>
      </c>
      <c r="AU348" t="inlineStr">
        <is>
          <t>1296402:eng</t>
        </is>
      </c>
      <c r="AV348" t="inlineStr">
        <is>
          <t>747442</t>
        </is>
      </c>
      <c r="AW348" t="inlineStr">
        <is>
          <t>991003222249702656</t>
        </is>
      </c>
      <c r="AX348" t="inlineStr">
        <is>
          <t>991003222249702656</t>
        </is>
      </c>
      <c r="AY348" t="inlineStr">
        <is>
          <t>2256148210002656</t>
        </is>
      </c>
      <c r="AZ348" t="inlineStr">
        <is>
          <t>BOOK</t>
        </is>
      </c>
      <c r="BB348" t="inlineStr">
        <is>
          <t>9780812902594</t>
        </is>
      </c>
      <c r="BC348" t="inlineStr">
        <is>
          <t>32285002345600</t>
        </is>
      </c>
      <c r="BD348" t="inlineStr">
        <is>
          <t>893524557</t>
        </is>
      </c>
    </row>
    <row r="349">
      <c r="A349" t="inlineStr">
        <is>
          <t>No</t>
        </is>
      </c>
      <c r="B349" t="inlineStr">
        <is>
          <t>DC316 .H67 1971b</t>
        </is>
      </c>
      <c r="C349" t="inlineStr">
        <is>
          <t>0                      DC 0316000H  67          1971b</t>
        </is>
      </c>
      <c r="D349" t="inlineStr">
        <is>
          <t>The terrible year; the Paris Commune, 1871.</t>
        </is>
      </c>
      <c r="F349" t="inlineStr">
        <is>
          <t>No</t>
        </is>
      </c>
      <c r="G349" t="inlineStr">
        <is>
          <t>1</t>
        </is>
      </c>
      <c r="H349" t="inlineStr">
        <is>
          <t>No</t>
        </is>
      </c>
      <c r="I349" t="inlineStr">
        <is>
          <t>No</t>
        </is>
      </c>
      <c r="J349" t="inlineStr">
        <is>
          <t>0</t>
        </is>
      </c>
      <c r="K349" t="inlineStr">
        <is>
          <t>Horne, Alistair.</t>
        </is>
      </c>
      <c r="L349" t="inlineStr">
        <is>
          <t>New York, Viking Press [1971]</t>
        </is>
      </c>
      <c r="M349" t="inlineStr">
        <is>
          <t>1971</t>
        </is>
      </c>
      <c r="O349" t="inlineStr">
        <is>
          <t>eng</t>
        </is>
      </c>
      <c r="P349" t="inlineStr">
        <is>
          <t>nyu</t>
        </is>
      </c>
      <c r="R349" t="inlineStr">
        <is>
          <t xml:space="preserve">DC </t>
        </is>
      </c>
      <c r="S349" t="n">
        <v>1</v>
      </c>
      <c r="T349" t="n">
        <v>1</v>
      </c>
      <c r="U349" t="inlineStr">
        <is>
          <t>1998-05-13</t>
        </is>
      </c>
      <c r="V349" t="inlineStr">
        <is>
          <t>1998-05-13</t>
        </is>
      </c>
      <c r="W349" t="inlineStr">
        <is>
          <t>1996-11-14</t>
        </is>
      </c>
      <c r="X349" t="inlineStr">
        <is>
          <t>1996-11-14</t>
        </is>
      </c>
      <c r="Y349" t="n">
        <v>515</v>
      </c>
      <c r="Z349" t="n">
        <v>490</v>
      </c>
      <c r="AA349" t="n">
        <v>584</v>
      </c>
      <c r="AB349" t="n">
        <v>3</v>
      </c>
      <c r="AC349" t="n">
        <v>4</v>
      </c>
      <c r="AD349" t="n">
        <v>19</v>
      </c>
      <c r="AE349" t="n">
        <v>22</v>
      </c>
      <c r="AF349" t="n">
        <v>5</v>
      </c>
      <c r="AG349" t="n">
        <v>6</v>
      </c>
      <c r="AH349" t="n">
        <v>8</v>
      </c>
      <c r="AI349" t="n">
        <v>8</v>
      </c>
      <c r="AJ349" t="n">
        <v>9</v>
      </c>
      <c r="AK349" t="n">
        <v>10</v>
      </c>
      <c r="AL349" t="n">
        <v>2</v>
      </c>
      <c r="AM349" t="n">
        <v>3</v>
      </c>
      <c r="AN349" t="n">
        <v>0</v>
      </c>
      <c r="AO349" t="n">
        <v>0</v>
      </c>
      <c r="AP349" t="inlineStr">
        <is>
          <t>No</t>
        </is>
      </c>
      <c r="AQ349" t="inlineStr">
        <is>
          <t>Yes</t>
        </is>
      </c>
      <c r="AR349">
        <f>HYPERLINK("http://catalog.hathitrust.org/Record/000644360","HathiTrust Record")</f>
        <v/>
      </c>
      <c r="AS349">
        <f>HYPERLINK("https://creighton-primo.hosted.exlibrisgroup.com/primo-explore/search?tab=default_tab&amp;search_scope=EVERYTHING&amp;vid=01CRU&amp;lang=en_US&amp;offset=0&amp;query=any,contains,991001177819702656","Catalog Record")</f>
        <v/>
      </c>
      <c r="AT349">
        <f>HYPERLINK("http://www.worldcat.org/oclc/189229","WorldCat Record")</f>
        <v/>
      </c>
      <c r="AU349" t="inlineStr">
        <is>
          <t>1005784:eng</t>
        </is>
      </c>
      <c r="AV349" t="inlineStr">
        <is>
          <t>189229</t>
        </is>
      </c>
      <c r="AW349" t="inlineStr">
        <is>
          <t>991001177819702656</t>
        </is>
      </c>
      <c r="AX349" t="inlineStr">
        <is>
          <t>991001177819702656</t>
        </is>
      </c>
      <c r="AY349" t="inlineStr">
        <is>
          <t>2268008510002656</t>
        </is>
      </c>
      <c r="AZ349" t="inlineStr">
        <is>
          <t>BOOK</t>
        </is>
      </c>
      <c r="BB349" t="inlineStr">
        <is>
          <t>9780670696994</t>
        </is>
      </c>
      <c r="BC349" t="inlineStr">
        <is>
          <t>32285002345618</t>
        </is>
      </c>
      <c r="BD349" t="inlineStr">
        <is>
          <t>893720946</t>
        </is>
      </c>
    </row>
    <row r="350">
      <c r="A350" t="inlineStr">
        <is>
          <t>No</t>
        </is>
      </c>
      <c r="B350" t="inlineStr">
        <is>
          <t>DC33 .C75</t>
        </is>
      </c>
      <c r="C350" t="inlineStr">
        <is>
          <t>0                      DC 0033000C  75</t>
        </is>
      </c>
      <c r="D350" t="inlineStr">
        <is>
          <t>Histoire culturelle de la France, XIXe-XXe siècle / Maurice Crubellier.</t>
        </is>
      </c>
      <c r="F350" t="inlineStr">
        <is>
          <t>No</t>
        </is>
      </c>
      <c r="G350" t="inlineStr">
        <is>
          <t>1</t>
        </is>
      </c>
      <c r="H350" t="inlineStr">
        <is>
          <t>No</t>
        </is>
      </c>
      <c r="I350" t="inlineStr">
        <is>
          <t>No</t>
        </is>
      </c>
      <c r="J350" t="inlineStr">
        <is>
          <t>0</t>
        </is>
      </c>
      <c r="K350" t="inlineStr">
        <is>
          <t>Crubellier, Maurice.</t>
        </is>
      </c>
      <c r="L350" t="inlineStr">
        <is>
          <t>Paris : A. Colin, 1974.</t>
        </is>
      </c>
      <c r="M350" t="inlineStr">
        <is>
          <t>1974</t>
        </is>
      </c>
      <c r="O350" t="inlineStr">
        <is>
          <t>fre</t>
        </is>
      </c>
      <c r="P350" t="inlineStr">
        <is>
          <t xml:space="preserve">fr </t>
        </is>
      </c>
      <c r="Q350" t="inlineStr">
        <is>
          <t>Collection U. Série Histoire contemporaine</t>
        </is>
      </c>
      <c r="R350" t="inlineStr">
        <is>
          <t xml:space="preserve">DC </t>
        </is>
      </c>
      <c r="S350" t="n">
        <v>1</v>
      </c>
      <c r="T350" t="n">
        <v>1</v>
      </c>
      <c r="U350" t="inlineStr">
        <is>
          <t>2002-07-17</t>
        </is>
      </c>
      <c r="V350" t="inlineStr">
        <is>
          <t>2002-07-17</t>
        </is>
      </c>
      <c r="W350" t="inlineStr">
        <is>
          <t>1990-07-19</t>
        </is>
      </c>
      <c r="X350" t="inlineStr">
        <is>
          <t>1990-07-19</t>
        </is>
      </c>
      <c r="Y350" t="n">
        <v>288</v>
      </c>
      <c r="Z350" t="n">
        <v>186</v>
      </c>
      <c r="AA350" t="n">
        <v>200</v>
      </c>
      <c r="AB350" t="n">
        <v>2</v>
      </c>
      <c r="AC350" t="n">
        <v>2</v>
      </c>
      <c r="AD350" t="n">
        <v>10</v>
      </c>
      <c r="AE350" t="n">
        <v>11</v>
      </c>
      <c r="AF350" t="n">
        <v>2</v>
      </c>
      <c r="AG350" t="n">
        <v>3</v>
      </c>
      <c r="AH350" t="n">
        <v>3</v>
      </c>
      <c r="AI350" t="n">
        <v>3</v>
      </c>
      <c r="AJ350" t="n">
        <v>7</v>
      </c>
      <c r="AK350" t="n">
        <v>7</v>
      </c>
      <c r="AL350" t="n">
        <v>1</v>
      </c>
      <c r="AM350" t="n">
        <v>1</v>
      </c>
      <c r="AN350" t="n">
        <v>0</v>
      </c>
      <c r="AO350" t="n">
        <v>0</v>
      </c>
      <c r="AP350" t="inlineStr">
        <is>
          <t>No</t>
        </is>
      </c>
      <c r="AQ350" t="inlineStr">
        <is>
          <t>Yes</t>
        </is>
      </c>
      <c r="AR350">
        <f>HYPERLINK("http://catalog.hathitrust.org/Record/000451515","HathiTrust Record")</f>
        <v/>
      </c>
      <c r="AS350">
        <f>HYPERLINK("https://creighton-primo.hosted.exlibrisgroup.com/primo-explore/search?tab=default_tab&amp;search_scope=EVERYTHING&amp;vid=01CRU&amp;lang=en_US&amp;offset=0&amp;query=any,contains,991003459149702656","Catalog Record")</f>
        <v/>
      </c>
      <c r="AT350">
        <f>HYPERLINK("http://www.worldcat.org/oclc/999674","WorldCat Record")</f>
        <v/>
      </c>
      <c r="AU350" t="inlineStr">
        <is>
          <t>2000795:fre</t>
        </is>
      </c>
      <c r="AV350" t="inlineStr">
        <is>
          <t>999674</t>
        </is>
      </c>
      <c r="AW350" t="inlineStr">
        <is>
          <t>991003459149702656</t>
        </is>
      </c>
      <c r="AX350" t="inlineStr">
        <is>
          <t>991003459149702656</t>
        </is>
      </c>
      <c r="AY350" t="inlineStr">
        <is>
          <t>2272171310002656</t>
        </is>
      </c>
      <c r="AZ350" t="inlineStr">
        <is>
          <t>BOOK</t>
        </is>
      </c>
      <c r="BC350" t="inlineStr">
        <is>
          <t>32285000245380</t>
        </is>
      </c>
      <c r="BD350" t="inlineStr">
        <is>
          <t>893721944</t>
        </is>
      </c>
    </row>
    <row r="351">
      <c r="A351" t="inlineStr">
        <is>
          <t>No</t>
        </is>
      </c>
      <c r="B351" t="inlineStr">
        <is>
          <t>DC33 .D33 1975</t>
        </is>
      </c>
      <c r="C351" t="inlineStr">
        <is>
          <t>0                      DC 0033000D  33          1975</t>
        </is>
      </c>
      <c r="D351" t="inlineStr">
        <is>
          <t>Society and culture in early modern France : eight essays / by Natalie Zemon Davis.</t>
        </is>
      </c>
      <c r="F351" t="inlineStr">
        <is>
          <t>No</t>
        </is>
      </c>
      <c r="G351" t="inlineStr">
        <is>
          <t>1</t>
        </is>
      </c>
      <c r="H351" t="inlineStr">
        <is>
          <t>No</t>
        </is>
      </c>
      <c r="I351" t="inlineStr">
        <is>
          <t>No</t>
        </is>
      </c>
      <c r="J351" t="inlineStr">
        <is>
          <t>0</t>
        </is>
      </c>
      <c r="K351" t="inlineStr">
        <is>
          <t>Davis, Natalie Zemon, 1928-</t>
        </is>
      </c>
      <c r="L351" t="inlineStr">
        <is>
          <t>Stanford, Calif. : Stanford University Press, 1975.</t>
        </is>
      </c>
      <c r="M351" t="inlineStr">
        <is>
          <t>1975</t>
        </is>
      </c>
      <c r="O351" t="inlineStr">
        <is>
          <t>eng</t>
        </is>
      </c>
      <c r="P351" t="inlineStr">
        <is>
          <t>cau</t>
        </is>
      </c>
      <c r="R351" t="inlineStr">
        <is>
          <t xml:space="preserve">DC </t>
        </is>
      </c>
      <c r="S351" t="n">
        <v>6</v>
      </c>
      <c r="T351" t="n">
        <v>6</v>
      </c>
      <c r="U351" t="inlineStr">
        <is>
          <t>2006-01-18</t>
        </is>
      </c>
      <c r="V351" t="inlineStr">
        <is>
          <t>2006-01-18</t>
        </is>
      </c>
      <c r="W351" t="inlineStr">
        <is>
          <t>1990-11-21</t>
        </is>
      </c>
      <c r="X351" t="inlineStr">
        <is>
          <t>1990-11-21</t>
        </is>
      </c>
      <c r="Y351" t="n">
        <v>942</v>
      </c>
      <c r="Z351" t="n">
        <v>803</v>
      </c>
      <c r="AA351" t="n">
        <v>947</v>
      </c>
      <c r="AB351" t="n">
        <v>5</v>
      </c>
      <c r="AC351" t="n">
        <v>8</v>
      </c>
      <c r="AD351" t="n">
        <v>42</v>
      </c>
      <c r="AE351" t="n">
        <v>49</v>
      </c>
      <c r="AF351" t="n">
        <v>18</v>
      </c>
      <c r="AG351" t="n">
        <v>21</v>
      </c>
      <c r="AH351" t="n">
        <v>10</v>
      </c>
      <c r="AI351" t="n">
        <v>11</v>
      </c>
      <c r="AJ351" t="n">
        <v>22</v>
      </c>
      <c r="AK351" t="n">
        <v>23</v>
      </c>
      <c r="AL351" t="n">
        <v>4</v>
      </c>
      <c r="AM351" t="n">
        <v>7</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HYPERLINK("https://creighton-primo.hosted.exlibrisgroup.com/primo-explore/search?tab=default_tab&amp;search_scope=EVERYTHING&amp;vid=01CRU&amp;lang=en_US&amp;offset=0&amp;query=any,contains,991003683859702656","Catalog Record")</f>
        <v/>
      </c>
      <c r="AT351">
        <f>HYPERLINK("http://www.worldcat.org/oclc/1311221","WorldCat Record")</f>
        <v/>
      </c>
      <c r="AU351" t="inlineStr">
        <is>
          <t>459536:eng</t>
        </is>
      </c>
      <c r="AV351" t="inlineStr">
        <is>
          <t>1311221</t>
        </is>
      </c>
      <c r="AW351" t="inlineStr">
        <is>
          <t>991003683859702656</t>
        </is>
      </c>
      <c r="AX351" t="inlineStr">
        <is>
          <t>991003683859702656</t>
        </is>
      </c>
      <c r="AY351" t="inlineStr">
        <is>
          <t>2258914640002656</t>
        </is>
      </c>
      <c r="AZ351" t="inlineStr">
        <is>
          <t>BOOK</t>
        </is>
      </c>
      <c r="BB351" t="inlineStr">
        <is>
          <t>9780804708685</t>
        </is>
      </c>
      <c r="BC351" t="inlineStr">
        <is>
          <t>32285000393263</t>
        </is>
      </c>
      <c r="BD351" t="inlineStr">
        <is>
          <t>893781274</t>
        </is>
      </c>
    </row>
    <row r="352">
      <c r="A352" t="inlineStr">
        <is>
          <t>No</t>
        </is>
      </c>
      <c r="B352" t="inlineStr">
        <is>
          <t>DC33 .G48 1996</t>
        </is>
      </c>
      <c r="C352" t="inlineStr">
        <is>
          <t>0                      DC 0033000G  48          1996</t>
        </is>
      </c>
      <c r="D352" t="inlineStr">
        <is>
          <t>The past in French history / Robert Gildea.</t>
        </is>
      </c>
      <c r="F352" t="inlineStr">
        <is>
          <t>No</t>
        </is>
      </c>
      <c r="G352" t="inlineStr">
        <is>
          <t>1</t>
        </is>
      </c>
      <c r="H352" t="inlineStr">
        <is>
          <t>No</t>
        </is>
      </c>
      <c r="I352" t="inlineStr">
        <is>
          <t>No</t>
        </is>
      </c>
      <c r="J352" t="inlineStr">
        <is>
          <t>0</t>
        </is>
      </c>
      <c r="K352" t="inlineStr">
        <is>
          <t>Gildea, Robert.</t>
        </is>
      </c>
      <c r="L352" t="inlineStr">
        <is>
          <t>New Haven : Yale University Press, 1996, c1994.</t>
        </is>
      </c>
      <c r="M352" t="inlineStr">
        <is>
          <t>1996</t>
        </is>
      </c>
      <c r="N352" t="inlineStr">
        <is>
          <t>Paperback ed.</t>
        </is>
      </c>
      <c r="O352" t="inlineStr">
        <is>
          <t>eng</t>
        </is>
      </c>
      <c r="P352" t="inlineStr">
        <is>
          <t>ctu</t>
        </is>
      </c>
      <c r="R352" t="inlineStr">
        <is>
          <t xml:space="preserve">DC </t>
        </is>
      </c>
      <c r="S352" t="n">
        <v>2</v>
      </c>
      <c r="T352" t="n">
        <v>2</v>
      </c>
      <c r="U352" t="inlineStr">
        <is>
          <t>1998-04-22</t>
        </is>
      </c>
      <c r="V352" t="inlineStr">
        <is>
          <t>1998-04-22</t>
        </is>
      </c>
      <c r="W352" t="inlineStr">
        <is>
          <t>1998-03-31</t>
        </is>
      </c>
      <c r="X352" t="inlineStr">
        <is>
          <t>1998-03-31</t>
        </is>
      </c>
      <c r="Y352" t="n">
        <v>56</v>
      </c>
      <c r="Z352" t="n">
        <v>45</v>
      </c>
      <c r="AA352" t="n">
        <v>432</v>
      </c>
      <c r="AB352" t="n">
        <v>1</v>
      </c>
      <c r="AC352" t="n">
        <v>3</v>
      </c>
      <c r="AD352" t="n">
        <v>3</v>
      </c>
      <c r="AE352" t="n">
        <v>28</v>
      </c>
      <c r="AF352" t="n">
        <v>2</v>
      </c>
      <c r="AG352" t="n">
        <v>10</v>
      </c>
      <c r="AH352" t="n">
        <v>1</v>
      </c>
      <c r="AI352" t="n">
        <v>9</v>
      </c>
      <c r="AJ352" t="n">
        <v>0</v>
      </c>
      <c r="AK352" t="n">
        <v>17</v>
      </c>
      <c r="AL352" t="n">
        <v>0</v>
      </c>
      <c r="AM352" t="n">
        <v>2</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HYPERLINK("https://creighton-primo.hosted.exlibrisgroup.com/primo-explore/search?tab=default_tab&amp;search_scope=EVERYTHING&amp;vid=01CRU&amp;lang=en_US&amp;offset=0&amp;query=any,contains,991002700359702656","Catalog Record")</f>
        <v/>
      </c>
      <c r="AT352">
        <f>HYPERLINK("http://www.worldcat.org/oclc/35250558","WorldCat Record")</f>
        <v/>
      </c>
      <c r="AU352" t="inlineStr">
        <is>
          <t>20645460:eng</t>
        </is>
      </c>
      <c r="AV352" t="inlineStr">
        <is>
          <t>35250558</t>
        </is>
      </c>
      <c r="AW352" t="inlineStr">
        <is>
          <t>991002700359702656</t>
        </is>
      </c>
      <c r="AX352" t="inlineStr">
        <is>
          <t>991002700359702656</t>
        </is>
      </c>
      <c r="AY352" t="inlineStr">
        <is>
          <t>2260211640002656</t>
        </is>
      </c>
      <c r="AZ352" t="inlineStr">
        <is>
          <t>BOOK</t>
        </is>
      </c>
      <c r="BB352" t="inlineStr">
        <is>
          <t>9780300067118</t>
        </is>
      </c>
      <c r="BC352" t="inlineStr">
        <is>
          <t>32285003382073</t>
        </is>
      </c>
      <c r="BD352" t="inlineStr">
        <is>
          <t>893867577</t>
        </is>
      </c>
    </row>
    <row r="353">
      <c r="A353" t="inlineStr">
        <is>
          <t>No</t>
        </is>
      </c>
      <c r="B353" t="inlineStr">
        <is>
          <t>DC33 .H36</t>
        </is>
      </c>
      <c r="C353" t="inlineStr">
        <is>
          <t>0                      DC 0033000H  36</t>
        </is>
      </c>
      <c r="D353" t="inlineStr">
        <is>
          <t>La France et sa civilisatíon.</t>
        </is>
      </c>
      <c r="F353" t="inlineStr">
        <is>
          <t>No</t>
        </is>
      </c>
      <c r="G353" t="inlineStr">
        <is>
          <t>1</t>
        </is>
      </c>
      <c r="H353" t="inlineStr">
        <is>
          <t>No</t>
        </is>
      </c>
      <c r="I353" t="inlineStr">
        <is>
          <t>No</t>
        </is>
      </c>
      <c r="J353" t="inlineStr">
        <is>
          <t>0</t>
        </is>
      </c>
      <c r="K353" t="inlineStr">
        <is>
          <t>Hardré, Jacques, 1915-</t>
        </is>
      </c>
      <c r="L353" t="inlineStr">
        <is>
          <t>New York, Dodd, Mead &amp; Co., 1969.</t>
        </is>
      </c>
      <c r="M353" t="inlineStr">
        <is>
          <t>1969</t>
        </is>
      </c>
      <c r="O353" t="inlineStr">
        <is>
          <t>fre</t>
        </is>
      </c>
      <c r="P353" t="inlineStr">
        <is>
          <t xml:space="preserve">xx </t>
        </is>
      </c>
      <c r="R353" t="inlineStr">
        <is>
          <t xml:space="preserve">DC </t>
        </is>
      </c>
      <c r="S353" t="n">
        <v>1</v>
      </c>
      <c r="T353" t="n">
        <v>1</v>
      </c>
      <c r="U353" t="inlineStr">
        <is>
          <t>2010-03-31</t>
        </is>
      </c>
      <c r="V353" t="inlineStr">
        <is>
          <t>2010-03-31</t>
        </is>
      </c>
      <c r="W353" t="inlineStr">
        <is>
          <t>1996-10-24</t>
        </is>
      </c>
      <c r="X353" t="inlineStr">
        <is>
          <t>1996-10-24</t>
        </is>
      </c>
      <c r="Y353" t="n">
        <v>193</v>
      </c>
      <c r="Z353" t="n">
        <v>177</v>
      </c>
      <c r="AA353" t="n">
        <v>219</v>
      </c>
      <c r="AB353" t="n">
        <v>3</v>
      </c>
      <c r="AC353" t="n">
        <v>3</v>
      </c>
      <c r="AD353" t="n">
        <v>11</v>
      </c>
      <c r="AE353" t="n">
        <v>13</v>
      </c>
      <c r="AF353" t="n">
        <v>7</v>
      </c>
      <c r="AG353" t="n">
        <v>7</v>
      </c>
      <c r="AH353" t="n">
        <v>3</v>
      </c>
      <c r="AI353" t="n">
        <v>4</v>
      </c>
      <c r="AJ353" t="n">
        <v>3</v>
      </c>
      <c r="AK353" t="n">
        <v>5</v>
      </c>
      <c r="AL353" t="n">
        <v>2</v>
      </c>
      <c r="AM353" t="n">
        <v>2</v>
      </c>
      <c r="AN353" t="n">
        <v>0</v>
      </c>
      <c r="AO353" t="n">
        <v>0</v>
      </c>
      <c r="AP353" t="inlineStr">
        <is>
          <t>No</t>
        </is>
      </c>
      <c r="AQ353" t="inlineStr">
        <is>
          <t>Yes</t>
        </is>
      </c>
      <c r="AR353">
        <f>HYPERLINK("http://catalog.hathitrust.org/Record/008368942","HathiTrust Record")</f>
        <v/>
      </c>
      <c r="AS353">
        <f>HYPERLINK("https://creighton-primo.hosted.exlibrisgroup.com/primo-explore/search?tab=default_tab&amp;search_scope=EVERYTHING&amp;vid=01CRU&amp;lang=en_US&amp;offset=0&amp;query=any,contains,991003088099702656","Catalog Record")</f>
        <v/>
      </c>
      <c r="AT353">
        <f>HYPERLINK("http://www.worldcat.org/oclc/638272","WorldCat Record")</f>
        <v/>
      </c>
      <c r="AU353" t="inlineStr">
        <is>
          <t>348847851:fre</t>
        </is>
      </c>
      <c r="AV353" t="inlineStr">
        <is>
          <t>638272</t>
        </is>
      </c>
      <c r="AW353" t="inlineStr">
        <is>
          <t>991003088099702656</t>
        </is>
      </c>
      <c r="AX353" t="inlineStr">
        <is>
          <t>991003088099702656</t>
        </is>
      </c>
      <c r="AY353" t="inlineStr">
        <is>
          <t>2259500440002656</t>
        </is>
      </c>
      <c r="AZ353" t="inlineStr">
        <is>
          <t>BOOK</t>
        </is>
      </c>
      <c r="BC353" t="inlineStr">
        <is>
          <t>32285002378023</t>
        </is>
      </c>
      <c r="BD353" t="inlineStr">
        <is>
          <t>893227671</t>
        </is>
      </c>
    </row>
    <row r="354">
      <c r="A354" t="inlineStr">
        <is>
          <t>No</t>
        </is>
      </c>
      <c r="B354" t="inlineStr">
        <is>
          <t>DC33 .M38 2004</t>
        </is>
      </c>
      <c r="C354" t="inlineStr">
        <is>
          <t>0                      DC 0033000M  38          2004</t>
        </is>
      </c>
      <c r="D354" t="inlineStr">
        <is>
          <t>La France de toujours : civilisation / Nelly Mauchamp.</t>
        </is>
      </c>
      <c r="F354" t="inlineStr">
        <is>
          <t>No</t>
        </is>
      </c>
      <c r="G354" t="inlineStr">
        <is>
          <t>1</t>
        </is>
      </c>
      <c r="H354" t="inlineStr">
        <is>
          <t>No</t>
        </is>
      </c>
      <c r="I354" t="inlineStr">
        <is>
          <t>No</t>
        </is>
      </c>
      <c r="J354" t="inlineStr">
        <is>
          <t>0</t>
        </is>
      </c>
      <c r="K354" t="inlineStr">
        <is>
          <t>Mauchamp, Nelly.</t>
        </is>
      </c>
      <c r="L354" t="inlineStr">
        <is>
          <t>Paris : CLE International, 2004.</t>
        </is>
      </c>
      <c r="M354" t="inlineStr">
        <is>
          <t>2004</t>
        </is>
      </c>
      <c r="N354" t="inlineStr">
        <is>
          <t>Nouvelle edition</t>
        </is>
      </c>
      <c r="O354" t="inlineStr">
        <is>
          <t>fre</t>
        </is>
      </c>
      <c r="P354" t="inlineStr">
        <is>
          <t xml:space="preserve">fr </t>
        </is>
      </c>
      <c r="R354" t="inlineStr">
        <is>
          <t xml:space="preserve">DC </t>
        </is>
      </c>
      <c r="S354" t="n">
        <v>1</v>
      </c>
      <c r="T354" t="n">
        <v>1</v>
      </c>
      <c r="U354" t="inlineStr">
        <is>
          <t>2007-03-13</t>
        </is>
      </c>
      <c r="V354" t="inlineStr">
        <is>
          <t>2007-03-13</t>
        </is>
      </c>
      <c r="W354" t="inlineStr">
        <is>
          <t>2007-03-13</t>
        </is>
      </c>
      <c r="X354" t="inlineStr">
        <is>
          <t>2007-03-13</t>
        </is>
      </c>
      <c r="Y354" t="n">
        <v>25</v>
      </c>
      <c r="Z354" t="n">
        <v>8</v>
      </c>
      <c r="AA354" t="n">
        <v>55</v>
      </c>
      <c r="AB354" t="n">
        <v>1</v>
      </c>
      <c r="AC354" t="n">
        <v>1</v>
      </c>
      <c r="AD354" t="n">
        <v>0</v>
      </c>
      <c r="AE354" t="n">
        <v>3</v>
      </c>
      <c r="AF354" t="n">
        <v>0</v>
      </c>
      <c r="AG354" t="n">
        <v>2</v>
      </c>
      <c r="AH354" t="n">
        <v>0</v>
      </c>
      <c r="AI354" t="n">
        <v>0</v>
      </c>
      <c r="AJ354" t="n">
        <v>0</v>
      </c>
      <c r="AK354" t="n">
        <v>2</v>
      </c>
      <c r="AL354" t="n">
        <v>0</v>
      </c>
      <c r="AM354" t="n">
        <v>0</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HYPERLINK("https://creighton-primo.hosted.exlibrisgroup.com/primo-explore/search?tab=default_tab&amp;search_scope=EVERYTHING&amp;vid=01CRU&amp;lang=en_US&amp;offset=0&amp;query=any,contains,991005043539702656","Catalog Record")</f>
        <v/>
      </c>
      <c r="AT354">
        <f>HYPERLINK("http://www.worldcat.org/oclc/69609161","WorldCat Record")</f>
        <v/>
      </c>
      <c r="AU354" t="inlineStr">
        <is>
          <t>880281572:fre</t>
        </is>
      </c>
      <c r="AV354" t="inlineStr">
        <is>
          <t>69609161</t>
        </is>
      </c>
      <c r="AW354" t="inlineStr">
        <is>
          <t>991005043539702656</t>
        </is>
      </c>
      <c r="AX354" t="inlineStr">
        <is>
          <t>991005043539702656</t>
        </is>
      </c>
      <c r="AY354" t="inlineStr">
        <is>
          <t>2255961590002656</t>
        </is>
      </c>
      <c r="AZ354" t="inlineStr">
        <is>
          <t>BOOK</t>
        </is>
      </c>
      <c r="BB354" t="inlineStr">
        <is>
          <t>9782090331226</t>
        </is>
      </c>
      <c r="BC354" t="inlineStr">
        <is>
          <t>32285005281471</t>
        </is>
      </c>
      <c r="BD354" t="inlineStr">
        <is>
          <t>893807748</t>
        </is>
      </c>
    </row>
    <row r="355">
      <c r="A355" t="inlineStr">
        <is>
          <t>No</t>
        </is>
      </c>
      <c r="B355" t="inlineStr">
        <is>
          <t>DC33 .M48 1990</t>
        </is>
      </c>
      <c r="C355" t="inlineStr">
        <is>
          <t>0                      DC 0033000M  48          1990</t>
        </is>
      </c>
      <c r="D355" t="inlineStr">
        <is>
          <t>Le nouveau guide France / Guy Michaud et Alain Kimmel.</t>
        </is>
      </c>
      <c r="F355" t="inlineStr">
        <is>
          <t>No</t>
        </is>
      </c>
      <c r="G355" t="inlineStr">
        <is>
          <t>1</t>
        </is>
      </c>
      <c r="H355" t="inlineStr">
        <is>
          <t>No</t>
        </is>
      </c>
      <c r="I355" t="inlineStr">
        <is>
          <t>No</t>
        </is>
      </c>
      <c r="J355" t="inlineStr">
        <is>
          <t>0</t>
        </is>
      </c>
      <c r="K355" t="inlineStr">
        <is>
          <t>Michaud, Guy.</t>
        </is>
      </c>
      <c r="L355" t="inlineStr">
        <is>
          <t>Paris : Hachette, 1990.</t>
        </is>
      </c>
      <c r="M355" t="inlineStr">
        <is>
          <t>1990</t>
        </is>
      </c>
      <c r="N355" t="inlineStr">
        <is>
          <t>Nouv. éd. refondue.</t>
        </is>
      </c>
      <c r="O355" t="inlineStr">
        <is>
          <t>fre</t>
        </is>
      </c>
      <c r="P355" t="inlineStr">
        <is>
          <t xml:space="preserve">fr </t>
        </is>
      </c>
      <c r="R355" t="inlineStr">
        <is>
          <t xml:space="preserve">DC </t>
        </is>
      </c>
      <c r="S355" t="n">
        <v>9</v>
      </c>
      <c r="T355" t="n">
        <v>9</v>
      </c>
      <c r="U355" t="inlineStr">
        <is>
          <t>2007-10-10</t>
        </is>
      </c>
      <c r="V355" t="inlineStr">
        <is>
          <t>2007-10-10</t>
        </is>
      </c>
      <c r="W355" t="inlineStr">
        <is>
          <t>1992-01-16</t>
        </is>
      </c>
      <c r="X355" t="inlineStr">
        <is>
          <t>1992-01-16</t>
        </is>
      </c>
      <c r="Y355" t="n">
        <v>109</v>
      </c>
      <c r="Z355" t="n">
        <v>51</v>
      </c>
      <c r="AA355" t="n">
        <v>88</v>
      </c>
      <c r="AB355" t="n">
        <v>1</v>
      </c>
      <c r="AC355" t="n">
        <v>1</v>
      </c>
      <c r="AD355" t="n">
        <v>4</v>
      </c>
      <c r="AE355" t="n">
        <v>4</v>
      </c>
      <c r="AF355" t="n">
        <v>1</v>
      </c>
      <c r="AG355" t="n">
        <v>1</v>
      </c>
      <c r="AH355" t="n">
        <v>0</v>
      </c>
      <c r="AI355" t="n">
        <v>0</v>
      </c>
      <c r="AJ355" t="n">
        <v>3</v>
      </c>
      <c r="AK355" t="n">
        <v>3</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HYPERLINK("https://creighton-primo.hosted.exlibrisgroup.com/primo-explore/search?tab=default_tab&amp;search_scope=EVERYTHING&amp;vid=01CRU&amp;lang=en_US&amp;offset=0&amp;query=any,contains,991001739689702656","Catalog Record")</f>
        <v/>
      </c>
      <c r="AT355">
        <f>HYPERLINK("http://www.worldcat.org/oclc/21983935","WorldCat Record")</f>
        <v/>
      </c>
      <c r="AU355" t="inlineStr">
        <is>
          <t>5090471411:fre</t>
        </is>
      </c>
      <c r="AV355" t="inlineStr">
        <is>
          <t>21983935</t>
        </is>
      </c>
      <c r="AW355" t="inlineStr">
        <is>
          <t>991001739689702656</t>
        </is>
      </c>
      <c r="AX355" t="inlineStr">
        <is>
          <t>991001739689702656</t>
        </is>
      </c>
      <c r="AY355" t="inlineStr">
        <is>
          <t>2268321890002656</t>
        </is>
      </c>
      <c r="AZ355" t="inlineStr">
        <is>
          <t>BOOK</t>
        </is>
      </c>
      <c r="BB355" t="inlineStr">
        <is>
          <t>9782010153877</t>
        </is>
      </c>
      <c r="BC355" t="inlineStr">
        <is>
          <t>32285000864388</t>
        </is>
      </c>
      <c r="BD355" t="inlineStr">
        <is>
          <t>893715672</t>
        </is>
      </c>
    </row>
    <row r="356">
      <c r="A356" t="inlineStr">
        <is>
          <t>No</t>
        </is>
      </c>
      <c r="B356" t="inlineStr">
        <is>
          <t>DC33.15 .J3213 1984</t>
        </is>
      </c>
      <c r="C356" t="inlineStr">
        <is>
          <t>0                      DC 0033150J  3213        1984</t>
        </is>
      </c>
      <c r="D356" t="inlineStr">
        <is>
          <t>Vive le roi! : a history of the French coronation from Charles V to Charles X / Richard A. Jackson.</t>
        </is>
      </c>
      <c r="F356" t="inlineStr">
        <is>
          <t>No</t>
        </is>
      </c>
      <c r="G356" t="inlineStr">
        <is>
          <t>1</t>
        </is>
      </c>
      <c r="H356" t="inlineStr">
        <is>
          <t>No</t>
        </is>
      </c>
      <c r="I356" t="inlineStr">
        <is>
          <t>No</t>
        </is>
      </c>
      <c r="J356" t="inlineStr">
        <is>
          <t>0</t>
        </is>
      </c>
      <c r="K356" t="inlineStr">
        <is>
          <t>Jackson, Richard A., 1937-</t>
        </is>
      </c>
      <c r="L356" t="inlineStr">
        <is>
          <t>Chapel Hill : University of North Carolina Press, c1984.</t>
        </is>
      </c>
      <c r="M356" t="inlineStr">
        <is>
          <t>1984</t>
        </is>
      </c>
      <c r="O356" t="inlineStr">
        <is>
          <t>eng</t>
        </is>
      </c>
      <c r="P356" t="inlineStr">
        <is>
          <t>ncu</t>
        </is>
      </c>
      <c r="R356" t="inlineStr">
        <is>
          <t xml:space="preserve">DC </t>
        </is>
      </c>
      <c r="S356" t="n">
        <v>1</v>
      </c>
      <c r="T356" t="n">
        <v>1</v>
      </c>
      <c r="U356" t="inlineStr">
        <is>
          <t>2003-11-19</t>
        </is>
      </c>
      <c r="V356" t="inlineStr">
        <is>
          <t>2003-11-19</t>
        </is>
      </c>
      <c r="W356" t="inlineStr">
        <is>
          <t>1990-11-21</t>
        </is>
      </c>
      <c r="X356" t="inlineStr">
        <is>
          <t>1990-11-21</t>
        </is>
      </c>
      <c r="Y356" t="n">
        <v>353</v>
      </c>
      <c r="Z356" t="n">
        <v>270</v>
      </c>
      <c r="AA356" t="n">
        <v>276</v>
      </c>
      <c r="AB356" t="n">
        <v>3</v>
      </c>
      <c r="AC356" t="n">
        <v>3</v>
      </c>
      <c r="AD356" t="n">
        <v>12</v>
      </c>
      <c r="AE356" t="n">
        <v>12</v>
      </c>
      <c r="AF356" t="n">
        <v>4</v>
      </c>
      <c r="AG356" t="n">
        <v>4</v>
      </c>
      <c r="AH356" t="n">
        <v>4</v>
      </c>
      <c r="AI356" t="n">
        <v>4</v>
      </c>
      <c r="AJ356" t="n">
        <v>7</v>
      </c>
      <c r="AK356" t="n">
        <v>7</v>
      </c>
      <c r="AL356" t="n">
        <v>2</v>
      </c>
      <c r="AM356" t="n">
        <v>2</v>
      </c>
      <c r="AN356" t="n">
        <v>0</v>
      </c>
      <c r="AO356" t="n">
        <v>0</v>
      </c>
      <c r="AP356" t="inlineStr">
        <is>
          <t>No</t>
        </is>
      </c>
      <c r="AQ356" t="inlineStr">
        <is>
          <t>Yes</t>
        </is>
      </c>
      <c r="AR356">
        <f>HYPERLINK("http://catalog.hathitrust.org/Record/000248246","HathiTrust Record")</f>
        <v/>
      </c>
      <c r="AS356">
        <f>HYPERLINK("https://creighton-primo.hosted.exlibrisgroup.com/primo-explore/search?tab=default_tab&amp;search_scope=EVERYTHING&amp;vid=01CRU&amp;lang=en_US&amp;offset=0&amp;query=any,contains,991000334749702656","Catalog Record")</f>
        <v/>
      </c>
      <c r="AT356">
        <f>HYPERLINK("http://www.worldcat.org/oclc/10228879","WorldCat Record")</f>
        <v/>
      </c>
      <c r="AU356" t="inlineStr">
        <is>
          <t>3227694:eng</t>
        </is>
      </c>
      <c r="AV356" t="inlineStr">
        <is>
          <t>10228879</t>
        </is>
      </c>
      <c r="AW356" t="inlineStr">
        <is>
          <t>991000334749702656</t>
        </is>
      </c>
      <c r="AX356" t="inlineStr">
        <is>
          <t>991000334749702656</t>
        </is>
      </c>
      <c r="AY356" t="inlineStr">
        <is>
          <t>2264087340002656</t>
        </is>
      </c>
      <c r="AZ356" t="inlineStr">
        <is>
          <t>BOOK</t>
        </is>
      </c>
      <c r="BB356" t="inlineStr">
        <is>
          <t>9780807816028</t>
        </is>
      </c>
      <c r="BC356" t="inlineStr">
        <is>
          <t>32285000393289</t>
        </is>
      </c>
      <c r="BD356" t="inlineStr">
        <is>
          <t>893589354</t>
        </is>
      </c>
    </row>
    <row r="357">
      <c r="A357" t="inlineStr">
        <is>
          <t>No</t>
        </is>
      </c>
      <c r="B357" t="inlineStr">
        <is>
          <t>DC33.2 .G8 1969</t>
        </is>
      </c>
      <c r="C357" t="inlineStr">
        <is>
          <t>0                      DC 0033200G  8           1969</t>
        </is>
      </c>
      <c r="D357" t="inlineStr">
        <is>
          <t>French civilization; from its origins to the close of the Middle Ages.</t>
        </is>
      </c>
      <c r="F357" t="inlineStr">
        <is>
          <t>No</t>
        </is>
      </c>
      <c r="G357" t="inlineStr">
        <is>
          <t>1</t>
        </is>
      </c>
      <c r="H357" t="inlineStr">
        <is>
          <t>No</t>
        </is>
      </c>
      <c r="I357" t="inlineStr">
        <is>
          <t>No</t>
        </is>
      </c>
      <c r="J357" t="inlineStr">
        <is>
          <t>0</t>
        </is>
      </c>
      <c r="K357" t="inlineStr">
        <is>
          <t>Guérard, Albert Léon, 1880-1959.</t>
        </is>
      </c>
      <c r="L357" t="inlineStr">
        <is>
          <t>New York, Cooper Square Publishers, 1969.</t>
        </is>
      </c>
      <c r="M357" t="inlineStr">
        <is>
          <t>1969</t>
        </is>
      </c>
      <c r="O357" t="inlineStr">
        <is>
          <t>eng</t>
        </is>
      </c>
      <c r="P357" t="inlineStr">
        <is>
          <t>nyu</t>
        </is>
      </c>
      <c r="R357" t="inlineStr">
        <is>
          <t xml:space="preserve">DC </t>
        </is>
      </c>
      <c r="S357" t="n">
        <v>5</v>
      </c>
      <c r="T357" t="n">
        <v>5</v>
      </c>
      <c r="U357" t="inlineStr">
        <is>
          <t>2010-03-31</t>
        </is>
      </c>
      <c r="V357" t="inlineStr">
        <is>
          <t>2010-03-31</t>
        </is>
      </c>
      <c r="W357" t="inlineStr">
        <is>
          <t>1996-10-24</t>
        </is>
      </c>
      <c r="X357" t="inlineStr">
        <is>
          <t>1996-10-24</t>
        </is>
      </c>
      <c r="Y357" t="n">
        <v>235</v>
      </c>
      <c r="Z357" t="n">
        <v>200</v>
      </c>
      <c r="AA357" t="n">
        <v>469</v>
      </c>
      <c r="AB357" t="n">
        <v>2</v>
      </c>
      <c r="AC357" t="n">
        <v>5</v>
      </c>
      <c r="AD357" t="n">
        <v>8</v>
      </c>
      <c r="AE357" t="n">
        <v>22</v>
      </c>
      <c r="AF357" t="n">
        <v>0</v>
      </c>
      <c r="AG357" t="n">
        <v>4</v>
      </c>
      <c r="AH357" t="n">
        <v>2</v>
      </c>
      <c r="AI357" t="n">
        <v>6</v>
      </c>
      <c r="AJ357" t="n">
        <v>6</v>
      </c>
      <c r="AK357" t="n">
        <v>12</v>
      </c>
      <c r="AL357" t="n">
        <v>1</v>
      </c>
      <c r="AM357" t="n">
        <v>4</v>
      </c>
      <c r="AN357" t="n">
        <v>0</v>
      </c>
      <c r="AO357" t="n">
        <v>0</v>
      </c>
      <c r="AP357" t="inlineStr">
        <is>
          <t>No</t>
        </is>
      </c>
      <c r="AQ357" t="inlineStr">
        <is>
          <t>Yes</t>
        </is>
      </c>
      <c r="AR357">
        <f>HYPERLINK("http://catalog.hathitrust.org/Record/012281680","HathiTrust Record")</f>
        <v/>
      </c>
      <c r="AS357">
        <f>HYPERLINK("https://creighton-primo.hosted.exlibrisgroup.com/primo-explore/search?tab=default_tab&amp;search_scope=EVERYTHING&amp;vid=01CRU&amp;lang=en_US&amp;offset=0&amp;query=any,contains,991000079489702656","Catalog Record")</f>
        <v/>
      </c>
      <c r="AT357">
        <f>HYPERLINK("http://www.worldcat.org/oclc/31285","WorldCat Record")</f>
        <v/>
      </c>
      <c r="AU357" t="inlineStr">
        <is>
          <t>4159924047:eng</t>
        </is>
      </c>
      <c r="AV357" t="inlineStr">
        <is>
          <t>31285</t>
        </is>
      </c>
      <c r="AW357" t="inlineStr">
        <is>
          <t>991000079489702656</t>
        </is>
      </c>
      <c r="AX357" t="inlineStr">
        <is>
          <t>991000079489702656</t>
        </is>
      </c>
      <c r="AY357" t="inlineStr">
        <is>
          <t>2262178830002656</t>
        </is>
      </c>
      <c r="AZ357" t="inlineStr">
        <is>
          <t>BOOK</t>
        </is>
      </c>
      <c r="BB357" t="inlineStr">
        <is>
          <t>9780815402985</t>
        </is>
      </c>
      <c r="BC357" t="inlineStr">
        <is>
          <t>32285002378098</t>
        </is>
      </c>
      <c r="BD357" t="inlineStr">
        <is>
          <t>893333185</t>
        </is>
      </c>
    </row>
    <row r="358">
      <c r="A358" t="inlineStr">
        <is>
          <t>No</t>
        </is>
      </c>
      <c r="B358" t="inlineStr">
        <is>
          <t>DC33.2 .L46</t>
        </is>
      </c>
      <c r="C358" t="inlineStr">
        <is>
          <t>0                      DC 0033200L  46</t>
        </is>
      </c>
      <c r="D358" t="inlineStr">
        <is>
          <t>La vie quotidienne en Gaule à l'epoque mérovingienne.</t>
        </is>
      </c>
      <c r="F358" t="inlineStr">
        <is>
          <t>No</t>
        </is>
      </c>
      <c r="G358" t="inlineStr">
        <is>
          <t>1</t>
        </is>
      </c>
      <c r="H358" t="inlineStr">
        <is>
          <t>No</t>
        </is>
      </c>
      <c r="I358" t="inlineStr">
        <is>
          <t>No</t>
        </is>
      </c>
      <c r="J358" t="inlineStr">
        <is>
          <t>0</t>
        </is>
      </c>
      <c r="K358" t="inlineStr">
        <is>
          <t>Lelong, Charles.</t>
        </is>
      </c>
      <c r="L358" t="inlineStr">
        <is>
          <t>[Paris] Hachette [1963]</t>
        </is>
      </c>
      <c r="M358" t="inlineStr">
        <is>
          <t>1963</t>
        </is>
      </c>
      <c r="O358" t="inlineStr">
        <is>
          <t>fre</t>
        </is>
      </c>
      <c r="P358" t="inlineStr">
        <is>
          <t xml:space="preserve">fr </t>
        </is>
      </c>
      <c r="Q358" t="inlineStr">
        <is>
          <t>La Vie quotidienne</t>
        </is>
      </c>
      <c r="R358" t="inlineStr">
        <is>
          <t xml:space="preserve">DC </t>
        </is>
      </c>
      <c r="S358" t="n">
        <v>1</v>
      </c>
      <c r="T358" t="n">
        <v>1</v>
      </c>
      <c r="U358" t="inlineStr">
        <is>
          <t>2001-05-08</t>
        </is>
      </c>
      <c r="V358" t="inlineStr">
        <is>
          <t>2001-05-08</t>
        </is>
      </c>
      <c r="W358" t="inlineStr">
        <is>
          <t>1996-10-24</t>
        </is>
      </c>
      <c r="X358" t="inlineStr">
        <is>
          <t>1996-10-24</t>
        </is>
      </c>
      <c r="Y358" t="n">
        <v>159</v>
      </c>
      <c r="Z358" t="n">
        <v>107</v>
      </c>
      <c r="AA358" t="n">
        <v>109</v>
      </c>
      <c r="AB358" t="n">
        <v>3</v>
      </c>
      <c r="AC358" t="n">
        <v>3</v>
      </c>
      <c r="AD358" t="n">
        <v>8</v>
      </c>
      <c r="AE358" t="n">
        <v>8</v>
      </c>
      <c r="AF358" t="n">
        <v>1</v>
      </c>
      <c r="AG358" t="n">
        <v>1</v>
      </c>
      <c r="AH358" t="n">
        <v>0</v>
      </c>
      <c r="AI358" t="n">
        <v>0</v>
      </c>
      <c r="AJ358" t="n">
        <v>6</v>
      </c>
      <c r="AK358" t="n">
        <v>6</v>
      </c>
      <c r="AL358" t="n">
        <v>2</v>
      </c>
      <c r="AM358" t="n">
        <v>2</v>
      </c>
      <c r="AN358" t="n">
        <v>0</v>
      </c>
      <c r="AO358" t="n">
        <v>0</v>
      </c>
      <c r="AP358" t="inlineStr">
        <is>
          <t>No</t>
        </is>
      </c>
      <c r="AQ358" t="inlineStr">
        <is>
          <t>Yes</t>
        </is>
      </c>
      <c r="AR358">
        <f>HYPERLINK("http://catalog.hathitrust.org/Record/000451577","HathiTrust Record")</f>
        <v/>
      </c>
      <c r="AS358">
        <f>HYPERLINK("https://creighton-primo.hosted.exlibrisgroup.com/primo-explore/search?tab=default_tab&amp;search_scope=EVERYTHING&amp;vid=01CRU&amp;lang=en_US&amp;offset=0&amp;query=any,contains,991004413629702656","Catalog Record")</f>
        <v/>
      </c>
      <c r="AT358">
        <f>HYPERLINK("http://www.worldcat.org/oclc/3353601","WorldCat Record")</f>
        <v/>
      </c>
      <c r="AU358" t="inlineStr">
        <is>
          <t>349012110:fre</t>
        </is>
      </c>
      <c r="AV358" t="inlineStr">
        <is>
          <t>3353601</t>
        </is>
      </c>
      <c r="AW358" t="inlineStr">
        <is>
          <t>991004413629702656</t>
        </is>
      </c>
      <c r="AX358" t="inlineStr">
        <is>
          <t>991004413629702656</t>
        </is>
      </c>
      <c r="AY358" t="inlineStr">
        <is>
          <t>2260439100002656</t>
        </is>
      </c>
      <c r="AZ358" t="inlineStr">
        <is>
          <t>BOOK</t>
        </is>
      </c>
      <c r="BC358" t="inlineStr">
        <is>
          <t>32285004289400</t>
        </is>
      </c>
      <c r="BD358" t="inlineStr">
        <is>
          <t>893718868</t>
        </is>
      </c>
    </row>
    <row r="359">
      <c r="A359" t="inlineStr">
        <is>
          <t>No</t>
        </is>
      </c>
      <c r="B359" t="inlineStr">
        <is>
          <t>DC33.2 .R5413</t>
        </is>
      </c>
      <c r="C359" t="inlineStr">
        <is>
          <t>0                      DC 0033200R  5413</t>
        </is>
      </c>
      <c r="D359" t="inlineStr">
        <is>
          <t>Daily life in the world of Charlemagne / Pierre Riché ; translated by Jo Ann McNamara. --</t>
        </is>
      </c>
      <c r="F359" t="inlineStr">
        <is>
          <t>No</t>
        </is>
      </c>
      <c r="G359" t="inlineStr">
        <is>
          <t>1</t>
        </is>
      </c>
      <c r="H359" t="inlineStr">
        <is>
          <t>No</t>
        </is>
      </c>
      <c r="I359" t="inlineStr">
        <is>
          <t>No</t>
        </is>
      </c>
      <c r="J359" t="inlineStr">
        <is>
          <t>0</t>
        </is>
      </c>
      <c r="K359" t="inlineStr">
        <is>
          <t>Riché, Pierre.</t>
        </is>
      </c>
      <c r="L359" t="inlineStr">
        <is>
          <t>Philadelphia : University of Pennsylvania Press, 1978.</t>
        </is>
      </c>
      <c r="M359" t="inlineStr">
        <is>
          <t>1978</t>
        </is>
      </c>
      <c r="O359" t="inlineStr">
        <is>
          <t>eng</t>
        </is>
      </c>
      <c r="P359" t="inlineStr">
        <is>
          <t>pau</t>
        </is>
      </c>
      <c r="Q359" t="inlineStr">
        <is>
          <t>The Middle Ages</t>
        </is>
      </c>
      <c r="R359" t="inlineStr">
        <is>
          <t xml:space="preserve">DC </t>
        </is>
      </c>
      <c r="S359" t="n">
        <v>7</v>
      </c>
      <c r="T359" t="n">
        <v>7</v>
      </c>
      <c r="U359" t="inlineStr">
        <is>
          <t>2008-12-04</t>
        </is>
      </c>
      <c r="V359" t="inlineStr">
        <is>
          <t>2008-12-04</t>
        </is>
      </c>
      <c r="W359" t="inlineStr">
        <is>
          <t>1990-02-07</t>
        </is>
      </c>
      <c r="X359" t="inlineStr">
        <is>
          <t>1990-02-07</t>
        </is>
      </c>
      <c r="Y359" t="n">
        <v>1487</v>
      </c>
      <c r="Z359" t="n">
        <v>1359</v>
      </c>
      <c r="AA359" t="n">
        <v>1483</v>
      </c>
      <c r="AB359" t="n">
        <v>12</v>
      </c>
      <c r="AC359" t="n">
        <v>13</v>
      </c>
      <c r="AD359" t="n">
        <v>54</v>
      </c>
      <c r="AE359" t="n">
        <v>55</v>
      </c>
      <c r="AF359" t="n">
        <v>22</v>
      </c>
      <c r="AG359" t="n">
        <v>22</v>
      </c>
      <c r="AH359" t="n">
        <v>11</v>
      </c>
      <c r="AI359" t="n">
        <v>11</v>
      </c>
      <c r="AJ359" t="n">
        <v>25</v>
      </c>
      <c r="AK359" t="n">
        <v>26</v>
      </c>
      <c r="AL359" t="n">
        <v>9</v>
      </c>
      <c r="AM359" t="n">
        <v>9</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HYPERLINK("https://creighton-primo.hosted.exlibrisgroup.com/primo-explore/search?tab=default_tab&amp;search_scope=EVERYTHING&amp;vid=01CRU&amp;lang=en_US&amp;offset=0&amp;query=any,contains,991004594669702656","Catalog Record")</f>
        <v/>
      </c>
      <c r="AT359">
        <f>HYPERLINK("http://www.worldcat.org/oclc/4136231","WorldCat Record")</f>
        <v/>
      </c>
      <c r="AU359" t="inlineStr">
        <is>
          <t>4494926621:eng</t>
        </is>
      </c>
      <c r="AV359" t="inlineStr">
        <is>
          <t>4136231</t>
        </is>
      </c>
      <c r="AW359" t="inlineStr">
        <is>
          <t>991004594669702656</t>
        </is>
      </c>
      <c r="AX359" t="inlineStr">
        <is>
          <t>991004594669702656</t>
        </is>
      </c>
      <c r="AY359" t="inlineStr">
        <is>
          <t>2258126510002656</t>
        </is>
      </c>
      <c r="AZ359" t="inlineStr">
        <is>
          <t>BOOK</t>
        </is>
      </c>
      <c r="BB359" t="inlineStr">
        <is>
          <t>9780812277517</t>
        </is>
      </c>
      <c r="BC359" t="inlineStr">
        <is>
          <t>32285000007061</t>
        </is>
      </c>
      <c r="BD359" t="inlineStr">
        <is>
          <t>893694111</t>
        </is>
      </c>
    </row>
    <row r="360">
      <c r="A360" t="inlineStr">
        <is>
          <t>No</t>
        </is>
      </c>
      <c r="B360" t="inlineStr">
        <is>
          <t>DC33.3 .B38 1995</t>
        </is>
      </c>
      <c r="C360" t="inlineStr">
        <is>
          <t>0                      DC 0033300B  38          1995</t>
        </is>
      </c>
      <c r="D360" t="inlineStr">
        <is>
          <t>France in the sixteenth century / Frederic J. Baumgartner.</t>
        </is>
      </c>
      <c r="F360" t="inlineStr">
        <is>
          <t>No</t>
        </is>
      </c>
      <c r="G360" t="inlineStr">
        <is>
          <t>1</t>
        </is>
      </c>
      <c r="H360" t="inlineStr">
        <is>
          <t>No</t>
        </is>
      </c>
      <c r="I360" t="inlineStr">
        <is>
          <t>No</t>
        </is>
      </c>
      <c r="J360" t="inlineStr">
        <is>
          <t>0</t>
        </is>
      </c>
      <c r="K360" t="inlineStr">
        <is>
          <t>Baumgartner, Frederic J.</t>
        </is>
      </c>
      <c r="L360" t="inlineStr">
        <is>
          <t>New York : St. Martin's Press, 1995.</t>
        </is>
      </c>
      <c r="M360" t="inlineStr">
        <is>
          <t>1995</t>
        </is>
      </c>
      <c r="N360" t="inlineStr">
        <is>
          <t>1st ed.</t>
        </is>
      </c>
      <c r="O360" t="inlineStr">
        <is>
          <t>eng</t>
        </is>
      </c>
      <c r="P360" t="inlineStr">
        <is>
          <t>nyu</t>
        </is>
      </c>
      <c r="R360" t="inlineStr">
        <is>
          <t xml:space="preserve">DC </t>
        </is>
      </c>
      <c r="S360" t="n">
        <v>6</v>
      </c>
      <c r="T360" t="n">
        <v>6</v>
      </c>
      <c r="U360" t="inlineStr">
        <is>
          <t>2005-01-06</t>
        </is>
      </c>
      <c r="V360" t="inlineStr">
        <is>
          <t>2005-01-06</t>
        </is>
      </c>
      <c r="W360" t="inlineStr">
        <is>
          <t>1996-09-03</t>
        </is>
      </c>
      <c r="X360" t="inlineStr">
        <is>
          <t>1996-09-03</t>
        </is>
      </c>
      <c r="Y360" t="n">
        <v>539</v>
      </c>
      <c r="Z360" t="n">
        <v>454</v>
      </c>
      <c r="AA360" t="n">
        <v>460</v>
      </c>
      <c r="AB360" t="n">
        <v>4</v>
      </c>
      <c r="AC360" t="n">
        <v>4</v>
      </c>
      <c r="AD360" t="n">
        <v>18</v>
      </c>
      <c r="AE360" t="n">
        <v>18</v>
      </c>
      <c r="AF360" t="n">
        <v>5</v>
      </c>
      <c r="AG360" t="n">
        <v>5</v>
      </c>
      <c r="AH360" t="n">
        <v>6</v>
      </c>
      <c r="AI360" t="n">
        <v>6</v>
      </c>
      <c r="AJ360" t="n">
        <v>13</v>
      </c>
      <c r="AK360" t="n">
        <v>13</v>
      </c>
      <c r="AL360" t="n">
        <v>2</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HYPERLINK("https://creighton-primo.hosted.exlibrisgroup.com/primo-explore/search?tab=default_tab&amp;search_scope=EVERYTHING&amp;vid=01CRU&amp;lang=en_US&amp;offset=0&amp;query=any,contains,991002506309702656","Catalog Record")</f>
        <v/>
      </c>
      <c r="AT360">
        <f>HYPERLINK("http://www.worldcat.org/oclc/32590120","WorldCat Record")</f>
        <v/>
      </c>
      <c r="AU360" t="inlineStr">
        <is>
          <t>36849062:eng</t>
        </is>
      </c>
      <c r="AV360" t="inlineStr">
        <is>
          <t>32590120</t>
        </is>
      </c>
      <c r="AW360" t="inlineStr">
        <is>
          <t>991002506309702656</t>
        </is>
      </c>
      <c r="AX360" t="inlineStr">
        <is>
          <t>991002506309702656</t>
        </is>
      </c>
      <c r="AY360" t="inlineStr">
        <is>
          <t>2272290340002656</t>
        </is>
      </c>
      <c r="AZ360" t="inlineStr">
        <is>
          <t>BOOK</t>
        </is>
      </c>
      <c r="BB360" t="inlineStr">
        <is>
          <t>9780312099657</t>
        </is>
      </c>
      <c r="BC360" t="inlineStr">
        <is>
          <t>32285002293800</t>
        </is>
      </c>
      <c r="BD360" t="inlineStr">
        <is>
          <t>893779894</t>
        </is>
      </c>
    </row>
    <row r="361">
      <c r="A361" t="inlineStr">
        <is>
          <t>No</t>
        </is>
      </c>
      <c r="B361" t="inlineStr">
        <is>
          <t>DC33.3 .K44 1983</t>
        </is>
      </c>
      <c r="C361" t="inlineStr">
        <is>
          <t>0                      DC 0033300K  44          1983</t>
        </is>
      </c>
      <c r="D361" t="inlineStr">
        <is>
          <t>The beginning of ideology : consciousness and society in the French Reformation / Donald R. Kelley.</t>
        </is>
      </c>
      <c r="F361" t="inlineStr">
        <is>
          <t>No</t>
        </is>
      </c>
      <c r="G361" t="inlineStr">
        <is>
          <t>1</t>
        </is>
      </c>
      <c r="H361" t="inlineStr">
        <is>
          <t>No</t>
        </is>
      </c>
      <c r="I361" t="inlineStr">
        <is>
          <t>No</t>
        </is>
      </c>
      <c r="J361" t="inlineStr">
        <is>
          <t>0</t>
        </is>
      </c>
      <c r="K361" t="inlineStr">
        <is>
          <t>Kelley, Donald R., 1931-</t>
        </is>
      </c>
      <c r="L361" t="inlineStr">
        <is>
          <t>Cambridge [Cambridgeshire] ; New York : Cambridge University Press, 1983, c1981.</t>
        </is>
      </c>
      <c r="M361" t="inlineStr">
        <is>
          <t>1983</t>
        </is>
      </c>
      <c r="N361" t="inlineStr">
        <is>
          <t>1st pbk. ed.</t>
        </is>
      </c>
      <c r="O361" t="inlineStr">
        <is>
          <t>eng</t>
        </is>
      </c>
      <c r="P361" t="inlineStr">
        <is>
          <t>enk</t>
        </is>
      </c>
      <c r="Q361" t="inlineStr">
        <is>
          <t>Cambridge paperback library</t>
        </is>
      </c>
      <c r="R361" t="inlineStr">
        <is>
          <t xml:space="preserve">DC </t>
        </is>
      </c>
      <c r="S361" t="n">
        <v>6</v>
      </c>
      <c r="T361" t="n">
        <v>6</v>
      </c>
      <c r="U361" t="inlineStr">
        <is>
          <t>1999-07-01</t>
        </is>
      </c>
      <c r="V361" t="inlineStr">
        <is>
          <t>1999-07-01</t>
        </is>
      </c>
      <c r="W361" t="inlineStr">
        <is>
          <t>1990-11-21</t>
        </is>
      </c>
      <c r="X361" t="inlineStr">
        <is>
          <t>1990-11-21</t>
        </is>
      </c>
      <c r="Y361" t="n">
        <v>44</v>
      </c>
      <c r="Z361" t="n">
        <v>33</v>
      </c>
      <c r="AA361" t="n">
        <v>396</v>
      </c>
      <c r="AB361" t="n">
        <v>1</v>
      </c>
      <c r="AC361" t="n">
        <v>4</v>
      </c>
      <c r="AD361" t="n">
        <v>3</v>
      </c>
      <c r="AE361" t="n">
        <v>24</v>
      </c>
      <c r="AF361" t="n">
        <v>2</v>
      </c>
      <c r="AG361" t="n">
        <v>5</v>
      </c>
      <c r="AH361" t="n">
        <v>1</v>
      </c>
      <c r="AI361" t="n">
        <v>6</v>
      </c>
      <c r="AJ361" t="n">
        <v>2</v>
      </c>
      <c r="AK361" t="n">
        <v>17</v>
      </c>
      <c r="AL361" t="n">
        <v>0</v>
      </c>
      <c r="AM361" t="n">
        <v>3</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HYPERLINK("https://creighton-primo.hosted.exlibrisgroup.com/primo-explore/search?tab=default_tab&amp;search_scope=EVERYTHING&amp;vid=01CRU&amp;lang=en_US&amp;offset=0&amp;query=any,contains,991000271289702656","Catalog Record")</f>
        <v/>
      </c>
      <c r="AT361">
        <f>HYPERLINK("http://www.worldcat.org/oclc/9859291","WorldCat Record")</f>
        <v/>
      </c>
      <c r="AU361" t="inlineStr">
        <is>
          <t>26788723:eng</t>
        </is>
      </c>
      <c r="AV361" t="inlineStr">
        <is>
          <t>9859291</t>
        </is>
      </c>
      <c r="AW361" t="inlineStr">
        <is>
          <t>991000271289702656</t>
        </is>
      </c>
      <c r="AX361" t="inlineStr">
        <is>
          <t>991000271289702656</t>
        </is>
      </c>
      <c r="AY361" t="inlineStr">
        <is>
          <t>2258564970002656</t>
        </is>
      </c>
      <c r="AZ361" t="inlineStr">
        <is>
          <t>BOOK</t>
        </is>
      </c>
      <c r="BB361" t="inlineStr">
        <is>
          <t>9780521274838</t>
        </is>
      </c>
      <c r="BC361" t="inlineStr">
        <is>
          <t>32285000393305</t>
        </is>
      </c>
      <c r="BD361" t="inlineStr">
        <is>
          <t>893784106</t>
        </is>
      </c>
    </row>
    <row r="362">
      <c r="A362" t="inlineStr">
        <is>
          <t>No</t>
        </is>
      </c>
      <c r="B362" t="inlineStr">
        <is>
          <t>DC33.3 .M39 2000</t>
        </is>
      </c>
      <c r="C362" t="inlineStr">
        <is>
          <t>0                      DC 0033300M  39          2000</t>
        </is>
      </c>
      <c r="D362" t="inlineStr">
        <is>
          <t>The vision of Rome in late Renaissance France / Margaret M. McGowan.</t>
        </is>
      </c>
      <c r="F362" t="inlineStr">
        <is>
          <t>No</t>
        </is>
      </c>
      <c r="G362" t="inlineStr">
        <is>
          <t>1</t>
        </is>
      </c>
      <c r="H362" t="inlineStr">
        <is>
          <t>No</t>
        </is>
      </c>
      <c r="I362" t="inlineStr">
        <is>
          <t>No</t>
        </is>
      </c>
      <c r="J362" t="inlineStr">
        <is>
          <t>0</t>
        </is>
      </c>
      <c r="K362" t="inlineStr">
        <is>
          <t>McGowan, Margaret M.</t>
        </is>
      </c>
      <c r="L362" t="inlineStr">
        <is>
          <t>New Haven : Yale University Press, c2000.</t>
        </is>
      </c>
      <c r="M362" t="inlineStr">
        <is>
          <t>2000</t>
        </is>
      </c>
      <c r="O362" t="inlineStr">
        <is>
          <t>eng</t>
        </is>
      </c>
      <c r="P362" t="inlineStr">
        <is>
          <t>nyu</t>
        </is>
      </c>
      <c r="R362" t="inlineStr">
        <is>
          <t xml:space="preserve">DC </t>
        </is>
      </c>
      <c r="S362" t="n">
        <v>1</v>
      </c>
      <c r="T362" t="n">
        <v>1</v>
      </c>
      <c r="U362" t="inlineStr">
        <is>
          <t>2002-01-09</t>
        </is>
      </c>
      <c r="V362" t="inlineStr">
        <is>
          <t>2002-01-09</t>
        </is>
      </c>
      <c r="W362" t="inlineStr">
        <is>
          <t>2002-01-09</t>
        </is>
      </c>
      <c r="X362" t="inlineStr">
        <is>
          <t>2002-01-09</t>
        </is>
      </c>
      <c r="Y362" t="n">
        <v>466</v>
      </c>
      <c r="Z362" t="n">
        <v>376</v>
      </c>
      <c r="AA362" t="n">
        <v>380</v>
      </c>
      <c r="AB362" t="n">
        <v>4</v>
      </c>
      <c r="AC362" t="n">
        <v>4</v>
      </c>
      <c r="AD362" t="n">
        <v>30</v>
      </c>
      <c r="AE362" t="n">
        <v>30</v>
      </c>
      <c r="AF362" t="n">
        <v>15</v>
      </c>
      <c r="AG362" t="n">
        <v>15</v>
      </c>
      <c r="AH362" t="n">
        <v>8</v>
      </c>
      <c r="AI362" t="n">
        <v>8</v>
      </c>
      <c r="AJ362" t="n">
        <v>13</v>
      </c>
      <c r="AK362" t="n">
        <v>13</v>
      </c>
      <c r="AL362" t="n">
        <v>3</v>
      </c>
      <c r="AM362" t="n">
        <v>3</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HYPERLINK("https://creighton-primo.hosted.exlibrisgroup.com/primo-explore/search?tab=default_tab&amp;search_scope=EVERYTHING&amp;vid=01CRU&amp;lang=en_US&amp;offset=0&amp;query=any,contains,991003695559702656","Catalog Record")</f>
        <v/>
      </c>
      <c r="AT362">
        <f>HYPERLINK("http://www.worldcat.org/oclc/44089407","WorldCat Record")</f>
        <v/>
      </c>
      <c r="AU362" t="inlineStr">
        <is>
          <t>33721406:eng</t>
        </is>
      </c>
      <c r="AV362" t="inlineStr">
        <is>
          <t>44089407</t>
        </is>
      </c>
      <c r="AW362" t="inlineStr">
        <is>
          <t>991003695559702656</t>
        </is>
      </c>
      <c r="AX362" t="inlineStr">
        <is>
          <t>991003695559702656</t>
        </is>
      </c>
      <c r="AY362" t="inlineStr">
        <is>
          <t>2261317360002656</t>
        </is>
      </c>
      <c r="AZ362" t="inlineStr">
        <is>
          <t>BOOK</t>
        </is>
      </c>
      <c r="BB362" t="inlineStr">
        <is>
          <t>9780300085358</t>
        </is>
      </c>
      <c r="BC362" t="inlineStr">
        <is>
          <t>32285004447040</t>
        </is>
      </c>
      <c r="BD362" t="inlineStr">
        <is>
          <t>893617623</t>
        </is>
      </c>
    </row>
    <row r="363">
      <c r="A363" t="inlineStr">
        <is>
          <t>No</t>
        </is>
      </c>
      <c r="B363" t="inlineStr">
        <is>
          <t>DC33.3 .S44 1998</t>
        </is>
      </c>
      <c r="C363" t="inlineStr">
        <is>
          <t>0                      DC 0033300S  44          1998</t>
        </is>
      </c>
      <c r="D363" t="inlineStr">
        <is>
          <t>The travails of conscience : the Arnauld family and the Ancien Régime / Alexander Sedgwick.</t>
        </is>
      </c>
      <c r="F363" t="inlineStr">
        <is>
          <t>No</t>
        </is>
      </c>
      <c r="G363" t="inlineStr">
        <is>
          <t>1</t>
        </is>
      </c>
      <c r="H363" t="inlineStr">
        <is>
          <t>No</t>
        </is>
      </c>
      <c r="I363" t="inlineStr">
        <is>
          <t>No</t>
        </is>
      </c>
      <c r="J363" t="inlineStr">
        <is>
          <t>0</t>
        </is>
      </c>
      <c r="K363" t="inlineStr">
        <is>
          <t>Sedgwick, Alexander, 1930-</t>
        </is>
      </c>
      <c r="L363" t="inlineStr">
        <is>
          <t>Cambridge, Mass. : Harvard University Press, 1998.</t>
        </is>
      </c>
      <c r="M363" t="inlineStr">
        <is>
          <t>1998</t>
        </is>
      </c>
      <c r="O363" t="inlineStr">
        <is>
          <t>eng</t>
        </is>
      </c>
      <c r="P363" t="inlineStr">
        <is>
          <t>mau</t>
        </is>
      </c>
      <c r="Q363" t="inlineStr">
        <is>
          <t>Harvard historical studies ; 128</t>
        </is>
      </c>
      <c r="R363" t="inlineStr">
        <is>
          <t xml:space="preserve">DC </t>
        </is>
      </c>
      <c r="S363" t="n">
        <v>2</v>
      </c>
      <c r="T363" t="n">
        <v>2</v>
      </c>
      <c r="U363" t="inlineStr">
        <is>
          <t>2005-01-06</t>
        </is>
      </c>
      <c r="V363" t="inlineStr">
        <is>
          <t>2005-01-06</t>
        </is>
      </c>
      <c r="W363" t="inlineStr">
        <is>
          <t>2001-01-09</t>
        </is>
      </c>
      <c r="X363" t="inlineStr">
        <is>
          <t>2001-01-09</t>
        </is>
      </c>
      <c r="Y363" t="n">
        <v>353</v>
      </c>
      <c r="Z363" t="n">
        <v>279</v>
      </c>
      <c r="AA363" t="n">
        <v>286</v>
      </c>
      <c r="AB363" t="n">
        <v>3</v>
      </c>
      <c r="AC363" t="n">
        <v>3</v>
      </c>
      <c r="AD363" t="n">
        <v>18</v>
      </c>
      <c r="AE363" t="n">
        <v>18</v>
      </c>
      <c r="AF363" t="n">
        <v>4</v>
      </c>
      <c r="AG363" t="n">
        <v>4</v>
      </c>
      <c r="AH363" t="n">
        <v>5</v>
      </c>
      <c r="AI363" t="n">
        <v>5</v>
      </c>
      <c r="AJ363" t="n">
        <v>13</v>
      </c>
      <c r="AK363" t="n">
        <v>13</v>
      </c>
      <c r="AL363" t="n">
        <v>2</v>
      </c>
      <c r="AM363" t="n">
        <v>2</v>
      </c>
      <c r="AN363" t="n">
        <v>0</v>
      </c>
      <c r="AO363" t="n">
        <v>0</v>
      </c>
      <c r="AP363" t="inlineStr">
        <is>
          <t>No</t>
        </is>
      </c>
      <c r="AQ363" t="inlineStr">
        <is>
          <t>Yes</t>
        </is>
      </c>
      <c r="AR363">
        <f>HYPERLINK("http://catalog.hathitrust.org/Record/003300216","HathiTrust Record")</f>
        <v/>
      </c>
      <c r="AS363">
        <f>HYPERLINK("https://creighton-primo.hosted.exlibrisgroup.com/primo-explore/search?tab=default_tab&amp;search_scope=EVERYTHING&amp;vid=01CRU&amp;lang=en_US&amp;offset=0&amp;query=any,contains,991003318459702656","Catalog Record")</f>
        <v/>
      </c>
      <c r="AT363">
        <f>HYPERLINK("http://www.worldcat.org/oclc/38096855","WorldCat Record")</f>
        <v/>
      </c>
      <c r="AU363" t="inlineStr">
        <is>
          <t>198819941:eng</t>
        </is>
      </c>
      <c r="AV363" t="inlineStr">
        <is>
          <t>38096855</t>
        </is>
      </c>
      <c r="AW363" t="inlineStr">
        <is>
          <t>991003318459702656</t>
        </is>
      </c>
      <c r="AX363" t="inlineStr">
        <is>
          <t>991003318459702656</t>
        </is>
      </c>
      <c r="AY363" t="inlineStr">
        <is>
          <t>2256212270002656</t>
        </is>
      </c>
      <c r="AZ363" t="inlineStr">
        <is>
          <t>BOOK</t>
        </is>
      </c>
      <c r="BB363" t="inlineStr">
        <is>
          <t>9780674905672</t>
        </is>
      </c>
      <c r="BC363" t="inlineStr">
        <is>
          <t>32285004281670</t>
        </is>
      </c>
      <c r="BD363" t="inlineStr">
        <is>
          <t>893441162</t>
        </is>
      </c>
    </row>
    <row r="364">
      <c r="A364" t="inlineStr">
        <is>
          <t>No</t>
        </is>
      </c>
      <c r="B364" t="inlineStr">
        <is>
          <t>DC33.3 .S75 1976</t>
        </is>
      </c>
      <c r="C364" t="inlineStr">
        <is>
          <t>0                      DC 0033300S  75          1976</t>
        </is>
      </c>
      <c r="D364" t="inlineStr">
        <is>
          <t>France in the sixteenth century : a medieval society transformed / by Donald Stone, Jr.</t>
        </is>
      </c>
      <c r="F364" t="inlineStr">
        <is>
          <t>No</t>
        </is>
      </c>
      <c r="G364" t="inlineStr">
        <is>
          <t>1</t>
        </is>
      </c>
      <c r="H364" t="inlineStr">
        <is>
          <t>No</t>
        </is>
      </c>
      <c r="I364" t="inlineStr">
        <is>
          <t>No</t>
        </is>
      </c>
      <c r="J364" t="inlineStr">
        <is>
          <t>0</t>
        </is>
      </c>
      <c r="K364" t="inlineStr">
        <is>
          <t>Stone, Donald.</t>
        </is>
      </c>
      <c r="L364" t="inlineStr">
        <is>
          <t>Westport, Conn. : Greenwood Press, 1976, c1969.</t>
        </is>
      </c>
      <c r="M364" t="inlineStr">
        <is>
          <t>1976</t>
        </is>
      </c>
      <c r="O364" t="inlineStr">
        <is>
          <t>eng</t>
        </is>
      </c>
      <c r="P364" t="inlineStr">
        <is>
          <t>ctu</t>
        </is>
      </c>
      <c r="R364" t="inlineStr">
        <is>
          <t xml:space="preserve">DC </t>
        </is>
      </c>
      <c r="S364" t="n">
        <v>9</v>
      </c>
      <c r="T364" t="n">
        <v>9</v>
      </c>
      <c r="U364" t="inlineStr">
        <is>
          <t>1999-11-11</t>
        </is>
      </c>
      <c r="V364" t="inlineStr">
        <is>
          <t>1999-11-11</t>
        </is>
      </c>
      <c r="W364" t="inlineStr">
        <is>
          <t>1997-08-21</t>
        </is>
      </c>
      <c r="X364" t="inlineStr">
        <is>
          <t>1997-08-21</t>
        </is>
      </c>
      <c r="Y364" t="n">
        <v>88</v>
      </c>
      <c r="Z364" t="n">
        <v>76</v>
      </c>
      <c r="AA364" t="n">
        <v>740</v>
      </c>
      <c r="AB364" t="n">
        <v>1</v>
      </c>
      <c r="AC364" t="n">
        <v>5</v>
      </c>
      <c r="AD364" t="n">
        <v>3</v>
      </c>
      <c r="AE364" t="n">
        <v>39</v>
      </c>
      <c r="AF364" t="n">
        <v>2</v>
      </c>
      <c r="AG364" t="n">
        <v>17</v>
      </c>
      <c r="AH364" t="n">
        <v>0</v>
      </c>
      <c r="AI364" t="n">
        <v>9</v>
      </c>
      <c r="AJ364" t="n">
        <v>3</v>
      </c>
      <c r="AK364" t="n">
        <v>20</v>
      </c>
      <c r="AL364" t="n">
        <v>0</v>
      </c>
      <c r="AM364" t="n">
        <v>4</v>
      </c>
      <c r="AN364" t="n">
        <v>0</v>
      </c>
      <c r="AO364" t="n">
        <v>0</v>
      </c>
      <c r="AP364" t="inlineStr">
        <is>
          <t>No</t>
        </is>
      </c>
      <c r="AQ364" t="inlineStr">
        <is>
          <t>Yes</t>
        </is>
      </c>
      <c r="AR364">
        <f>HYPERLINK("http://catalog.hathitrust.org/Record/004405753","HathiTrust Record")</f>
        <v/>
      </c>
      <c r="AS364">
        <f>HYPERLINK("https://creighton-primo.hosted.exlibrisgroup.com/primo-explore/search?tab=default_tab&amp;search_scope=EVERYTHING&amp;vid=01CRU&amp;lang=en_US&amp;offset=0&amp;query=any,contains,991003971259702656","Catalog Record")</f>
        <v/>
      </c>
      <c r="AT364">
        <f>HYPERLINK("http://www.worldcat.org/oclc/1992230","WorldCat Record")</f>
        <v/>
      </c>
      <c r="AU364" t="inlineStr">
        <is>
          <t>1127590:eng</t>
        </is>
      </c>
      <c r="AV364" t="inlineStr">
        <is>
          <t>1992230</t>
        </is>
      </c>
      <c r="AW364" t="inlineStr">
        <is>
          <t>991003971259702656</t>
        </is>
      </c>
      <c r="AX364" t="inlineStr">
        <is>
          <t>991003971259702656</t>
        </is>
      </c>
      <c r="AY364" t="inlineStr">
        <is>
          <t>2262155200002656</t>
        </is>
      </c>
      <c r="AZ364" t="inlineStr">
        <is>
          <t>BOOK</t>
        </is>
      </c>
      <c r="BB364" t="inlineStr">
        <is>
          <t>9780837187341</t>
        </is>
      </c>
      <c r="BC364" t="inlineStr">
        <is>
          <t>32285003001186</t>
        </is>
      </c>
      <c r="BD364" t="inlineStr">
        <is>
          <t>893253081</t>
        </is>
      </c>
    </row>
    <row r="365">
      <c r="A365" t="inlineStr">
        <is>
          <t>No</t>
        </is>
      </c>
      <c r="B365" t="inlineStr">
        <is>
          <t>DC33.4 .L3 1963</t>
        </is>
      </c>
      <c r="C365" t="inlineStr">
        <is>
          <t>0                      DC 0033400L  3           1963</t>
        </is>
      </c>
      <c r="D365" t="inlineStr">
        <is>
          <t>France in the eighteenth century : its institutions, customs, and costumes / illustrated with over 300 wood engravings.</t>
        </is>
      </c>
      <c r="F365" t="inlineStr">
        <is>
          <t>No</t>
        </is>
      </c>
      <c r="G365" t="inlineStr">
        <is>
          <t>1</t>
        </is>
      </c>
      <c r="H365" t="inlineStr">
        <is>
          <t>No</t>
        </is>
      </c>
      <c r="I365" t="inlineStr">
        <is>
          <t>No</t>
        </is>
      </c>
      <c r="J365" t="inlineStr">
        <is>
          <t>0</t>
        </is>
      </c>
      <c r="K365" t="inlineStr">
        <is>
          <t>Jacob, P. L., 1806-1884.</t>
        </is>
      </c>
      <c r="L365" t="inlineStr">
        <is>
          <t>New York : Ungar, [1963]</t>
        </is>
      </c>
      <c r="M365" t="inlineStr">
        <is>
          <t>1963</t>
        </is>
      </c>
      <c r="O365" t="inlineStr">
        <is>
          <t>eng</t>
        </is>
      </c>
      <c r="P365" t="inlineStr">
        <is>
          <t>nyu</t>
        </is>
      </c>
      <c r="R365" t="inlineStr">
        <is>
          <t xml:space="preserve">DC </t>
        </is>
      </c>
      <c r="S365" t="n">
        <v>7</v>
      </c>
      <c r="T365" t="n">
        <v>7</v>
      </c>
      <c r="U365" t="inlineStr">
        <is>
          <t>2006-02-07</t>
        </is>
      </c>
      <c r="V365" t="inlineStr">
        <is>
          <t>2006-02-07</t>
        </is>
      </c>
      <c r="W365" t="inlineStr">
        <is>
          <t>1994-12-20</t>
        </is>
      </c>
      <c r="X365" t="inlineStr">
        <is>
          <t>1994-12-20</t>
        </is>
      </c>
      <c r="Y365" t="n">
        <v>751</v>
      </c>
      <c r="Z365" t="n">
        <v>706</v>
      </c>
      <c r="AA365" t="n">
        <v>715</v>
      </c>
      <c r="AB365" t="n">
        <v>4</v>
      </c>
      <c r="AC365" t="n">
        <v>4</v>
      </c>
      <c r="AD365" t="n">
        <v>25</v>
      </c>
      <c r="AE365" t="n">
        <v>25</v>
      </c>
      <c r="AF365" t="n">
        <v>10</v>
      </c>
      <c r="AG365" t="n">
        <v>10</v>
      </c>
      <c r="AH365" t="n">
        <v>6</v>
      </c>
      <c r="AI365" t="n">
        <v>6</v>
      </c>
      <c r="AJ365" t="n">
        <v>13</v>
      </c>
      <c r="AK365" t="n">
        <v>13</v>
      </c>
      <c r="AL365" t="n">
        <v>2</v>
      </c>
      <c r="AM365" t="n">
        <v>2</v>
      </c>
      <c r="AN365" t="n">
        <v>0</v>
      </c>
      <c r="AO365" t="n">
        <v>0</v>
      </c>
      <c r="AP365" t="inlineStr">
        <is>
          <t>No</t>
        </is>
      </c>
      <c r="AQ365" t="inlineStr">
        <is>
          <t>Yes</t>
        </is>
      </c>
      <c r="AR365">
        <f>HYPERLINK("http://catalog.hathitrust.org/Record/000411183","HathiTrust Record")</f>
        <v/>
      </c>
      <c r="AS365">
        <f>HYPERLINK("https://creighton-primo.hosted.exlibrisgroup.com/primo-explore/search?tab=default_tab&amp;search_scope=EVERYTHING&amp;vid=01CRU&amp;lang=en_US&amp;offset=0&amp;query=any,contains,991003258889702656","Catalog Record")</f>
        <v/>
      </c>
      <c r="AT365">
        <f>HYPERLINK("http://www.worldcat.org/oclc/784475","WorldCat Record")</f>
        <v/>
      </c>
      <c r="AU365" t="inlineStr">
        <is>
          <t>10201356316:eng</t>
        </is>
      </c>
      <c r="AV365" t="inlineStr">
        <is>
          <t>784475</t>
        </is>
      </c>
      <c r="AW365" t="inlineStr">
        <is>
          <t>991003258889702656</t>
        </is>
      </c>
      <c r="AX365" t="inlineStr">
        <is>
          <t>991003258889702656</t>
        </is>
      </c>
      <c r="AY365" t="inlineStr">
        <is>
          <t>2261919360002656</t>
        </is>
      </c>
      <c r="AZ365" t="inlineStr">
        <is>
          <t>BOOK</t>
        </is>
      </c>
      <c r="BC365" t="inlineStr">
        <is>
          <t>32285001984995</t>
        </is>
      </c>
      <c r="BD365" t="inlineStr">
        <is>
          <t>893799533</t>
        </is>
      </c>
    </row>
    <row r="366">
      <c r="A366" t="inlineStr">
        <is>
          <t>No</t>
        </is>
      </c>
      <c r="B366" t="inlineStr">
        <is>
          <t>DC33.4 .R61515 1998</t>
        </is>
      </c>
      <c r="C366" t="inlineStr">
        <is>
          <t>0                      DC 0033400R  61515       1998</t>
        </is>
      </c>
      <c r="D366" t="inlineStr">
        <is>
          <t>France in the Enlightenment / Daniel Roche ; translated by Arthur Goldhammer.</t>
        </is>
      </c>
      <c r="F366" t="inlineStr">
        <is>
          <t>No</t>
        </is>
      </c>
      <c r="G366" t="inlineStr">
        <is>
          <t>1</t>
        </is>
      </c>
      <c r="H366" t="inlineStr">
        <is>
          <t>No</t>
        </is>
      </c>
      <c r="I366" t="inlineStr">
        <is>
          <t>No</t>
        </is>
      </c>
      <c r="J366" t="inlineStr">
        <is>
          <t>0</t>
        </is>
      </c>
      <c r="K366" t="inlineStr">
        <is>
          <t>Roche, Daniel.</t>
        </is>
      </c>
      <c r="L366" t="inlineStr">
        <is>
          <t>Cambridge, Mass. : Harvard University Press, 1998.</t>
        </is>
      </c>
      <c r="M366" t="inlineStr">
        <is>
          <t>1998</t>
        </is>
      </c>
      <c r="O366" t="inlineStr">
        <is>
          <t>eng</t>
        </is>
      </c>
      <c r="P366" t="inlineStr">
        <is>
          <t>mau</t>
        </is>
      </c>
      <c r="Q366" t="inlineStr">
        <is>
          <t>Harvard historical studies ; 130</t>
        </is>
      </c>
      <c r="R366" t="inlineStr">
        <is>
          <t xml:space="preserve">DC </t>
        </is>
      </c>
      <c r="S366" t="n">
        <v>18</v>
      </c>
      <c r="T366" t="n">
        <v>18</v>
      </c>
      <c r="U366" t="inlineStr">
        <is>
          <t>2009-02-07</t>
        </is>
      </c>
      <c r="V366" t="inlineStr">
        <is>
          <t>2009-02-07</t>
        </is>
      </c>
      <c r="W366" t="inlineStr">
        <is>
          <t>1999-04-12</t>
        </is>
      </c>
      <c r="X366" t="inlineStr">
        <is>
          <t>1999-04-12</t>
        </is>
      </c>
      <c r="Y366" t="n">
        <v>925</v>
      </c>
      <c r="Z366" t="n">
        <v>765</v>
      </c>
      <c r="AA366" t="n">
        <v>814</v>
      </c>
      <c r="AB366" t="n">
        <v>9</v>
      </c>
      <c r="AC366" t="n">
        <v>9</v>
      </c>
      <c r="AD366" t="n">
        <v>35</v>
      </c>
      <c r="AE366" t="n">
        <v>37</v>
      </c>
      <c r="AF366" t="n">
        <v>13</v>
      </c>
      <c r="AG366" t="n">
        <v>14</v>
      </c>
      <c r="AH366" t="n">
        <v>7</v>
      </c>
      <c r="AI366" t="n">
        <v>7</v>
      </c>
      <c r="AJ366" t="n">
        <v>19</v>
      </c>
      <c r="AK366" t="n">
        <v>20</v>
      </c>
      <c r="AL366" t="n">
        <v>7</v>
      </c>
      <c r="AM366" t="n">
        <v>7</v>
      </c>
      <c r="AN366" t="n">
        <v>0</v>
      </c>
      <c r="AO366" t="n">
        <v>0</v>
      </c>
      <c r="AP366" t="inlineStr">
        <is>
          <t>No</t>
        </is>
      </c>
      <c r="AQ366" t="inlineStr">
        <is>
          <t>Yes</t>
        </is>
      </c>
      <c r="AR366">
        <f>HYPERLINK("http://catalog.hathitrust.org/Record/003304850","HathiTrust Record")</f>
        <v/>
      </c>
      <c r="AS366">
        <f>HYPERLINK("https://creighton-primo.hosted.exlibrisgroup.com/primo-explore/search?tab=default_tab&amp;search_scope=EVERYTHING&amp;vid=01CRU&amp;lang=en_US&amp;offset=0&amp;query=any,contains,991002893969702656","Catalog Record")</f>
        <v/>
      </c>
      <c r="AT366">
        <f>HYPERLINK("http://www.worldcat.org/oclc/38130514","WorldCat Record")</f>
        <v/>
      </c>
      <c r="AU366" t="inlineStr">
        <is>
          <t>569359:eng</t>
        </is>
      </c>
      <c r="AV366" t="inlineStr">
        <is>
          <t>38130514</t>
        </is>
      </c>
      <c r="AW366" t="inlineStr">
        <is>
          <t>991002893969702656</t>
        </is>
      </c>
      <c r="AX366" t="inlineStr">
        <is>
          <t>991002893969702656</t>
        </is>
      </c>
      <c r="AY366" t="inlineStr">
        <is>
          <t>2262255000002656</t>
        </is>
      </c>
      <c r="AZ366" t="inlineStr">
        <is>
          <t>BOOK</t>
        </is>
      </c>
      <c r="BB366" t="inlineStr">
        <is>
          <t>9780674317475</t>
        </is>
      </c>
      <c r="BC366" t="inlineStr">
        <is>
          <t>32285003550851</t>
        </is>
      </c>
      <c r="BD366" t="inlineStr">
        <is>
          <t>893610438</t>
        </is>
      </c>
    </row>
    <row r="367">
      <c r="A367" t="inlineStr">
        <is>
          <t>No</t>
        </is>
      </c>
      <c r="B367" t="inlineStr">
        <is>
          <t>DC33.5 .F73 1984</t>
        </is>
      </c>
      <c r="C367" t="inlineStr">
        <is>
          <t>0                      DC 0033500F  73          1984</t>
        </is>
      </c>
      <c r="D367" t="inlineStr">
        <is>
          <t>The French romantics / edited by D.G. Charlton.</t>
        </is>
      </c>
      <c r="E367" t="inlineStr">
        <is>
          <t>V.2</t>
        </is>
      </c>
      <c r="F367" t="inlineStr">
        <is>
          <t>Yes</t>
        </is>
      </c>
      <c r="G367" t="inlineStr">
        <is>
          <t>1</t>
        </is>
      </c>
      <c r="H367" t="inlineStr">
        <is>
          <t>No</t>
        </is>
      </c>
      <c r="I367" t="inlineStr">
        <is>
          <t>No</t>
        </is>
      </c>
      <c r="J367" t="inlineStr">
        <is>
          <t>0</t>
        </is>
      </c>
      <c r="L367" t="inlineStr">
        <is>
          <t>Cambridge [Cambridgeshire] ; New York ; Cambridge University Press, 1984.</t>
        </is>
      </c>
      <c r="M367" t="inlineStr">
        <is>
          <t>1984</t>
        </is>
      </c>
      <c r="O367" t="inlineStr">
        <is>
          <t>eng</t>
        </is>
      </c>
      <c r="P367" t="inlineStr">
        <is>
          <t>enk</t>
        </is>
      </c>
      <c r="R367" t="inlineStr">
        <is>
          <t xml:space="preserve">DC </t>
        </is>
      </c>
      <c r="S367" t="n">
        <v>1</v>
      </c>
      <c r="T367" t="n">
        <v>1</v>
      </c>
      <c r="U367" t="inlineStr">
        <is>
          <t>1997-04-21</t>
        </is>
      </c>
      <c r="V367" t="inlineStr">
        <is>
          <t>1997-04-21</t>
        </is>
      </c>
      <c r="W367" t="inlineStr">
        <is>
          <t>1990-07-19</t>
        </is>
      </c>
      <c r="X367" t="inlineStr">
        <is>
          <t>1990-07-19</t>
        </is>
      </c>
      <c r="Y367" t="n">
        <v>791</v>
      </c>
      <c r="Z367" t="n">
        <v>636</v>
      </c>
      <c r="AA367" t="n">
        <v>636</v>
      </c>
      <c r="AB367" t="n">
        <v>5</v>
      </c>
      <c r="AC367" t="n">
        <v>5</v>
      </c>
      <c r="AD367" t="n">
        <v>34</v>
      </c>
      <c r="AE367" t="n">
        <v>34</v>
      </c>
      <c r="AF367" t="n">
        <v>15</v>
      </c>
      <c r="AG367" t="n">
        <v>15</v>
      </c>
      <c r="AH367" t="n">
        <v>10</v>
      </c>
      <c r="AI367" t="n">
        <v>10</v>
      </c>
      <c r="AJ367" t="n">
        <v>14</v>
      </c>
      <c r="AK367" t="n">
        <v>14</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HYPERLINK("https://creighton-primo.hosted.exlibrisgroup.com/primo-explore/search?tab=default_tab&amp;search_scope=EVERYTHING&amp;vid=01CRU&amp;lang=en_US&amp;offset=0&amp;query=any,contains,991000306549702656","Catalog Record")</f>
        <v/>
      </c>
      <c r="AT367">
        <f>HYPERLINK("http://www.worldcat.org/oclc/10071499","WorldCat Record")</f>
        <v/>
      </c>
      <c r="AU367" t="inlineStr">
        <is>
          <t>8906919603:eng</t>
        </is>
      </c>
      <c r="AV367" t="inlineStr">
        <is>
          <t>10071499</t>
        </is>
      </c>
      <c r="AW367" t="inlineStr">
        <is>
          <t>991000306549702656</t>
        </is>
      </c>
      <c r="AX367" t="inlineStr">
        <is>
          <t>991000306549702656</t>
        </is>
      </c>
      <c r="AY367" t="inlineStr">
        <is>
          <t>2264874350002656</t>
        </is>
      </c>
      <c r="AZ367" t="inlineStr">
        <is>
          <t>BOOK</t>
        </is>
      </c>
      <c r="BB367" t="inlineStr">
        <is>
          <t>9780521277792</t>
        </is>
      </c>
      <c r="BC367" t="inlineStr">
        <is>
          <t>32285000245430</t>
        </is>
      </c>
      <c r="BD367" t="inlineStr">
        <is>
          <t>893521560</t>
        </is>
      </c>
    </row>
    <row r="368">
      <c r="A368" t="inlineStr">
        <is>
          <t>No</t>
        </is>
      </c>
      <c r="B368" t="inlineStr">
        <is>
          <t>DC33.5 .F73 1984</t>
        </is>
      </c>
      <c r="C368" t="inlineStr">
        <is>
          <t>0                      DC 0033500F  73          1984</t>
        </is>
      </c>
      <c r="D368" t="inlineStr">
        <is>
          <t>The French romantics / edited by D.G. Charlton.</t>
        </is>
      </c>
      <c r="E368" t="inlineStr">
        <is>
          <t>V.1</t>
        </is>
      </c>
      <c r="F368" t="inlineStr">
        <is>
          <t>Yes</t>
        </is>
      </c>
      <c r="G368" t="inlineStr">
        <is>
          <t>1</t>
        </is>
      </c>
      <c r="H368" t="inlineStr">
        <is>
          <t>No</t>
        </is>
      </c>
      <c r="I368" t="inlineStr">
        <is>
          <t>No</t>
        </is>
      </c>
      <c r="J368" t="inlineStr">
        <is>
          <t>0</t>
        </is>
      </c>
      <c r="L368" t="inlineStr">
        <is>
          <t>Cambridge [Cambridgeshire] ; New York ; Cambridge University Press, 1984.</t>
        </is>
      </c>
      <c r="M368" t="inlineStr">
        <is>
          <t>1984</t>
        </is>
      </c>
      <c r="O368" t="inlineStr">
        <is>
          <t>eng</t>
        </is>
      </c>
      <c r="P368" t="inlineStr">
        <is>
          <t>enk</t>
        </is>
      </c>
      <c r="R368" t="inlineStr">
        <is>
          <t xml:space="preserve">DC </t>
        </is>
      </c>
      <c r="S368" t="n">
        <v>0</v>
      </c>
      <c r="T368" t="n">
        <v>1</v>
      </c>
      <c r="V368" t="inlineStr">
        <is>
          <t>1997-04-21</t>
        </is>
      </c>
      <c r="W368" t="inlineStr">
        <is>
          <t>1990-07-19</t>
        </is>
      </c>
      <c r="X368" t="inlineStr">
        <is>
          <t>1990-07-19</t>
        </is>
      </c>
      <c r="Y368" t="n">
        <v>791</v>
      </c>
      <c r="Z368" t="n">
        <v>636</v>
      </c>
      <c r="AA368" t="n">
        <v>636</v>
      </c>
      <c r="AB368" t="n">
        <v>5</v>
      </c>
      <c r="AC368" t="n">
        <v>5</v>
      </c>
      <c r="AD368" t="n">
        <v>34</v>
      </c>
      <c r="AE368" t="n">
        <v>34</v>
      </c>
      <c r="AF368" t="n">
        <v>15</v>
      </c>
      <c r="AG368" t="n">
        <v>15</v>
      </c>
      <c r="AH368" t="n">
        <v>10</v>
      </c>
      <c r="AI368" t="n">
        <v>10</v>
      </c>
      <c r="AJ368" t="n">
        <v>14</v>
      </c>
      <c r="AK368" t="n">
        <v>14</v>
      </c>
      <c r="AL368" t="n">
        <v>4</v>
      </c>
      <c r="AM368" t="n">
        <v>4</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HYPERLINK("https://creighton-primo.hosted.exlibrisgroup.com/primo-explore/search?tab=default_tab&amp;search_scope=EVERYTHING&amp;vid=01CRU&amp;lang=en_US&amp;offset=0&amp;query=any,contains,991000306549702656","Catalog Record")</f>
        <v/>
      </c>
      <c r="AT368">
        <f>HYPERLINK("http://www.worldcat.org/oclc/10071499","WorldCat Record")</f>
        <v/>
      </c>
      <c r="AU368" t="inlineStr">
        <is>
          <t>8906919603:eng</t>
        </is>
      </c>
      <c r="AV368" t="inlineStr">
        <is>
          <t>10071499</t>
        </is>
      </c>
      <c r="AW368" t="inlineStr">
        <is>
          <t>991000306549702656</t>
        </is>
      </c>
      <c r="AX368" t="inlineStr">
        <is>
          <t>991000306549702656</t>
        </is>
      </c>
      <c r="AY368" t="inlineStr">
        <is>
          <t>2264874350002656</t>
        </is>
      </c>
      <c r="AZ368" t="inlineStr">
        <is>
          <t>BOOK</t>
        </is>
      </c>
      <c r="BB368" t="inlineStr">
        <is>
          <t>9780521277792</t>
        </is>
      </c>
      <c r="BC368" t="inlineStr">
        <is>
          <t>32285000245422</t>
        </is>
      </c>
      <c r="BD368" t="inlineStr">
        <is>
          <t>893496114</t>
        </is>
      </c>
    </row>
    <row r="369">
      <c r="A369" t="inlineStr">
        <is>
          <t>No</t>
        </is>
      </c>
      <c r="B369" t="inlineStr">
        <is>
          <t>DC33.5 .M34 1988</t>
        </is>
      </c>
      <c r="C369" t="inlineStr">
        <is>
          <t>0                      DC 0033500M  34          1988</t>
        </is>
      </c>
      <c r="D369" t="inlineStr">
        <is>
          <t>The court of France, 1789-1830 / Philip Mansel.</t>
        </is>
      </c>
      <c r="F369" t="inlineStr">
        <is>
          <t>No</t>
        </is>
      </c>
      <c r="G369" t="inlineStr">
        <is>
          <t>1</t>
        </is>
      </c>
      <c r="H369" t="inlineStr">
        <is>
          <t>No</t>
        </is>
      </c>
      <c r="I369" t="inlineStr">
        <is>
          <t>No</t>
        </is>
      </c>
      <c r="J369" t="inlineStr">
        <is>
          <t>0</t>
        </is>
      </c>
      <c r="K369" t="inlineStr">
        <is>
          <t>Mansel, Philip.</t>
        </is>
      </c>
      <c r="L369" t="inlineStr">
        <is>
          <t>Cambridge [England] ; New York : Cambridge University Press, 1988.</t>
        </is>
      </c>
      <c r="M369" t="inlineStr">
        <is>
          <t>1988</t>
        </is>
      </c>
      <c r="O369" t="inlineStr">
        <is>
          <t>eng</t>
        </is>
      </c>
      <c r="P369" t="inlineStr">
        <is>
          <t>enk</t>
        </is>
      </c>
      <c r="R369" t="inlineStr">
        <is>
          <t xml:space="preserve">DC </t>
        </is>
      </c>
      <c r="S369" t="n">
        <v>2</v>
      </c>
      <c r="T369" t="n">
        <v>2</v>
      </c>
      <c r="U369" t="inlineStr">
        <is>
          <t>1997-04-21</t>
        </is>
      </c>
      <c r="V369" t="inlineStr">
        <is>
          <t>1997-04-21</t>
        </is>
      </c>
      <c r="W369" t="inlineStr">
        <is>
          <t>1990-03-19</t>
        </is>
      </c>
      <c r="X369" t="inlineStr">
        <is>
          <t>1990-03-19</t>
        </is>
      </c>
      <c r="Y369" t="n">
        <v>568</v>
      </c>
      <c r="Z369" t="n">
        <v>428</v>
      </c>
      <c r="AA369" t="n">
        <v>454</v>
      </c>
      <c r="AB369" t="n">
        <v>4</v>
      </c>
      <c r="AC369" t="n">
        <v>4</v>
      </c>
      <c r="AD369" t="n">
        <v>27</v>
      </c>
      <c r="AE369" t="n">
        <v>28</v>
      </c>
      <c r="AF369" t="n">
        <v>11</v>
      </c>
      <c r="AG369" t="n">
        <v>12</v>
      </c>
      <c r="AH369" t="n">
        <v>6</v>
      </c>
      <c r="AI369" t="n">
        <v>6</v>
      </c>
      <c r="AJ369" t="n">
        <v>14</v>
      </c>
      <c r="AK369" t="n">
        <v>15</v>
      </c>
      <c r="AL369" t="n">
        <v>3</v>
      </c>
      <c r="AM369" t="n">
        <v>3</v>
      </c>
      <c r="AN369" t="n">
        <v>0</v>
      </c>
      <c r="AO369" t="n">
        <v>0</v>
      </c>
      <c r="AP369" t="inlineStr">
        <is>
          <t>No</t>
        </is>
      </c>
      <c r="AQ369" t="inlineStr">
        <is>
          <t>Yes</t>
        </is>
      </c>
      <c r="AR369">
        <f>HYPERLINK("http://catalog.hathitrust.org/Record/001081198","HathiTrust Record")</f>
        <v/>
      </c>
      <c r="AS369">
        <f>HYPERLINK("https://creighton-primo.hosted.exlibrisgroup.com/primo-explore/search?tab=default_tab&amp;search_scope=EVERYTHING&amp;vid=01CRU&amp;lang=en_US&amp;offset=0&amp;query=any,contains,991001230299702656","Catalog Record")</f>
        <v/>
      </c>
      <c r="AT369">
        <f>HYPERLINK("http://www.worldcat.org/oclc/17546333","WorldCat Record")</f>
        <v/>
      </c>
      <c r="AU369" t="inlineStr">
        <is>
          <t>22426038:eng</t>
        </is>
      </c>
      <c r="AV369" t="inlineStr">
        <is>
          <t>17546333</t>
        </is>
      </c>
      <c r="AW369" t="inlineStr">
        <is>
          <t>991001230299702656</t>
        </is>
      </c>
      <c r="AX369" t="inlineStr">
        <is>
          <t>991001230299702656</t>
        </is>
      </c>
      <c r="AY369" t="inlineStr">
        <is>
          <t>2267839050002656</t>
        </is>
      </c>
      <c r="AZ369" t="inlineStr">
        <is>
          <t>BOOK</t>
        </is>
      </c>
      <c r="BB369" t="inlineStr">
        <is>
          <t>9780521309950</t>
        </is>
      </c>
      <c r="BC369" t="inlineStr">
        <is>
          <t>32285000064211</t>
        </is>
      </c>
      <c r="BD369" t="inlineStr">
        <is>
          <t>893702857</t>
        </is>
      </c>
    </row>
    <row r="370">
      <c r="A370" t="inlineStr">
        <is>
          <t>No</t>
        </is>
      </c>
      <c r="B370" t="inlineStr">
        <is>
          <t>DC33.6 .H43 1972</t>
        </is>
      </c>
      <c r="C370" t="inlineStr">
        <is>
          <t>0                      DC 0033600H  43          1972</t>
        </is>
      </c>
      <c r="D370" t="inlineStr">
        <is>
          <t>Culture and society in France, 1848-1898 : dissidents and philistines / [by] F. W. J. Hemmings.</t>
        </is>
      </c>
      <c r="F370" t="inlineStr">
        <is>
          <t>No</t>
        </is>
      </c>
      <c r="G370" t="inlineStr">
        <is>
          <t>1</t>
        </is>
      </c>
      <c r="H370" t="inlineStr">
        <is>
          <t>No</t>
        </is>
      </c>
      <c r="I370" t="inlineStr">
        <is>
          <t>No</t>
        </is>
      </c>
      <c r="J370" t="inlineStr">
        <is>
          <t>0</t>
        </is>
      </c>
      <c r="K370" t="inlineStr">
        <is>
          <t>Hemmings, F. W. J. (Frederick William John), 1920-</t>
        </is>
      </c>
      <c r="L370" t="inlineStr">
        <is>
          <t>New York : Scribner, [1972, c1971]</t>
        </is>
      </c>
      <c r="M370" t="inlineStr">
        <is>
          <t>1972</t>
        </is>
      </c>
      <c r="O370" t="inlineStr">
        <is>
          <t>eng</t>
        </is>
      </c>
      <c r="P370" t="inlineStr">
        <is>
          <t>nyu</t>
        </is>
      </c>
      <c r="R370" t="inlineStr">
        <is>
          <t xml:space="preserve">DC </t>
        </is>
      </c>
      <c r="S370" t="n">
        <v>4</v>
      </c>
      <c r="T370" t="n">
        <v>4</v>
      </c>
      <c r="U370" t="inlineStr">
        <is>
          <t>1998-03-23</t>
        </is>
      </c>
      <c r="V370" t="inlineStr">
        <is>
          <t>1998-03-23</t>
        </is>
      </c>
      <c r="W370" t="inlineStr">
        <is>
          <t>1992-12-18</t>
        </is>
      </c>
      <c r="X370" t="inlineStr">
        <is>
          <t>1992-12-18</t>
        </is>
      </c>
      <c r="Y370" t="n">
        <v>451</v>
      </c>
      <c r="Z370" t="n">
        <v>439</v>
      </c>
      <c r="AA370" t="n">
        <v>568</v>
      </c>
      <c r="AB370" t="n">
        <v>4</v>
      </c>
      <c r="AC370" t="n">
        <v>5</v>
      </c>
      <c r="AD370" t="n">
        <v>17</v>
      </c>
      <c r="AE370" t="n">
        <v>25</v>
      </c>
      <c r="AF370" t="n">
        <v>7</v>
      </c>
      <c r="AG370" t="n">
        <v>8</v>
      </c>
      <c r="AH370" t="n">
        <v>5</v>
      </c>
      <c r="AI370" t="n">
        <v>9</v>
      </c>
      <c r="AJ370" t="n">
        <v>9</v>
      </c>
      <c r="AK370" t="n">
        <v>11</v>
      </c>
      <c r="AL370" t="n">
        <v>3</v>
      </c>
      <c r="AM370" t="n">
        <v>4</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HYPERLINK("https://creighton-primo.hosted.exlibrisgroup.com/primo-explore/search?tab=default_tab&amp;search_scope=EVERYTHING&amp;vid=01CRU&amp;lang=en_US&amp;offset=0&amp;query=any,contains,991002273119702656","Catalog Record")</f>
        <v/>
      </c>
      <c r="AT370">
        <f>HYPERLINK("http://www.worldcat.org/oclc/309150","WorldCat Record")</f>
        <v/>
      </c>
      <c r="AU370" t="inlineStr">
        <is>
          <t>350925400:eng</t>
        </is>
      </c>
      <c r="AV370" t="inlineStr">
        <is>
          <t>309150</t>
        </is>
      </c>
      <c r="AW370" t="inlineStr">
        <is>
          <t>991002273119702656</t>
        </is>
      </c>
      <c r="AX370" t="inlineStr">
        <is>
          <t>991002273119702656</t>
        </is>
      </c>
      <c r="AY370" t="inlineStr">
        <is>
          <t>2264765140002656</t>
        </is>
      </c>
      <c r="AZ370" t="inlineStr">
        <is>
          <t>BOOK</t>
        </is>
      </c>
      <c r="BB370" t="inlineStr">
        <is>
          <t>9780684125787</t>
        </is>
      </c>
      <c r="BC370" t="inlineStr">
        <is>
          <t>32285001444396</t>
        </is>
      </c>
      <c r="BD370" t="inlineStr">
        <is>
          <t>893798386</t>
        </is>
      </c>
    </row>
    <row r="371">
      <c r="A371" t="inlineStr">
        <is>
          <t>No</t>
        </is>
      </c>
      <c r="B371" t="inlineStr">
        <is>
          <t>DC33.6 .W43 1986</t>
        </is>
      </c>
      <c r="C371" t="inlineStr">
        <is>
          <t>0                      DC 0033600W  43          1986</t>
        </is>
      </c>
      <c r="D371" t="inlineStr">
        <is>
          <t>France, fin de siècle / Eugen Weber.</t>
        </is>
      </c>
      <c r="F371" t="inlineStr">
        <is>
          <t>No</t>
        </is>
      </c>
      <c r="G371" t="inlineStr">
        <is>
          <t>1</t>
        </is>
      </c>
      <c r="H371" t="inlineStr">
        <is>
          <t>No</t>
        </is>
      </c>
      <c r="I371" t="inlineStr">
        <is>
          <t>No</t>
        </is>
      </c>
      <c r="J371" t="inlineStr">
        <is>
          <t>0</t>
        </is>
      </c>
      <c r="K371" t="inlineStr">
        <is>
          <t>Weber, Eugen, 1925-2007.</t>
        </is>
      </c>
      <c r="L371" t="inlineStr">
        <is>
          <t>Cambridge, Mass. : Belknap Press, 1986.</t>
        </is>
      </c>
      <c r="M371" t="inlineStr">
        <is>
          <t>1986</t>
        </is>
      </c>
      <c r="O371" t="inlineStr">
        <is>
          <t>eng</t>
        </is>
      </c>
      <c r="P371" t="inlineStr">
        <is>
          <t>mau</t>
        </is>
      </c>
      <c r="R371" t="inlineStr">
        <is>
          <t xml:space="preserve">DC </t>
        </is>
      </c>
      <c r="S371" t="n">
        <v>2</v>
      </c>
      <c r="T371" t="n">
        <v>2</v>
      </c>
      <c r="U371" t="inlineStr">
        <is>
          <t>1993-07-22</t>
        </is>
      </c>
      <c r="V371" t="inlineStr">
        <is>
          <t>1993-07-22</t>
        </is>
      </c>
      <c r="W371" t="inlineStr">
        <is>
          <t>1990-07-19</t>
        </is>
      </c>
      <c r="X371" t="inlineStr">
        <is>
          <t>1990-07-19</t>
        </is>
      </c>
      <c r="Y371" t="n">
        <v>1248</v>
      </c>
      <c r="Z371" t="n">
        <v>1038</v>
      </c>
      <c r="AA371" t="n">
        <v>1048</v>
      </c>
      <c r="AB371" t="n">
        <v>7</v>
      </c>
      <c r="AC371" t="n">
        <v>7</v>
      </c>
      <c r="AD371" t="n">
        <v>42</v>
      </c>
      <c r="AE371" t="n">
        <v>42</v>
      </c>
      <c r="AF371" t="n">
        <v>16</v>
      </c>
      <c r="AG371" t="n">
        <v>16</v>
      </c>
      <c r="AH371" t="n">
        <v>11</v>
      </c>
      <c r="AI371" t="n">
        <v>11</v>
      </c>
      <c r="AJ371" t="n">
        <v>23</v>
      </c>
      <c r="AK371" t="n">
        <v>23</v>
      </c>
      <c r="AL371" t="n">
        <v>6</v>
      </c>
      <c r="AM371" t="n">
        <v>6</v>
      </c>
      <c r="AN371" t="n">
        <v>0</v>
      </c>
      <c r="AO371" t="n">
        <v>0</v>
      </c>
      <c r="AP371" t="inlineStr">
        <is>
          <t>No</t>
        </is>
      </c>
      <c r="AQ371" t="inlineStr">
        <is>
          <t>Yes</t>
        </is>
      </c>
      <c r="AR371">
        <f>HYPERLINK("http://catalog.hathitrust.org/Record/000479633","HathiTrust Record")</f>
        <v/>
      </c>
      <c r="AS371">
        <f>HYPERLINK("https://creighton-primo.hosted.exlibrisgroup.com/primo-explore/search?tab=default_tab&amp;search_scope=EVERYTHING&amp;vid=01CRU&amp;lang=en_US&amp;offset=0&amp;query=any,contains,991000766259702656","Catalog Record")</f>
        <v/>
      </c>
      <c r="AT371">
        <f>HYPERLINK("http://www.worldcat.org/oclc/13003214","WorldCat Record")</f>
        <v/>
      </c>
      <c r="AU371" t="inlineStr">
        <is>
          <t>2261131144:eng</t>
        </is>
      </c>
      <c r="AV371" t="inlineStr">
        <is>
          <t>13003214</t>
        </is>
      </c>
      <c r="AW371" t="inlineStr">
        <is>
          <t>991000766259702656</t>
        </is>
      </c>
      <c r="AX371" t="inlineStr">
        <is>
          <t>991000766259702656</t>
        </is>
      </c>
      <c r="AY371" t="inlineStr">
        <is>
          <t>2265948400002656</t>
        </is>
      </c>
      <c r="AZ371" t="inlineStr">
        <is>
          <t>BOOK</t>
        </is>
      </c>
      <c r="BB371" t="inlineStr">
        <is>
          <t>9780674318120</t>
        </is>
      </c>
      <c r="BC371" t="inlineStr">
        <is>
          <t>32285000245448</t>
        </is>
      </c>
      <c r="BD371" t="inlineStr">
        <is>
          <t>893426014</t>
        </is>
      </c>
    </row>
    <row r="372">
      <c r="A372" t="inlineStr">
        <is>
          <t>No</t>
        </is>
      </c>
      <c r="B372" t="inlineStr">
        <is>
          <t>DC33.7 .F7258 1995</t>
        </is>
      </c>
      <c r="C372" t="inlineStr">
        <is>
          <t>0                      DC 0033700F  7258        1995</t>
        </is>
      </c>
      <c r="D372" t="inlineStr">
        <is>
          <t>French cultural studies : an introduction / edited by Jill Forbes and Michael Kelly.</t>
        </is>
      </c>
      <c r="F372" t="inlineStr">
        <is>
          <t>No</t>
        </is>
      </c>
      <c r="G372" t="inlineStr">
        <is>
          <t>1</t>
        </is>
      </c>
      <c r="H372" t="inlineStr">
        <is>
          <t>No</t>
        </is>
      </c>
      <c r="I372" t="inlineStr">
        <is>
          <t>No</t>
        </is>
      </c>
      <c r="J372" t="inlineStr">
        <is>
          <t>0</t>
        </is>
      </c>
      <c r="L372" t="inlineStr">
        <is>
          <t>Oxford ; New York : Oxford University Press, 1995.</t>
        </is>
      </c>
      <c r="M372" t="inlineStr">
        <is>
          <t>1995</t>
        </is>
      </c>
      <c r="O372" t="inlineStr">
        <is>
          <t>eng</t>
        </is>
      </c>
      <c r="P372" t="inlineStr">
        <is>
          <t>enk</t>
        </is>
      </c>
      <c r="R372" t="inlineStr">
        <is>
          <t xml:space="preserve">DC </t>
        </is>
      </c>
      <c r="S372" t="n">
        <v>7</v>
      </c>
      <c r="T372" t="n">
        <v>7</v>
      </c>
      <c r="U372" t="inlineStr">
        <is>
          <t>1997-10-12</t>
        </is>
      </c>
      <c r="V372" t="inlineStr">
        <is>
          <t>1997-10-12</t>
        </is>
      </c>
      <c r="W372" t="inlineStr">
        <is>
          <t>1996-06-17</t>
        </is>
      </c>
      <c r="X372" t="inlineStr">
        <is>
          <t>1996-06-17</t>
        </is>
      </c>
      <c r="Y372" t="n">
        <v>555</v>
      </c>
      <c r="Z372" t="n">
        <v>389</v>
      </c>
      <c r="AA372" t="n">
        <v>395</v>
      </c>
      <c r="AB372" t="n">
        <v>3</v>
      </c>
      <c r="AC372" t="n">
        <v>3</v>
      </c>
      <c r="AD372" t="n">
        <v>23</v>
      </c>
      <c r="AE372" t="n">
        <v>23</v>
      </c>
      <c r="AF372" t="n">
        <v>9</v>
      </c>
      <c r="AG372" t="n">
        <v>9</v>
      </c>
      <c r="AH372" t="n">
        <v>7</v>
      </c>
      <c r="AI372" t="n">
        <v>7</v>
      </c>
      <c r="AJ372" t="n">
        <v>10</v>
      </c>
      <c r="AK372" t="n">
        <v>10</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HYPERLINK("https://creighton-primo.hosted.exlibrisgroup.com/primo-explore/search?tab=default_tab&amp;search_scope=EVERYTHING&amp;vid=01CRU&amp;lang=en_US&amp;offset=0&amp;query=any,contains,991002460419702656","Catalog Record")</f>
        <v/>
      </c>
      <c r="AT372">
        <f>HYPERLINK("http://www.worldcat.org/oclc/32051958","WorldCat Record")</f>
        <v/>
      </c>
      <c r="AU372" t="inlineStr">
        <is>
          <t>837028076:eng</t>
        </is>
      </c>
      <c r="AV372" t="inlineStr">
        <is>
          <t>32051958</t>
        </is>
      </c>
      <c r="AW372" t="inlineStr">
        <is>
          <t>991002460419702656</t>
        </is>
      </c>
      <c r="AX372" t="inlineStr">
        <is>
          <t>991002460419702656</t>
        </is>
      </c>
      <c r="AY372" t="inlineStr">
        <is>
          <t>2270369220002656</t>
        </is>
      </c>
      <c r="AZ372" t="inlineStr">
        <is>
          <t>BOOK</t>
        </is>
      </c>
      <c r="BB372" t="inlineStr">
        <is>
          <t>9780198715009</t>
        </is>
      </c>
      <c r="BC372" t="inlineStr">
        <is>
          <t>32285002193711</t>
        </is>
      </c>
      <c r="BD372" t="inlineStr">
        <is>
          <t>893903907</t>
        </is>
      </c>
    </row>
    <row r="373">
      <c r="A373" t="inlineStr">
        <is>
          <t>No</t>
        </is>
      </c>
      <c r="B373" t="inlineStr">
        <is>
          <t>DC33.7 .F727 1993</t>
        </is>
      </c>
      <c r="C373" t="inlineStr">
        <is>
          <t>0                      DC 0033700F  727         1993</t>
        </is>
      </c>
      <c r="D373" t="inlineStr">
        <is>
          <t>French culture since 1945 / edited by Malcolm Cook.</t>
        </is>
      </c>
      <c r="F373" t="inlineStr">
        <is>
          <t>No</t>
        </is>
      </c>
      <c r="G373" t="inlineStr">
        <is>
          <t>1</t>
        </is>
      </c>
      <c r="H373" t="inlineStr">
        <is>
          <t>No</t>
        </is>
      </c>
      <c r="I373" t="inlineStr">
        <is>
          <t>No</t>
        </is>
      </c>
      <c r="J373" t="inlineStr">
        <is>
          <t>0</t>
        </is>
      </c>
      <c r="L373" t="inlineStr">
        <is>
          <t>London ; New York : Longman, 1993.</t>
        </is>
      </c>
      <c r="M373" t="inlineStr">
        <is>
          <t>1993</t>
        </is>
      </c>
      <c r="O373" t="inlineStr">
        <is>
          <t>eng</t>
        </is>
      </c>
      <c r="P373" t="inlineStr">
        <is>
          <t>enk</t>
        </is>
      </c>
      <c r="R373" t="inlineStr">
        <is>
          <t xml:space="preserve">DC </t>
        </is>
      </c>
      <c r="S373" t="n">
        <v>17</v>
      </c>
      <c r="T373" t="n">
        <v>17</v>
      </c>
      <c r="U373" t="inlineStr">
        <is>
          <t>2007-11-08</t>
        </is>
      </c>
      <c r="V373" t="inlineStr">
        <is>
          <t>2007-11-08</t>
        </is>
      </c>
      <c r="W373" t="inlineStr">
        <is>
          <t>1994-05-11</t>
        </is>
      </c>
      <c r="X373" t="inlineStr">
        <is>
          <t>1994-05-11</t>
        </is>
      </c>
      <c r="Y373" t="n">
        <v>300</v>
      </c>
      <c r="Z373" t="n">
        <v>171</v>
      </c>
      <c r="AA373" t="n">
        <v>172</v>
      </c>
      <c r="AB373" t="n">
        <v>2</v>
      </c>
      <c r="AC373" t="n">
        <v>2</v>
      </c>
      <c r="AD373" t="n">
        <v>9</v>
      </c>
      <c r="AE373" t="n">
        <v>9</v>
      </c>
      <c r="AF373" t="n">
        <v>2</v>
      </c>
      <c r="AG373" t="n">
        <v>2</v>
      </c>
      <c r="AH373" t="n">
        <v>5</v>
      </c>
      <c r="AI373" t="n">
        <v>5</v>
      </c>
      <c r="AJ373" t="n">
        <v>5</v>
      </c>
      <c r="AK373" t="n">
        <v>5</v>
      </c>
      <c r="AL373" t="n">
        <v>1</v>
      </c>
      <c r="AM373" t="n">
        <v>1</v>
      </c>
      <c r="AN373" t="n">
        <v>0</v>
      </c>
      <c r="AO373" t="n">
        <v>0</v>
      </c>
      <c r="AP373" t="inlineStr">
        <is>
          <t>No</t>
        </is>
      </c>
      <c r="AQ373" t="inlineStr">
        <is>
          <t>Yes</t>
        </is>
      </c>
      <c r="AR373">
        <f>HYPERLINK("http://catalog.hathitrust.org/Record/002727923","HathiTrust Record")</f>
        <v/>
      </c>
      <c r="AS373">
        <f>HYPERLINK("https://creighton-primo.hosted.exlibrisgroup.com/primo-explore/search?tab=default_tab&amp;search_scope=EVERYTHING&amp;vid=01CRU&amp;lang=en_US&amp;offset=0&amp;query=any,contains,991005415599702656","Catalog Record")</f>
        <v/>
      </c>
      <c r="AT373">
        <f>HYPERLINK("http://www.worldcat.org/oclc/26354187","WorldCat Record")</f>
        <v/>
      </c>
      <c r="AU373" t="inlineStr">
        <is>
          <t>349967683:eng</t>
        </is>
      </c>
      <c r="AV373" t="inlineStr">
        <is>
          <t>26354187</t>
        </is>
      </c>
      <c r="AW373" t="inlineStr">
        <is>
          <t>991005415599702656</t>
        </is>
      </c>
      <c r="AX373" t="inlineStr">
        <is>
          <t>991005415599702656</t>
        </is>
      </c>
      <c r="AY373" t="inlineStr">
        <is>
          <t>2262739650002656</t>
        </is>
      </c>
      <c r="AZ373" t="inlineStr">
        <is>
          <t>BOOK</t>
        </is>
      </c>
      <c r="BB373" t="inlineStr">
        <is>
          <t>9780582088061</t>
        </is>
      </c>
      <c r="BC373" t="inlineStr">
        <is>
          <t>32285001895217</t>
        </is>
      </c>
      <c r="BD373" t="inlineStr">
        <is>
          <t>893625989</t>
        </is>
      </c>
    </row>
    <row r="374">
      <c r="A374" t="inlineStr">
        <is>
          <t>No</t>
        </is>
      </c>
      <c r="B374" t="inlineStr">
        <is>
          <t>DC33.7 .M384 2001</t>
        </is>
      </c>
      <c r="C374" t="inlineStr">
        <is>
          <t>0                      DC 0033700M  384         2001</t>
        </is>
      </c>
      <c r="D374" t="inlineStr">
        <is>
          <t>Les Français : mentalités et comportements / Nelly Mauchamp ; avec la collaboration de Béatrice De Peyret.</t>
        </is>
      </c>
      <c r="F374" t="inlineStr">
        <is>
          <t>No</t>
        </is>
      </c>
      <c r="G374" t="inlineStr">
        <is>
          <t>1</t>
        </is>
      </c>
      <c r="H374" t="inlineStr">
        <is>
          <t>No</t>
        </is>
      </c>
      <c r="I374" t="inlineStr">
        <is>
          <t>No</t>
        </is>
      </c>
      <c r="J374" t="inlineStr">
        <is>
          <t>0</t>
        </is>
      </c>
      <c r="K374" t="inlineStr">
        <is>
          <t>Mauchamp, Nelly.</t>
        </is>
      </c>
      <c r="L374" t="inlineStr">
        <is>
          <t>Paris : CLE international, c2001.</t>
        </is>
      </c>
      <c r="M374" t="inlineStr">
        <is>
          <t>2001</t>
        </is>
      </c>
      <c r="O374" t="inlineStr">
        <is>
          <t>fre</t>
        </is>
      </c>
      <c r="P374" t="inlineStr">
        <is>
          <t xml:space="preserve">fr </t>
        </is>
      </c>
      <c r="R374" t="inlineStr">
        <is>
          <t xml:space="preserve">DC </t>
        </is>
      </c>
      <c r="S374" t="n">
        <v>1</v>
      </c>
      <c r="T374" t="n">
        <v>1</v>
      </c>
      <c r="U374" t="inlineStr">
        <is>
          <t>2007-03-13</t>
        </is>
      </c>
      <c r="V374" t="inlineStr">
        <is>
          <t>2007-03-13</t>
        </is>
      </c>
      <c r="W374" t="inlineStr">
        <is>
          <t>2007-03-13</t>
        </is>
      </c>
      <c r="X374" t="inlineStr">
        <is>
          <t>2007-03-13</t>
        </is>
      </c>
      <c r="Y374" t="n">
        <v>6</v>
      </c>
      <c r="Z374" t="n">
        <v>4</v>
      </c>
      <c r="AA374" t="n">
        <v>33</v>
      </c>
      <c r="AB374" t="n">
        <v>1</v>
      </c>
      <c r="AC374" t="n">
        <v>2</v>
      </c>
      <c r="AD374" t="n">
        <v>0</v>
      </c>
      <c r="AE374" t="n">
        <v>3</v>
      </c>
      <c r="AF374" t="n">
        <v>0</v>
      </c>
      <c r="AG374" t="n">
        <v>1</v>
      </c>
      <c r="AH374" t="n">
        <v>0</v>
      </c>
      <c r="AI374" t="n">
        <v>0</v>
      </c>
      <c r="AJ374" t="n">
        <v>0</v>
      </c>
      <c r="AK374" t="n">
        <v>1</v>
      </c>
      <c r="AL374" t="n">
        <v>0</v>
      </c>
      <c r="AM374" t="n">
        <v>1</v>
      </c>
      <c r="AN374" t="n">
        <v>0</v>
      </c>
      <c r="AO374" t="n">
        <v>0</v>
      </c>
      <c r="AP374" t="inlineStr">
        <is>
          <t>No</t>
        </is>
      </c>
      <c r="AQ374" t="inlineStr">
        <is>
          <t>Yes</t>
        </is>
      </c>
      <c r="AR374">
        <f>HYPERLINK("http://catalog.hathitrust.org/Record/009420334","HathiTrust Record")</f>
        <v/>
      </c>
      <c r="AS374">
        <f>HYPERLINK("https://creighton-primo.hosted.exlibrisgroup.com/primo-explore/search?tab=default_tab&amp;search_scope=EVERYTHING&amp;vid=01CRU&amp;lang=en_US&amp;offset=0&amp;query=any,contains,991005051149702656","Catalog Record")</f>
        <v/>
      </c>
      <c r="AT374">
        <f>HYPERLINK("http://www.worldcat.org/oclc/62170323","WorldCat Record")</f>
        <v/>
      </c>
      <c r="AU374" t="inlineStr">
        <is>
          <t>3901772543:fre</t>
        </is>
      </c>
      <c r="AV374" t="inlineStr">
        <is>
          <t>62170323</t>
        </is>
      </c>
      <c r="AW374" t="inlineStr">
        <is>
          <t>991005051149702656</t>
        </is>
      </c>
      <c r="AX374" t="inlineStr">
        <is>
          <t>991005051149702656</t>
        </is>
      </c>
      <c r="AY374" t="inlineStr">
        <is>
          <t>2257212790002656</t>
        </is>
      </c>
      <c r="AZ374" t="inlineStr">
        <is>
          <t>BOOK</t>
        </is>
      </c>
      <c r="BC374" t="inlineStr">
        <is>
          <t>32285005281455</t>
        </is>
      </c>
      <c r="BD374" t="inlineStr">
        <is>
          <t>893536327</t>
        </is>
      </c>
    </row>
    <row r="375">
      <c r="A375" t="inlineStr">
        <is>
          <t>No</t>
        </is>
      </c>
      <c r="B375" t="inlineStr">
        <is>
          <t>DC33.7 .M59 1999</t>
        </is>
      </c>
      <c r="C375" t="inlineStr">
        <is>
          <t>0                      DC 0033700M  59          1999</t>
        </is>
      </c>
      <c r="D375" t="inlineStr">
        <is>
          <t>Modern France : society in transition / edited by Malcolm Cook and Grace Davie.</t>
        </is>
      </c>
      <c r="F375" t="inlineStr">
        <is>
          <t>No</t>
        </is>
      </c>
      <c r="G375" t="inlineStr">
        <is>
          <t>1</t>
        </is>
      </c>
      <c r="H375" t="inlineStr">
        <is>
          <t>No</t>
        </is>
      </c>
      <c r="I375" t="inlineStr">
        <is>
          <t>No</t>
        </is>
      </c>
      <c r="J375" t="inlineStr">
        <is>
          <t>0</t>
        </is>
      </c>
      <c r="L375" t="inlineStr">
        <is>
          <t>London ; New York : Routledge, 1999.</t>
        </is>
      </c>
      <c r="M375" t="inlineStr">
        <is>
          <t>1999</t>
        </is>
      </c>
      <c r="O375" t="inlineStr">
        <is>
          <t>eng</t>
        </is>
      </c>
      <c r="P375" t="inlineStr">
        <is>
          <t>enk</t>
        </is>
      </c>
      <c r="R375" t="inlineStr">
        <is>
          <t xml:space="preserve">DC </t>
        </is>
      </c>
      <c r="S375" t="n">
        <v>5</v>
      </c>
      <c r="T375" t="n">
        <v>5</v>
      </c>
      <c r="U375" t="inlineStr">
        <is>
          <t>2001-08-30</t>
        </is>
      </c>
      <c r="V375" t="inlineStr">
        <is>
          <t>2001-08-30</t>
        </is>
      </c>
      <c r="W375" t="inlineStr">
        <is>
          <t>1999-11-02</t>
        </is>
      </c>
      <c r="X375" t="inlineStr">
        <is>
          <t>1999-11-02</t>
        </is>
      </c>
      <c r="Y375" t="n">
        <v>280</v>
      </c>
      <c r="Z375" t="n">
        <v>132</v>
      </c>
      <c r="AA375" t="n">
        <v>158</v>
      </c>
      <c r="AB375" t="n">
        <v>3</v>
      </c>
      <c r="AC375" t="n">
        <v>3</v>
      </c>
      <c r="AD375" t="n">
        <v>7</v>
      </c>
      <c r="AE375" t="n">
        <v>7</v>
      </c>
      <c r="AF375" t="n">
        <v>2</v>
      </c>
      <c r="AG375" t="n">
        <v>2</v>
      </c>
      <c r="AH375" t="n">
        <v>4</v>
      </c>
      <c r="AI375" t="n">
        <v>4</v>
      </c>
      <c r="AJ375" t="n">
        <v>2</v>
      </c>
      <c r="AK375" t="n">
        <v>2</v>
      </c>
      <c r="AL375" t="n">
        <v>2</v>
      </c>
      <c r="AM375" t="n">
        <v>2</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HYPERLINK("https://creighton-primo.hosted.exlibrisgroup.com/primo-explore/search?tab=default_tab&amp;search_scope=EVERYTHING&amp;vid=01CRU&amp;lang=en_US&amp;offset=0&amp;query=any,contains,991002944489702656","Catalog Record")</f>
        <v/>
      </c>
      <c r="AT375">
        <f>HYPERLINK("http://www.worldcat.org/oclc/39210053","WorldCat Record")</f>
        <v/>
      </c>
      <c r="AU375" t="inlineStr">
        <is>
          <t>836940859:eng</t>
        </is>
      </c>
      <c r="AV375" t="inlineStr">
        <is>
          <t>39210053</t>
        </is>
      </c>
      <c r="AW375" t="inlineStr">
        <is>
          <t>991002944489702656</t>
        </is>
      </c>
      <c r="AX375" t="inlineStr">
        <is>
          <t>991002944489702656</t>
        </is>
      </c>
      <c r="AY375" t="inlineStr">
        <is>
          <t>2270061420002656</t>
        </is>
      </c>
      <c r="AZ375" t="inlineStr">
        <is>
          <t>BOOK</t>
        </is>
      </c>
      <c r="BB375" t="inlineStr">
        <is>
          <t>9780415154314</t>
        </is>
      </c>
      <c r="BC375" t="inlineStr">
        <is>
          <t>32285003617064</t>
        </is>
      </c>
      <c r="BD375" t="inlineStr">
        <is>
          <t>893257907</t>
        </is>
      </c>
    </row>
    <row r="376">
      <c r="A376" t="inlineStr">
        <is>
          <t>No</t>
        </is>
      </c>
      <c r="B376" t="inlineStr">
        <is>
          <t>DC33.7 .R5</t>
        </is>
      </c>
      <c r="C376" t="inlineStr">
        <is>
          <t>0                      DC 0033700R  5</t>
        </is>
      </c>
      <c r="D376" t="inlineStr">
        <is>
          <t>Aux écoutes de la France qui vient; introduction de M. Émile Faguet ...</t>
        </is>
      </c>
      <c r="F376" t="inlineStr">
        <is>
          <t>No</t>
        </is>
      </c>
      <c r="G376" t="inlineStr">
        <is>
          <t>1</t>
        </is>
      </c>
      <c r="H376" t="inlineStr">
        <is>
          <t>No</t>
        </is>
      </c>
      <c r="I376" t="inlineStr">
        <is>
          <t>No</t>
        </is>
      </c>
      <c r="J376" t="inlineStr">
        <is>
          <t>0</t>
        </is>
      </c>
      <c r="K376" t="inlineStr">
        <is>
          <t>Riou, Gaston, 1883-</t>
        </is>
      </c>
      <c r="L376" t="inlineStr">
        <is>
          <t>Paris, B. Grasset, 1913.</t>
        </is>
      </c>
      <c r="M376" t="inlineStr">
        <is>
          <t>1913</t>
        </is>
      </c>
      <c r="O376" t="inlineStr">
        <is>
          <t>fre</t>
        </is>
      </c>
      <c r="P376" t="inlineStr">
        <is>
          <t xml:space="preserve">fr </t>
        </is>
      </c>
      <c r="R376" t="inlineStr">
        <is>
          <t xml:space="preserve">DC </t>
        </is>
      </c>
      <c r="S376" t="n">
        <v>0</v>
      </c>
      <c r="T376" t="n">
        <v>0</v>
      </c>
      <c r="U376" t="inlineStr">
        <is>
          <t>2003-11-10</t>
        </is>
      </c>
      <c r="V376" t="inlineStr">
        <is>
          <t>2003-11-10</t>
        </is>
      </c>
      <c r="W376" t="inlineStr">
        <is>
          <t>1996-10-28</t>
        </is>
      </c>
      <c r="X376" t="inlineStr">
        <is>
          <t>1996-10-28</t>
        </is>
      </c>
      <c r="Y376" t="n">
        <v>55</v>
      </c>
      <c r="Z376" t="n">
        <v>48</v>
      </c>
      <c r="AA376" t="n">
        <v>68</v>
      </c>
      <c r="AB376" t="n">
        <v>2</v>
      </c>
      <c r="AC376" t="n">
        <v>2</v>
      </c>
      <c r="AD376" t="n">
        <v>2</v>
      </c>
      <c r="AE376" t="n">
        <v>2</v>
      </c>
      <c r="AF376" t="n">
        <v>0</v>
      </c>
      <c r="AG376" t="n">
        <v>0</v>
      </c>
      <c r="AH376" t="n">
        <v>1</v>
      </c>
      <c r="AI376" t="n">
        <v>1</v>
      </c>
      <c r="AJ376" t="n">
        <v>0</v>
      </c>
      <c r="AK376" t="n">
        <v>0</v>
      </c>
      <c r="AL376" t="n">
        <v>1</v>
      </c>
      <c r="AM376" t="n">
        <v>1</v>
      </c>
      <c r="AN376" t="n">
        <v>0</v>
      </c>
      <c r="AO376" t="n">
        <v>0</v>
      </c>
      <c r="AP376" t="inlineStr">
        <is>
          <t>Yes</t>
        </is>
      </c>
      <c r="AQ376" t="inlineStr">
        <is>
          <t>No</t>
        </is>
      </c>
      <c r="AR376">
        <f>HYPERLINK("http://catalog.hathitrust.org/Record/001800599","HathiTrust Record")</f>
        <v/>
      </c>
      <c r="AS376">
        <f>HYPERLINK("https://creighton-primo.hosted.exlibrisgroup.com/primo-explore/search?tab=default_tab&amp;search_scope=EVERYTHING&amp;vid=01CRU&amp;lang=en_US&amp;offset=0&amp;query=any,contains,991003886879702656","Catalog Record")</f>
        <v/>
      </c>
      <c r="AT376">
        <f>HYPERLINK("http://www.worldcat.org/oclc/1739758","WorldCat Record")</f>
        <v/>
      </c>
      <c r="AU376" t="inlineStr">
        <is>
          <t>2756298:fre</t>
        </is>
      </c>
      <c r="AV376" t="inlineStr">
        <is>
          <t>1739758</t>
        </is>
      </c>
      <c r="AW376" t="inlineStr">
        <is>
          <t>991003886879702656</t>
        </is>
      </c>
      <c r="AX376" t="inlineStr">
        <is>
          <t>991003886879702656</t>
        </is>
      </c>
      <c r="AY376" t="inlineStr">
        <is>
          <t>2272599950002656</t>
        </is>
      </c>
      <c r="AZ376" t="inlineStr">
        <is>
          <t>BOOK</t>
        </is>
      </c>
      <c r="BC376" t="inlineStr">
        <is>
          <t>32285002378296</t>
        </is>
      </c>
      <c r="BD376" t="inlineStr">
        <is>
          <t>893705738</t>
        </is>
      </c>
    </row>
    <row r="377">
      <c r="A377" t="inlineStr">
        <is>
          <t>No</t>
        </is>
      </c>
      <c r="B377" t="inlineStr">
        <is>
          <t>DC330 .Z44</t>
        </is>
      </c>
      <c r="C377" t="inlineStr">
        <is>
          <t>0                      DC 0330000Z  44</t>
        </is>
      </c>
      <c r="D377" t="inlineStr">
        <is>
          <t>France, 1848-1945, by Theodore Zeldin.</t>
        </is>
      </c>
      <c r="E377" t="inlineStr">
        <is>
          <t>V.1</t>
        </is>
      </c>
      <c r="F377" t="inlineStr">
        <is>
          <t>Yes</t>
        </is>
      </c>
      <c r="G377" t="inlineStr">
        <is>
          <t>1</t>
        </is>
      </c>
      <c r="H377" t="inlineStr">
        <is>
          <t>No</t>
        </is>
      </c>
      <c r="I377" t="inlineStr">
        <is>
          <t>No</t>
        </is>
      </c>
      <c r="J377" t="inlineStr">
        <is>
          <t>0</t>
        </is>
      </c>
      <c r="K377" t="inlineStr">
        <is>
          <t>Zeldin, Theodore, 1933-</t>
        </is>
      </c>
      <c r="L377" t="inlineStr">
        <is>
          <t>Oxford, Clarendon Press, 1973-77.</t>
        </is>
      </c>
      <c r="M377" t="inlineStr">
        <is>
          <t>1973</t>
        </is>
      </c>
      <c r="O377" t="inlineStr">
        <is>
          <t>eng</t>
        </is>
      </c>
      <c r="P377" t="inlineStr">
        <is>
          <t>enk</t>
        </is>
      </c>
      <c r="Q377" t="inlineStr">
        <is>
          <t>Oxford history of modern Europe</t>
        </is>
      </c>
      <c r="R377" t="inlineStr">
        <is>
          <t xml:space="preserve">DC </t>
        </is>
      </c>
      <c r="S377" t="n">
        <v>2</v>
      </c>
      <c r="T377" t="n">
        <v>9</v>
      </c>
      <c r="U377" t="inlineStr">
        <is>
          <t>1994-06-28</t>
        </is>
      </c>
      <c r="V377" t="inlineStr">
        <is>
          <t>1997-11-06</t>
        </is>
      </c>
      <c r="W377" t="inlineStr">
        <is>
          <t>1991-01-14</t>
        </is>
      </c>
      <c r="X377" t="inlineStr">
        <is>
          <t>1991-01-14</t>
        </is>
      </c>
      <c r="Y377" t="n">
        <v>1328</v>
      </c>
      <c r="Z377" t="n">
        <v>1105</v>
      </c>
      <c r="AA377" t="n">
        <v>1105</v>
      </c>
      <c r="AB377" t="n">
        <v>10</v>
      </c>
      <c r="AC377" t="n">
        <v>10</v>
      </c>
      <c r="AD377" t="n">
        <v>47</v>
      </c>
      <c r="AE377" t="n">
        <v>47</v>
      </c>
      <c r="AF377" t="n">
        <v>16</v>
      </c>
      <c r="AG377" t="n">
        <v>16</v>
      </c>
      <c r="AH377" t="n">
        <v>9</v>
      </c>
      <c r="AI377" t="n">
        <v>9</v>
      </c>
      <c r="AJ377" t="n">
        <v>25</v>
      </c>
      <c r="AK377" t="n">
        <v>25</v>
      </c>
      <c r="AL377" t="n">
        <v>9</v>
      </c>
      <c r="AM377" t="n">
        <v>9</v>
      </c>
      <c r="AN377" t="n">
        <v>0</v>
      </c>
      <c r="AO377" t="n">
        <v>0</v>
      </c>
      <c r="AP377" t="inlineStr">
        <is>
          <t>No</t>
        </is>
      </c>
      <c r="AQ377" t="inlineStr">
        <is>
          <t>Yes</t>
        </is>
      </c>
      <c r="AR377">
        <f>HYPERLINK("http://catalog.hathitrust.org/Record/000012467","HathiTrust Record")</f>
        <v/>
      </c>
      <c r="AS377">
        <f>HYPERLINK("https://creighton-primo.hosted.exlibrisgroup.com/primo-explore/search?tab=default_tab&amp;search_scope=EVERYTHING&amp;vid=01CRU&amp;lang=en_US&amp;offset=0&amp;query=any,contains,991003298099702656","Catalog Record")</f>
        <v/>
      </c>
      <c r="AT377">
        <f>HYPERLINK("http://www.worldcat.org/oclc/726662","WorldCat Record")</f>
        <v/>
      </c>
      <c r="AU377" t="inlineStr">
        <is>
          <t>10596886571:eng</t>
        </is>
      </c>
      <c r="AV377" t="inlineStr">
        <is>
          <t>726662</t>
        </is>
      </c>
      <c r="AW377" t="inlineStr">
        <is>
          <t>991003298099702656</t>
        </is>
      </c>
      <c r="AX377" t="inlineStr">
        <is>
          <t>991003298099702656</t>
        </is>
      </c>
      <c r="AY377" t="inlineStr">
        <is>
          <t>2259199540002656</t>
        </is>
      </c>
      <c r="AZ377" t="inlineStr">
        <is>
          <t>BOOK</t>
        </is>
      </c>
      <c r="BB377" t="inlineStr">
        <is>
          <t>9780198221043</t>
        </is>
      </c>
      <c r="BC377" t="inlineStr">
        <is>
          <t>32285000394923</t>
        </is>
      </c>
      <c r="BD377" t="inlineStr">
        <is>
          <t>893874628</t>
        </is>
      </c>
    </row>
    <row r="378">
      <c r="A378" t="inlineStr">
        <is>
          <t>No</t>
        </is>
      </c>
      <c r="B378" t="inlineStr">
        <is>
          <t>DC330 .Z44</t>
        </is>
      </c>
      <c r="C378" t="inlineStr">
        <is>
          <t>0                      DC 0330000Z  44</t>
        </is>
      </c>
      <c r="D378" t="inlineStr">
        <is>
          <t>France, 1848-1945, by Theodore Zeldin.</t>
        </is>
      </c>
      <c r="E378" t="inlineStr">
        <is>
          <t>V.2</t>
        </is>
      </c>
      <c r="F378" t="inlineStr">
        <is>
          <t>Yes</t>
        </is>
      </c>
      <c r="G378" t="inlineStr">
        <is>
          <t>1</t>
        </is>
      </c>
      <c r="H378" t="inlineStr">
        <is>
          <t>No</t>
        </is>
      </c>
      <c r="I378" t="inlineStr">
        <is>
          <t>No</t>
        </is>
      </c>
      <c r="J378" t="inlineStr">
        <is>
          <t>0</t>
        </is>
      </c>
      <c r="K378" t="inlineStr">
        <is>
          <t>Zeldin, Theodore, 1933-</t>
        </is>
      </c>
      <c r="L378" t="inlineStr">
        <is>
          <t>Oxford, Clarendon Press, 1973-77.</t>
        </is>
      </c>
      <c r="M378" t="inlineStr">
        <is>
          <t>1973</t>
        </is>
      </c>
      <c r="O378" t="inlineStr">
        <is>
          <t>eng</t>
        </is>
      </c>
      <c r="P378" t="inlineStr">
        <is>
          <t>enk</t>
        </is>
      </c>
      <c r="Q378" t="inlineStr">
        <is>
          <t>Oxford history of modern Europe</t>
        </is>
      </c>
      <c r="R378" t="inlineStr">
        <is>
          <t xml:space="preserve">DC </t>
        </is>
      </c>
      <c r="S378" t="n">
        <v>7</v>
      </c>
      <c r="T378" t="n">
        <v>9</v>
      </c>
      <c r="U378" t="inlineStr">
        <is>
          <t>1997-11-06</t>
        </is>
      </c>
      <c r="V378" t="inlineStr">
        <is>
          <t>1997-11-06</t>
        </is>
      </c>
      <c r="W378" t="inlineStr">
        <is>
          <t>1990-03-23</t>
        </is>
      </c>
      <c r="X378" t="inlineStr">
        <is>
          <t>1991-01-14</t>
        </is>
      </c>
      <c r="Y378" t="n">
        <v>1328</v>
      </c>
      <c r="Z378" t="n">
        <v>1105</v>
      </c>
      <c r="AA378" t="n">
        <v>1105</v>
      </c>
      <c r="AB378" t="n">
        <v>10</v>
      </c>
      <c r="AC378" t="n">
        <v>10</v>
      </c>
      <c r="AD378" t="n">
        <v>47</v>
      </c>
      <c r="AE378" t="n">
        <v>47</v>
      </c>
      <c r="AF378" t="n">
        <v>16</v>
      </c>
      <c r="AG378" t="n">
        <v>16</v>
      </c>
      <c r="AH378" t="n">
        <v>9</v>
      </c>
      <c r="AI378" t="n">
        <v>9</v>
      </c>
      <c r="AJ378" t="n">
        <v>25</v>
      </c>
      <c r="AK378" t="n">
        <v>25</v>
      </c>
      <c r="AL378" t="n">
        <v>9</v>
      </c>
      <c r="AM378" t="n">
        <v>9</v>
      </c>
      <c r="AN378" t="n">
        <v>0</v>
      </c>
      <c r="AO378" t="n">
        <v>0</v>
      </c>
      <c r="AP378" t="inlineStr">
        <is>
          <t>No</t>
        </is>
      </c>
      <c r="AQ378" t="inlineStr">
        <is>
          <t>Yes</t>
        </is>
      </c>
      <c r="AR378">
        <f>HYPERLINK("http://catalog.hathitrust.org/Record/000012467","HathiTrust Record")</f>
        <v/>
      </c>
      <c r="AS378">
        <f>HYPERLINK("https://creighton-primo.hosted.exlibrisgroup.com/primo-explore/search?tab=default_tab&amp;search_scope=EVERYTHING&amp;vid=01CRU&amp;lang=en_US&amp;offset=0&amp;query=any,contains,991003298099702656","Catalog Record")</f>
        <v/>
      </c>
      <c r="AT378">
        <f>HYPERLINK("http://www.worldcat.org/oclc/726662","WorldCat Record")</f>
        <v/>
      </c>
      <c r="AU378" t="inlineStr">
        <is>
          <t>10596886571:eng</t>
        </is>
      </c>
      <c r="AV378" t="inlineStr">
        <is>
          <t>726662</t>
        </is>
      </c>
      <c r="AW378" t="inlineStr">
        <is>
          <t>991003298099702656</t>
        </is>
      </c>
      <c r="AX378" t="inlineStr">
        <is>
          <t>991003298099702656</t>
        </is>
      </c>
      <c r="AY378" t="inlineStr">
        <is>
          <t>2259199540002656</t>
        </is>
      </c>
      <c r="AZ378" t="inlineStr">
        <is>
          <t>BOOK</t>
        </is>
      </c>
      <c r="BB378" t="inlineStr">
        <is>
          <t>9780198221043</t>
        </is>
      </c>
      <c r="BC378" t="inlineStr">
        <is>
          <t>32285000096494</t>
        </is>
      </c>
      <c r="BD378" t="inlineStr">
        <is>
          <t>893881025</t>
        </is>
      </c>
    </row>
    <row r="379">
      <c r="A379" t="inlineStr">
        <is>
          <t>No</t>
        </is>
      </c>
      <c r="B379" t="inlineStr">
        <is>
          <t>DC331 .B76 1972</t>
        </is>
      </c>
      <c r="C379" t="inlineStr">
        <is>
          <t>0                      DC 0331000B  76          1972</t>
        </is>
      </c>
      <c r="D379" t="inlineStr">
        <is>
          <t>The beginning of the Third Republic in France; a history of the National Assembly (February-September 1871)</t>
        </is>
      </c>
      <c r="F379" t="inlineStr">
        <is>
          <t>No</t>
        </is>
      </c>
      <c r="G379" t="inlineStr">
        <is>
          <t>1</t>
        </is>
      </c>
      <c r="H379" t="inlineStr">
        <is>
          <t>No</t>
        </is>
      </c>
      <c r="I379" t="inlineStr">
        <is>
          <t>No</t>
        </is>
      </c>
      <c r="J379" t="inlineStr">
        <is>
          <t>0</t>
        </is>
      </c>
      <c r="K379" t="inlineStr">
        <is>
          <t>Brabant, Frank Herbert, 1892-1972.</t>
        </is>
      </c>
      <c r="L379" t="inlineStr">
        <is>
          <t>New York, H. Fertig, 1972.</t>
        </is>
      </c>
      <c r="M379" t="inlineStr">
        <is>
          <t>1972</t>
        </is>
      </c>
      <c r="O379" t="inlineStr">
        <is>
          <t>eng</t>
        </is>
      </c>
      <c r="P379" t="inlineStr">
        <is>
          <t>nyu</t>
        </is>
      </c>
      <c r="R379" t="inlineStr">
        <is>
          <t xml:space="preserve">DC </t>
        </is>
      </c>
      <c r="S379" t="n">
        <v>2</v>
      </c>
      <c r="T379" t="n">
        <v>2</v>
      </c>
      <c r="U379" t="inlineStr">
        <is>
          <t>2006-01-18</t>
        </is>
      </c>
      <c r="V379" t="inlineStr">
        <is>
          <t>2006-01-18</t>
        </is>
      </c>
      <c r="W379" t="inlineStr">
        <is>
          <t>1996-11-14</t>
        </is>
      </c>
      <c r="X379" t="inlineStr">
        <is>
          <t>1996-11-14</t>
        </is>
      </c>
      <c r="Y379" t="n">
        <v>240</v>
      </c>
      <c r="Z379" t="n">
        <v>217</v>
      </c>
      <c r="AA379" t="n">
        <v>440</v>
      </c>
      <c r="AB379" t="n">
        <v>1</v>
      </c>
      <c r="AC379" t="n">
        <v>3</v>
      </c>
      <c r="AD379" t="n">
        <v>9</v>
      </c>
      <c r="AE379" t="n">
        <v>25</v>
      </c>
      <c r="AF379" t="n">
        <v>6</v>
      </c>
      <c r="AG379" t="n">
        <v>10</v>
      </c>
      <c r="AH379" t="n">
        <v>2</v>
      </c>
      <c r="AI379" t="n">
        <v>7</v>
      </c>
      <c r="AJ379" t="n">
        <v>4</v>
      </c>
      <c r="AK379" t="n">
        <v>15</v>
      </c>
      <c r="AL379" t="n">
        <v>0</v>
      </c>
      <c r="AM379" t="n">
        <v>2</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HYPERLINK("https://creighton-primo.hosted.exlibrisgroup.com/primo-explore/search?tab=default_tab&amp;search_scope=EVERYTHING&amp;vid=01CRU&amp;lang=en_US&amp;offset=0&amp;query=any,contains,991002057349702656","Catalog Record")</f>
        <v/>
      </c>
      <c r="AT379">
        <f>HYPERLINK("http://www.worldcat.org/oclc/262523","WorldCat Record")</f>
        <v/>
      </c>
      <c r="AU379" t="inlineStr">
        <is>
          <t>197568031:eng</t>
        </is>
      </c>
      <c r="AV379" t="inlineStr">
        <is>
          <t>262523</t>
        </is>
      </c>
      <c r="AW379" t="inlineStr">
        <is>
          <t>991002057349702656</t>
        </is>
      </c>
      <c r="AX379" t="inlineStr">
        <is>
          <t>991002057349702656</t>
        </is>
      </c>
      <c r="AY379" t="inlineStr">
        <is>
          <t>2266719520002656</t>
        </is>
      </c>
      <c r="AZ379" t="inlineStr">
        <is>
          <t>BOOK</t>
        </is>
      </c>
      <c r="BC379" t="inlineStr">
        <is>
          <t>32285002345683</t>
        </is>
      </c>
      <c r="BD379" t="inlineStr">
        <is>
          <t>893892076</t>
        </is>
      </c>
    </row>
    <row r="380">
      <c r="A380" t="inlineStr">
        <is>
          <t>No</t>
        </is>
      </c>
      <c r="B380" t="inlineStr">
        <is>
          <t>DC335 .A3813 1993</t>
        </is>
      </c>
      <c r="C380" t="inlineStr">
        <is>
          <t>0                      DC 0335000A  3813        1993</t>
        </is>
      </c>
      <c r="D380" t="inlineStr">
        <is>
          <t>The French Republic, 1879-1992 / Maurice Agulhon ; translated by Antonia Nevill.</t>
        </is>
      </c>
      <c r="F380" t="inlineStr">
        <is>
          <t>No</t>
        </is>
      </c>
      <c r="G380" t="inlineStr">
        <is>
          <t>1</t>
        </is>
      </c>
      <c r="H380" t="inlineStr">
        <is>
          <t>No</t>
        </is>
      </c>
      <c r="I380" t="inlineStr">
        <is>
          <t>No</t>
        </is>
      </c>
      <c r="J380" t="inlineStr">
        <is>
          <t>0</t>
        </is>
      </c>
      <c r="K380" t="inlineStr">
        <is>
          <t>Agulhon, Maurice.</t>
        </is>
      </c>
      <c r="L380" t="inlineStr">
        <is>
          <t>Oxford, UK ; Cambridge, Mass., USA : B. Blackwell, 1993.</t>
        </is>
      </c>
      <c r="M380" t="inlineStr">
        <is>
          <t>1993</t>
        </is>
      </c>
      <c r="N380" t="inlineStr">
        <is>
          <t>English ed.</t>
        </is>
      </c>
      <c r="O380" t="inlineStr">
        <is>
          <t>eng</t>
        </is>
      </c>
      <c r="P380" t="inlineStr">
        <is>
          <t>enk</t>
        </is>
      </c>
      <c r="Q380" t="inlineStr">
        <is>
          <t>A History of France</t>
        </is>
      </c>
      <c r="R380" t="inlineStr">
        <is>
          <t xml:space="preserve">DC </t>
        </is>
      </c>
      <c r="S380" t="n">
        <v>5</v>
      </c>
      <c r="T380" t="n">
        <v>5</v>
      </c>
      <c r="U380" t="inlineStr">
        <is>
          <t>2006-01-18</t>
        </is>
      </c>
      <c r="V380" t="inlineStr">
        <is>
          <t>2006-01-18</t>
        </is>
      </c>
      <c r="W380" t="inlineStr">
        <is>
          <t>1994-06-20</t>
        </is>
      </c>
      <c r="X380" t="inlineStr">
        <is>
          <t>1994-06-20</t>
        </is>
      </c>
      <c r="Y380" t="n">
        <v>705</v>
      </c>
      <c r="Z380" t="n">
        <v>602</v>
      </c>
      <c r="AA380" t="n">
        <v>634</v>
      </c>
      <c r="AB380" t="n">
        <v>3</v>
      </c>
      <c r="AC380" t="n">
        <v>3</v>
      </c>
      <c r="AD380" t="n">
        <v>26</v>
      </c>
      <c r="AE380" t="n">
        <v>30</v>
      </c>
      <c r="AF380" t="n">
        <v>9</v>
      </c>
      <c r="AG380" t="n">
        <v>12</v>
      </c>
      <c r="AH380" t="n">
        <v>7</v>
      </c>
      <c r="AI380" t="n">
        <v>7</v>
      </c>
      <c r="AJ380" t="n">
        <v>17</v>
      </c>
      <c r="AK380" t="n">
        <v>18</v>
      </c>
      <c r="AL380" t="n">
        <v>2</v>
      </c>
      <c r="AM380" t="n">
        <v>2</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HYPERLINK("https://creighton-primo.hosted.exlibrisgroup.com/primo-explore/search?tab=default_tab&amp;search_scope=EVERYTHING&amp;vid=01CRU&amp;lang=en_US&amp;offset=0&amp;query=any,contains,991002118529702656","Catalog Record")</f>
        <v/>
      </c>
      <c r="AT380">
        <f>HYPERLINK("http://www.worldcat.org/oclc/27147543","WorldCat Record")</f>
        <v/>
      </c>
      <c r="AU380" t="inlineStr">
        <is>
          <t>345067:eng</t>
        </is>
      </c>
      <c r="AV380" t="inlineStr">
        <is>
          <t>27147543</t>
        </is>
      </c>
      <c r="AW380" t="inlineStr">
        <is>
          <t>991002118529702656</t>
        </is>
      </c>
      <c r="AX380" t="inlineStr">
        <is>
          <t>991002118529702656</t>
        </is>
      </c>
      <c r="AY380" t="inlineStr">
        <is>
          <t>2255952830002656</t>
        </is>
      </c>
      <c r="AZ380" t="inlineStr">
        <is>
          <t>BOOK</t>
        </is>
      </c>
      <c r="BB380" t="inlineStr">
        <is>
          <t>9780631170310</t>
        </is>
      </c>
      <c r="BC380" t="inlineStr">
        <is>
          <t>32285001924041</t>
        </is>
      </c>
      <c r="BD380" t="inlineStr">
        <is>
          <t>893341046</t>
        </is>
      </c>
    </row>
    <row r="381">
      <c r="A381" t="inlineStr">
        <is>
          <t>No</t>
        </is>
      </c>
      <c r="B381" t="inlineStr">
        <is>
          <t>DC335 .B7 1916</t>
        </is>
      </c>
      <c r="C381" t="inlineStr">
        <is>
          <t>0                      DC 0335000B  7           1916</t>
        </is>
      </c>
      <c r="D381" t="inlineStr">
        <is>
          <t>France under the Republic.</t>
        </is>
      </c>
      <c r="F381" t="inlineStr">
        <is>
          <t>No</t>
        </is>
      </c>
      <c r="G381" t="inlineStr">
        <is>
          <t>1</t>
        </is>
      </c>
      <c r="H381" t="inlineStr">
        <is>
          <t>No</t>
        </is>
      </c>
      <c r="I381" t="inlineStr">
        <is>
          <t>No</t>
        </is>
      </c>
      <c r="J381" t="inlineStr">
        <is>
          <t>0</t>
        </is>
      </c>
      <c r="K381" t="inlineStr">
        <is>
          <t>Bracq, Jean Charlemagne, 1853-1934.</t>
        </is>
      </c>
      <c r="L381" t="inlineStr">
        <is>
          <t>Chautauqua, N.Y., The Chautauqua Press [c1916]</t>
        </is>
      </c>
      <c r="M381" t="inlineStr">
        <is>
          <t>1916</t>
        </is>
      </c>
      <c r="N381" t="inlineStr">
        <is>
          <t>New and revised edition.</t>
        </is>
      </c>
      <c r="O381" t="inlineStr">
        <is>
          <t>eng</t>
        </is>
      </c>
      <c r="P381" t="inlineStr">
        <is>
          <t xml:space="preserve">xx </t>
        </is>
      </c>
      <c r="R381" t="inlineStr">
        <is>
          <t xml:space="preserve">DC </t>
        </is>
      </c>
      <c r="S381" t="n">
        <v>2</v>
      </c>
      <c r="T381" t="n">
        <v>2</v>
      </c>
      <c r="U381" t="inlineStr">
        <is>
          <t>2006-01-18</t>
        </is>
      </c>
      <c r="V381" t="inlineStr">
        <is>
          <t>2006-01-18</t>
        </is>
      </c>
      <c r="W381" t="inlineStr">
        <is>
          <t>1996-05-15</t>
        </is>
      </c>
      <c r="X381" t="inlineStr">
        <is>
          <t>1996-05-15</t>
        </is>
      </c>
      <c r="Y381" t="n">
        <v>71</v>
      </c>
      <c r="Z381" t="n">
        <v>68</v>
      </c>
      <c r="AA381" t="n">
        <v>391</v>
      </c>
      <c r="AB381" t="n">
        <v>2</v>
      </c>
      <c r="AC381" t="n">
        <v>5</v>
      </c>
      <c r="AD381" t="n">
        <v>3</v>
      </c>
      <c r="AE381" t="n">
        <v>17</v>
      </c>
      <c r="AF381" t="n">
        <v>2</v>
      </c>
      <c r="AG381" t="n">
        <v>7</v>
      </c>
      <c r="AH381" t="n">
        <v>1</v>
      </c>
      <c r="AI381" t="n">
        <v>5</v>
      </c>
      <c r="AJ381" t="n">
        <v>0</v>
      </c>
      <c r="AK381" t="n">
        <v>6</v>
      </c>
      <c r="AL381" t="n">
        <v>1</v>
      </c>
      <c r="AM381" t="n">
        <v>4</v>
      </c>
      <c r="AN381" t="n">
        <v>0</v>
      </c>
      <c r="AO381" t="n">
        <v>0</v>
      </c>
      <c r="AP381" t="inlineStr">
        <is>
          <t>Yes</t>
        </is>
      </c>
      <c r="AQ381" t="inlineStr">
        <is>
          <t>No</t>
        </is>
      </c>
      <c r="AR381">
        <f>HYPERLINK("http://catalog.hathitrust.org/Record/102670271","HathiTrust Record")</f>
        <v/>
      </c>
      <c r="AS381">
        <f>HYPERLINK("https://creighton-primo.hosted.exlibrisgroup.com/primo-explore/search?tab=default_tab&amp;search_scope=EVERYTHING&amp;vid=01CRU&amp;lang=en_US&amp;offset=0&amp;query=any,contains,991002690419702656","Catalog Record")</f>
        <v/>
      </c>
      <c r="AT381">
        <f>HYPERLINK("http://www.worldcat.org/oclc/401384","WorldCat Record")</f>
        <v/>
      </c>
      <c r="AU381" t="inlineStr">
        <is>
          <t>1417324:eng</t>
        </is>
      </c>
      <c r="AV381" t="inlineStr">
        <is>
          <t>401384</t>
        </is>
      </c>
      <c r="AW381" t="inlineStr">
        <is>
          <t>991002690419702656</t>
        </is>
      </c>
      <c r="AX381" t="inlineStr">
        <is>
          <t>991002690419702656</t>
        </is>
      </c>
      <c r="AY381" t="inlineStr">
        <is>
          <t>2268080710002656</t>
        </is>
      </c>
      <c r="AZ381" t="inlineStr">
        <is>
          <t>BOOK</t>
        </is>
      </c>
      <c r="BC381" t="inlineStr">
        <is>
          <t>32285002163904</t>
        </is>
      </c>
      <c r="BD381" t="inlineStr">
        <is>
          <t>893691886</t>
        </is>
      </c>
    </row>
    <row r="382">
      <c r="A382" t="inlineStr">
        <is>
          <t>No</t>
        </is>
      </c>
      <c r="B382" t="inlineStr">
        <is>
          <t>DC335 .B75 1966</t>
        </is>
      </c>
      <c r="C382" t="inlineStr">
        <is>
          <t>0                      DC 0335000B  75          1966</t>
        </is>
      </c>
      <c r="D382" t="inlineStr">
        <is>
          <t>The development of modern France, 1870-1939 / [by] D. W. Brogan.</t>
        </is>
      </c>
      <c r="E382" t="inlineStr">
        <is>
          <t>V.2</t>
        </is>
      </c>
      <c r="F382" t="inlineStr">
        <is>
          <t>Yes</t>
        </is>
      </c>
      <c r="G382" t="inlineStr">
        <is>
          <t>1</t>
        </is>
      </c>
      <c r="H382" t="inlineStr">
        <is>
          <t>No</t>
        </is>
      </c>
      <c r="I382" t="inlineStr">
        <is>
          <t>No</t>
        </is>
      </c>
      <c r="J382" t="inlineStr">
        <is>
          <t>0</t>
        </is>
      </c>
      <c r="K382" t="inlineStr">
        <is>
          <t>Brogan, D. W. (Denis William), 1900-1974.</t>
        </is>
      </c>
      <c r="L382" t="inlineStr">
        <is>
          <t>New York : Harper &amp; Row, [1966]</t>
        </is>
      </c>
      <c r="M382" t="inlineStr">
        <is>
          <t>1966</t>
        </is>
      </c>
      <c r="N382" t="inlineStr">
        <is>
          <t>Rev. ed.</t>
        </is>
      </c>
      <c r="O382" t="inlineStr">
        <is>
          <t>eng</t>
        </is>
      </c>
      <c r="P382" t="inlineStr">
        <is>
          <t>nyu</t>
        </is>
      </c>
      <c r="Q382" t="inlineStr">
        <is>
          <t>Harper torchbooks. The Academy library, TB1184-TB1185</t>
        </is>
      </c>
      <c r="R382" t="inlineStr">
        <is>
          <t xml:space="preserve">DC </t>
        </is>
      </c>
      <c r="S382" t="n">
        <v>1</v>
      </c>
      <c r="T382" t="n">
        <v>2</v>
      </c>
      <c r="U382" t="inlineStr">
        <is>
          <t>2001-07-24</t>
        </is>
      </c>
      <c r="V382" t="inlineStr">
        <is>
          <t>2001-07-24</t>
        </is>
      </c>
      <c r="W382" t="inlineStr">
        <is>
          <t>2001-07-23</t>
        </is>
      </c>
      <c r="X382" t="inlineStr">
        <is>
          <t>2001-07-23</t>
        </is>
      </c>
      <c r="Y382" t="n">
        <v>404</v>
      </c>
      <c r="Z382" t="n">
        <v>372</v>
      </c>
      <c r="AA382" t="n">
        <v>801</v>
      </c>
      <c r="AB382" t="n">
        <v>3</v>
      </c>
      <c r="AC382" t="n">
        <v>7</v>
      </c>
      <c r="AD382" t="n">
        <v>17</v>
      </c>
      <c r="AE382" t="n">
        <v>41</v>
      </c>
      <c r="AF382" t="n">
        <v>6</v>
      </c>
      <c r="AG382" t="n">
        <v>17</v>
      </c>
      <c r="AH382" t="n">
        <v>4</v>
      </c>
      <c r="AI382" t="n">
        <v>7</v>
      </c>
      <c r="AJ382" t="n">
        <v>10</v>
      </c>
      <c r="AK382" t="n">
        <v>20</v>
      </c>
      <c r="AL382" t="n">
        <v>2</v>
      </c>
      <c r="AM382" t="n">
        <v>6</v>
      </c>
      <c r="AN382" t="n">
        <v>0</v>
      </c>
      <c r="AO382" t="n">
        <v>0</v>
      </c>
      <c r="AP382" t="inlineStr">
        <is>
          <t>No</t>
        </is>
      </c>
      <c r="AQ382" t="inlineStr">
        <is>
          <t>Yes</t>
        </is>
      </c>
      <c r="AR382">
        <f>HYPERLINK("http://catalog.hathitrust.org/Record/000341807","HathiTrust Record")</f>
        <v/>
      </c>
      <c r="AS382">
        <f>HYPERLINK("https://creighton-primo.hosted.exlibrisgroup.com/primo-explore/search?tab=default_tab&amp;search_scope=EVERYTHING&amp;vid=01CRU&amp;lang=en_US&amp;offset=0&amp;query=any,contains,991003587849702656","Catalog Record")</f>
        <v/>
      </c>
      <c r="AT382">
        <f>HYPERLINK("http://www.worldcat.org/oclc/401389","WorldCat Record")</f>
        <v/>
      </c>
      <c r="AU382" t="inlineStr">
        <is>
          <t>4916540528:eng</t>
        </is>
      </c>
      <c r="AV382" t="inlineStr">
        <is>
          <t>401389</t>
        </is>
      </c>
      <c r="AW382" t="inlineStr">
        <is>
          <t>991003587849702656</t>
        </is>
      </c>
      <c r="AX382" t="inlineStr">
        <is>
          <t>991003587849702656</t>
        </is>
      </c>
      <c r="AY382" t="inlineStr">
        <is>
          <t>2268080650002656</t>
        </is>
      </c>
      <c r="AZ382" t="inlineStr">
        <is>
          <t>BOOK</t>
        </is>
      </c>
      <c r="BC382" t="inlineStr">
        <is>
          <t>32285004334636</t>
        </is>
      </c>
      <c r="BD382" t="inlineStr">
        <is>
          <t>893705394</t>
        </is>
      </c>
    </row>
    <row r="383">
      <c r="A383" t="inlineStr">
        <is>
          <t>No</t>
        </is>
      </c>
      <c r="B383" t="inlineStr">
        <is>
          <t>DC335 .C65 1950</t>
        </is>
      </c>
      <c r="C383" t="inlineStr">
        <is>
          <t>0                      DC 0335000C  65          1950</t>
        </is>
      </c>
      <c r="D383" t="inlineStr">
        <is>
          <t>Modern France : problems of the Third and Fourth Republics / edited by Edward Mead Earle. Contributors Warren C. Baum [and others]</t>
        </is>
      </c>
      <c r="F383" t="inlineStr">
        <is>
          <t>No</t>
        </is>
      </c>
      <c r="G383" t="inlineStr">
        <is>
          <t>1</t>
        </is>
      </c>
      <c r="H383" t="inlineStr">
        <is>
          <t>No</t>
        </is>
      </c>
      <c r="I383" t="inlineStr">
        <is>
          <t>No</t>
        </is>
      </c>
      <c r="J383" t="inlineStr">
        <is>
          <t>0</t>
        </is>
      </c>
      <c r="K383" t="inlineStr">
        <is>
          <t>Conference on Modern France (1950 : Princeton, N.J.)</t>
        </is>
      </c>
      <c r="L383" t="inlineStr">
        <is>
          <t>Princeton : Princeton University Press, 1951.</t>
        </is>
      </c>
      <c r="M383" t="inlineStr">
        <is>
          <t>1951</t>
        </is>
      </c>
      <c r="O383" t="inlineStr">
        <is>
          <t>fre</t>
        </is>
      </c>
      <c r="P383" t="inlineStr">
        <is>
          <t xml:space="preserve">xx </t>
        </is>
      </c>
      <c r="R383" t="inlineStr">
        <is>
          <t xml:space="preserve">DC </t>
        </is>
      </c>
      <c r="S383" t="n">
        <v>2</v>
      </c>
      <c r="T383" t="n">
        <v>2</v>
      </c>
      <c r="U383" t="inlineStr">
        <is>
          <t>1994-06-28</t>
        </is>
      </c>
      <c r="V383" t="inlineStr">
        <is>
          <t>1994-06-28</t>
        </is>
      </c>
      <c r="W383" t="inlineStr">
        <is>
          <t>1993-05-05</t>
        </is>
      </c>
      <c r="X383" t="inlineStr">
        <is>
          <t>1993-05-05</t>
        </is>
      </c>
      <c r="Y383" t="n">
        <v>580</v>
      </c>
      <c r="Z383" t="n">
        <v>513</v>
      </c>
      <c r="AA383" t="n">
        <v>820</v>
      </c>
      <c r="AB383" t="n">
        <v>3</v>
      </c>
      <c r="AC383" t="n">
        <v>8</v>
      </c>
      <c r="AD383" t="n">
        <v>28</v>
      </c>
      <c r="AE383" t="n">
        <v>45</v>
      </c>
      <c r="AF383" t="n">
        <v>9</v>
      </c>
      <c r="AG383" t="n">
        <v>16</v>
      </c>
      <c r="AH383" t="n">
        <v>8</v>
      </c>
      <c r="AI383" t="n">
        <v>8</v>
      </c>
      <c r="AJ383" t="n">
        <v>18</v>
      </c>
      <c r="AK383" t="n">
        <v>23</v>
      </c>
      <c r="AL383" t="n">
        <v>2</v>
      </c>
      <c r="AM383" t="n">
        <v>7</v>
      </c>
      <c r="AN383" t="n">
        <v>1</v>
      </c>
      <c r="AO383" t="n">
        <v>1</v>
      </c>
      <c r="AP383" t="inlineStr">
        <is>
          <t>No</t>
        </is>
      </c>
      <c r="AQ383" t="inlineStr">
        <is>
          <t>No</t>
        </is>
      </c>
      <c r="AS383">
        <f>HYPERLINK("https://creighton-primo.hosted.exlibrisgroup.com/primo-explore/search?tab=default_tab&amp;search_scope=EVERYTHING&amp;vid=01CRU&amp;lang=en_US&amp;offset=0&amp;query=any,contains,991003921729702656","Catalog Record")</f>
        <v/>
      </c>
      <c r="AT383">
        <f>HYPERLINK("http://www.worldcat.org/oclc/1872591","WorldCat Record")</f>
        <v/>
      </c>
      <c r="AU383" t="inlineStr">
        <is>
          <t>821854301:eng</t>
        </is>
      </c>
      <c r="AV383" t="inlineStr">
        <is>
          <t>1872591</t>
        </is>
      </c>
      <c r="AW383" t="inlineStr">
        <is>
          <t>991003921729702656</t>
        </is>
      </c>
      <c r="AX383" t="inlineStr">
        <is>
          <t>991003921729702656</t>
        </is>
      </c>
      <c r="AY383" t="inlineStr">
        <is>
          <t>2255274750002656</t>
        </is>
      </c>
      <c r="AZ383" t="inlineStr">
        <is>
          <t>BOOK</t>
        </is>
      </c>
      <c r="BC383" t="inlineStr">
        <is>
          <t>32285001634061</t>
        </is>
      </c>
      <c r="BD383" t="inlineStr">
        <is>
          <t>893611688</t>
        </is>
      </c>
    </row>
    <row r="384">
      <c r="A384" t="inlineStr">
        <is>
          <t>No</t>
        </is>
      </c>
      <c r="B384" t="inlineStr">
        <is>
          <t>DC335 .R42 1967</t>
        </is>
      </c>
      <c r="C384" t="inlineStr">
        <is>
          <t>0                      DC 0335000R  42          1967</t>
        </is>
      </c>
      <c r="D384" t="inlineStr">
        <is>
          <t>The third republic / by Raymond Recouly ; translated from the French by E. F. Buckley.</t>
        </is>
      </c>
      <c r="F384" t="inlineStr">
        <is>
          <t>No</t>
        </is>
      </c>
      <c r="G384" t="inlineStr">
        <is>
          <t>1</t>
        </is>
      </c>
      <c r="H384" t="inlineStr">
        <is>
          <t>No</t>
        </is>
      </c>
      <c r="I384" t="inlineStr">
        <is>
          <t>No</t>
        </is>
      </c>
      <c r="J384" t="inlineStr">
        <is>
          <t>0</t>
        </is>
      </c>
      <c r="K384" t="inlineStr">
        <is>
          <t>Recouly, Raymond, 1876-1950.</t>
        </is>
      </c>
      <c r="L384" t="inlineStr">
        <is>
          <t>New York : AMS Press, 1967.</t>
        </is>
      </c>
      <c r="M384" t="inlineStr">
        <is>
          <t>1967</t>
        </is>
      </c>
      <c r="O384" t="inlineStr">
        <is>
          <t>eng</t>
        </is>
      </c>
      <c r="P384" t="inlineStr">
        <is>
          <t>nyu</t>
        </is>
      </c>
      <c r="Q384" t="inlineStr">
        <is>
          <t>The national history of France ; v. 8</t>
        </is>
      </c>
      <c r="R384" t="inlineStr">
        <is>
          <t xml:space="preserve">DC </t>
        </is>
      </c>
      <c r="S384" t="n">
        <v>3</v>
      </c>
      <c r="T384" t="n">
        <v>3</v>
      </c>
      <c r="U384" t="inlineStr">
        <is>
          <t>2009-01-18</t>
        </is>
      </c>
      <c r="V384" t="inlineStr">
        <is>
          <t>2009-01-18</t>
        </is>
      </c>
      <c r="W384" t="inlineStr">
        <is>
          <t>1991-01-14</t>
        </is>
      </c>
      <c r="X384" t="inlineStr">
        <is>
          <t>1991-01-14</t>
        </is>
      </c>
      <c r="Y384" t="n">
        <v>121</v>
      </c>
      <c r="Z384" t="n">
        <v>113</v>
      </c>
      <c r="AA384" t="n">
        <v>434</v>
      </c>
      <c r="AB384" t="n">
        <v>1</v>
      </c>
      <c r="AC384" t="n">
        <v>3</v>
      </c>
      <c r="AD384" t="n">
        <v>8</v>
      </c>
      <c r="AE384" t="n">
        <v>30</v>
      </c>
      <c r="AF384" t="n">
        <v>2</v>
      </c>
      <c r="AG384" t="n">
        <v>10</v>
      </c>
      <c r="AH384" t="n">
        <v>2</v>
      </c>
      <c r="AI384" t="n">
        <v>8</v>
      </c>
      <c r="AJ384" t="n">
        <v>7</v>
      </c>
      <c r="AK384" t="n">
        <v>20</v>
      </c>
      <c r="AL384" t="n">
        <v>0</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HYPERLINK("https://creighton-primo.hosted.exlibrisgroup.com/primo-explore/search?tab=default_tab&amp;search_scope=EVERYTHING&amp;vid=01CRU&amp;lang=en_US&amp;offset=0&amp;query=any,contains,991003938099702656","Catalog Record")</f>
        <v/>
      </c>
      <c r="AT384">
        <f>HYPERLINK("http://www.worldcat.org/oclc/1920684","WorldCat Record")</f>
        <v/>
      </c>
      <c r="AU384" t="inlineStr">
        <is>
          <t>1963116:eng</t>
        </is>
      </c>
      <c r="AV384" t="inlineStr">
        <is>
          <t>1920684</t>
        </is>
      </c>
      <c r="AW384" t="inlineStr">
        <is>
          <t>991003938099702656</t>
        </is>
      </c>
      <c r="AX384" t="inlineStr">
        <is>
          <t>991003938099702656</t>
        </is>
      </c>
      <c r="AY384" t="inlineStr">
        <is>
          <t>2261403520002656</t>
        </is>
      </c>
      <c r="AZ384" t="inlineStr">
        <is>
          <t>BOOK</t>
        </is>
      </c>
      <c r="BC384" t="inlineStr">
        <is>
          <t>32285000394931</t>
        </is>
      </c>
      <c r="BD384" t="inlineStr">
        <is>
          <t>893718256</t>
        </is>
      </c>
    </row>
    <row r="385">
      <c r="A385" t="inlineStr">
        <is>
          <t>No</t>
        </is>
      </c>
      <c r="B385" t="inlineStr">
        <is>
          <t>DC335 .W8 1970</t>
        </is>
      </c>
      <c r="C385" t="inlineStr">
        <is>
          <t>0                      DC 0335000W  8           1970</t>
        </is>
      </c>
      <c r="D385" t="inlineStr">
        <is>
          <t>A history of the Third French Republic.</t>
        </is>
      </c>
      <c r="F385" t="inlineStr">
        <is>
          <t>No</t>
        </is>
      </c>
      <c r="G385" t="inlineStr">
        <is>
          <t>1</t>
        </is>
      </c>
      <c r="H385" t="inlineStr">
        <is>
          <t>No</t>
        </is>
      </c>
      <c r="I385" t="inlineStr">
        <is>
          <t>No</t>
        </is>
      </c>
      <c r="J385" t="inlineStr">
        <is>
          <t>0</t>
        </is>
      </c>
      <c r="K385" t="inlineStr">
        <is>
          <t>Wright, C. H. C. (Charles Henry Conrad), 1869-1957.</t>
        </is>
      </c>
      <c r="L385" t="inlineStr">
        <is>
          <t>Freeport, N.Y., Books for Libraries Press [1970]</t>
        </is>
      </c>
      <c r="M385" t="inlineStr">
        <is>
          <t>1970</t>
        </is>
      </c>
      <c r="O385" t="inlineStr">
        <is>
          <t>eng</t>
        </is>
      </c>
      <c r="P385" t="inlineStr">
        <is>
          <t>nyu</t>
        </is>
      </c>
      <c r="R385" t="inlineStr">
        <is>
          <t xml:space="preserve">DC </t>
        </is>
      </c>
      <c r="S385" t="n">
        <v>3</v>
      </c>
      <c r="T385" t="n">
        <v>3</v>
      </c>
      <c r="U385" t="inlineStr">
        <is>
          <t>2009-01-18</t>
        </is>
      </c>
      <c r="V385" t="inlineStr">
        <is>
          <t>2009-01-18</t>
        </is>
      </c>
      <c r="W385" t="inlineStr">
        <is>
          <t>1996-11-14</t>
        </is>
      </c>
      <c r="X385" t="inlineStr">
        <is>
          <t>1996-11-14</t>
        </is>
      </c>
      <c r="Y385" t="n">
        <v>156</v>
      </c>
      <c r="Z385" t="n">
        <v>140</v>
      </c>
      <c r="AA385" t="n">
        <v>429</v>
      </c>
      <c r="AB385" t="n">
        <v>3</v>
      </c>
      <c r="AC385" t="n">
        <v>5</v>
      </c>
      <c r="AD385" t="n">
        <v>9</v>
      </c>
      <c r="AE385" t="n">
        <v>20</v>
      </c>
      <c r="AF385" t="n">
        <v>2</v>
      </c>
      <c r="AG385" t="n">
        <v>6</v>
      </c>
      <c r="AH385" t="n">
        <v>1</v>
      </c>
      <c r="AI385" t="n">
        <v>4</v>
      </c>
      <c r="AJ385" t="n">
        <v>5</v>
      </c>
      <c r="AK385" t="n">
        <v>10</v>
      </c>
      <c r="AL385" t="n">
        <v>2</v>
      </c>
      <c r="AM385" t="n">
        <v>4</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HYPERLINK("https://creighton-primo.hosted.exlibrisgroup.com/primo-explore/search?tab=default_tab&amp;search_scope=EVERYTHING&amp;vid=01CRU&amp;lang=en_US&amp;offset=0&amp;query=any,contains,991000227079702656","Catalog Record")</f>
        <v/>
      </c>
      <c r="AT385">
        <f>HYPERLINK("http://www.worldcat.org/oclc/67811","WorldCat Record")</f>
        <v/>
      </c>
      <c r="AU385" t="inlineStr">
        <is>
          <t>1234636:eng</t>
        </is>
      </c>
      <c r="AV385" t="inlineStr">
        <is>
          <t>67811</t>
        </is>
      </c>
      <c r="AW385" t="inlineStr">
        <is>
          <t>991000227079702656</t>
        </is>
      </c>
      <c r="AX385" t="inlineStr">
        <is>
          <t>991000227079702656</t>
        </is>
      </c>
      <c r="AY385" t="inlineStr">
        <is>
          <t>2258154790002656</t>
        </is>
      </c>
      <c r="AZ385" t="inlineStr">
        <is>
          <t>BOOK</t>
        </is>
      </c>
      <c r="BB385" t="inlineStr">
        <is>
          <t>9780836952476</t>
        </is>
      </c>
      <c r="BC385" t="inlineStr">
        <is>
          <t>32285002345758</t>
        </is>
      </c>
      <c r="BD385" t="inlineStr">
        <is>
          <t>893339403</t>
        </is>
      </c>
    </row>
    <row r="386">
      <c r="A386" t="inlineStr">
        <is>
          <t>No</t>
        </is>
      </c>
      <c r="B386" t="inlineStr">
        <is>
          <t>DC337 .D52</t>
        </is>
      </c>
      <c r="C386" t="inlineStr">
        <is>
          <t>0                      DC 0337000D  52</t>
        </is>
      </c>
      <c r="D386" t="inlineStr">
        <is>
          <t>France herself again / by Ernest Dimnet.</t>
        </is>
      </c>
      <c r="F386" t="inlineStr">
        <is>
          <t>No</t>
        </is>
      </c>
      <c r="G386" t="inlineStr">
        <is>
          <t>1</t>
        </is>
      </c>
      <c r="H386" t="inlineStr">
        <is>
          <t>No</t>
        </is>
      </c>
      <c r="I386" t="inlineStr">
        <is>
          <t>No</t>
        </is>
      </c>
      <c r="J386" t="inlineStr">
        <is>
          <t>0</t>
        </is>
      </c>
      <c r="K386" t="inlineStr">
        <is>
          <t>Dimnet, Ernest, 1866-1954.</t>
        </is>
      </c>
      <c r="L386" t="inlineStr">
        <is>
          <t>New York : G. P. Putnam's Sons, 1914.</t>
        </is>
      </c>
      <c r="M386" t="inlineStr">
        <is>
          <t>1914</t>
        </is>
      </c>
      <c r="O386" t="inlineStr">
        <is>
          <t>eng</t>
        </is>
      </c>
      <c r="P386" t="inlineStr">
        <is>
          <t>nyu</t>
        </is>
      </c>
      <c r="R386" t="inlineStr">
        <is>
          <t xml:space="preserve">DC </t>
        </is>
      </c>
      <c r="S386" t="n">
        <v>1</v>
      </c>
      <c r="T386" t="n">
        <v>1</v>
      </c>
      <c r="U386" t="inlineStr">
        <is>
          <t>2008-05-28</t>
        </is>
      </c>
      <c r="V386" t="inlineStr">
        <is>
          <t>2008-05-28</t>
        </is>
      </c>
      <c r="W386" t="inlineStr">
        <is>
          <t>1996-11-14</t>
        </is>
      </c>
      <c r="X386" t="inlineStr">
        <is>
          <t>1996-11-14</t>
        </is>
      </c>
      <c r="Y386" t="n">
        <v>130</v>
      </c>
      <c r="Z386" t="n">
        <v>121</v>
      </c>
      <c r="AA386" t="n">
        <v>162</v>
      </c>
      <c r="AB386" t="n">
        <v>2</v>
      </c>
      <c r="AC386" t="n">
        <v>2</v>
      </c>
      <c r="AD386" t="n">
        <v>7</v>
      </c>
      <c r="AE386" t="n">
        <v>11</v>
      </c>
      <c r="AF386" t="n">
        <v>1</v>
      </c>
      <c r="AG386" t="n">
        <v>2</v>
      </c>
      <c r="AH386" t="n">
        <v>2</v>
      </c>
      <c r="AI386" t="n">
        <v>4</v>
      </c>
      <c r="AJ386" t="n">
        <v>5</v>
      </c>
      <c r="AK386" t="n">
        <v>7</v>
      </c>
      <c r="AL386" t="n">
        <v>1</v>
      </c>
      <c r="AM386" t="n">
        <v>1</v>
      </c>
      <c r="AN386" t="n">
        <v>0</v>
      </c>
      <c r="AO386" t="n">
        <v>0</v>
      </c>
      <c r="AP386" t="inlineStr">
        <is>
          <t>Yes</t>
        </is>
      </c>
      <c r="AQ386" t="inlineStr">
        <is>
          <t>No</t>
        </is>
      </c>
      <c r="AR386">
        <f>HYPERLINK("http://catalog.hathitrust.org/Record/000163102","HathiTrust Record")</f>
        <v/>
      </c>
      <c r="AS386">
        <f>HYPERLINK("https://creighton-primo.hosted.exlibrisgroup.com/primo-explore/search?tab=default_tab&amp;search_scope=EVERYTHING&amp;vid=01CRU&amp;lang=en_US&amp;offset=0&amp;query=any,contains,991003873179702656","Catalog Record")</f>
        <v/>
      </c>
      <c r="AT386">
        <f>HYPERLINK("http://www.worldcat.org/oclc/1698420","WorldCat Record")</f>
        <v/>
      </c>
      <c r="AU386" t="inlineStr">
        <is>
          <t>2629690:eng</t>
        </is>
      </c>
      <c r="AV386" t="inlineStr">
        <is>
          <t>1698420</t>
        </is>
      </c>
      <c r="AW386" t="inlineStr">
        <is>
          <t>991003873179702656</t>
        </is>
      </c>
      <c r="AX386" t="inlineStr">
        <is>
          <t>991003873179702656</t>
        </is>
      </c>
      <c r="AY386" t="inlineStr">
        <is>
          <t>2271654550002656</t>
        </is>
      </c>
      <c r="AZ386" t="inlineStr">
        <is>
          <t>BOOK</t>
        </is>
      </c>
      <c r="BC386" t="inlineStr">
        <is>
          <t>32285002345766</t>
        </is>
      </c>
      <c r="BD386" t="inlineStr">
        <is>
          <t>893711886</t>
        </is>
      </c>
    </row>
    <row r="387">
      <c r="A387" t="inlineStr">
        <is>
          <t>No</t>
        </is>
      </c>
      <c r="B387" t="inlineStr">
        <is>
          <t>DC338 .S48 1968</t>
        </is>
      </c>
      <c r="C387" t="inlineStr">
        <is>
          <t>0                      DC 0338000S  48          1968</t>
        </is>
      </c>
      <c r="D387" t="inlineStr">
        <is>
          <t>The banquet years; the origins of the avant garde in France, 1885 to World War I: Alfred Jarry, Henri Rousseau, Erik Satie [and] Guillaume Apollinaire.</t>
        </is>
      </c>
      <c r="F387" t="inlineStr">
        <is>
          <t>No</t>
        </is>
      </c>
      <c r="G387" t="inlineStr">
        <is>
          <t>1</t>
        </is>
      </c>
      <c r="H387" t="inlineStr">
        <is>
          <t>No</t>
        </is>
      </c>
      <c r="I387" t="inlineStr">
        <is>
          <t>No</t>
        </is>
      </c>
      <c r="J387" t="inlineStr">
        <is>
          <t>0</t>
        </is>
      </c>
      <c r="K387" t="inlineStr">
        <is>
          <t>Shattuck, Roger.</t>
        </is>
      </c>
      <c r="L387" t="inlineStr">
        <is>
          <t>New York, Vintage Books [1968]</t>
        </is>
      </c>
      <c r="M387" t="inlineStr">
        <is>
          <t>1968</t>
        </is>
      </c>
      <c r="N387" t="inlineStr">
        <is>
          <t>Rev. ed.</t>
        </is>
      </c>
      <c r="O387" t="inlineStr">
        <is>
          <t>eng</t>
        </is>
      </c>
      <c r="P387" t="inlineStr">
        <is>
          <t>nyu</t>
        </is>
      </c>
      <c r="R387" t="inlineStr">
        <is>
          <t xml:space="preserve">DC </t>
        </is>
      </c>
      <c r="S387" t="n">
        <v>5</v>
      </c>
      <c r="T387" t="n">
        <v>5</v>
      </c>
      <c r="U387" t="inlineStr">
        <is>
          <t>2010-10-10</t>
        </is>
      </c>
      <c r="V387" t="inlineStr">
        <is>
          <t>2010-10-10</t>
        </is>
      </c>
      <c r="W387" t="inlineStr">
        <is>
          <t>1996-11-14</t>
        </is>
      </c>
      <c r="X387" t="inlineStr">
        <is>
          <t>1996-11-14</t>
        </is>
      </c>
      <c r="Y387" t="n">
        <v>761</v>
      </c>
      <c r="Z387" t="n">
        <v>658</v>
      </c>
      <c r="AA387" t="n">
        <v>1098</v>
      </c>
      <c r="AB387" t="n">
        <v>6</v>
      </c>
      <c r="AC387" t="n">
        <v>9</v>
      </c>
      <c r="AD387" t="n">
        <v>32</v>
      </c>
      <c r="AE387" t="n">
        <v>49</v>
      </c>
      <c r="AF387" t="n">
        <v>14</v>
      </c>
      <c r="AG387" t="n">
        <v>21</v>
      </c>
      <c r="AH387" t="n">
        <v>7</v>
      </c>
      <c r="AI387" t="n">
        <v>11</v>
      </c>
      <c r="AJ387" t="n">
        <v>14</v>
      </c>
      <c r="AK387" t="n">
        <v>22</v>
      </c>
      <c r="AL387" t="n">
        <v>5</v>
      </c>
      <c r="AM387" t="n">
        <v>8</v>
      </c>
      <c r="AN387" t="n">
        <v>0</v>
      </c>
      <c r="AO387" t="n">
        <v>0</v>
      </c>
      <c r="AP387" t="inlineStr">
        <is>
          <t>No</t>
        </is>
      </c>
      <c r="AQ387" t="inlineStr">
        <is>
          <t>Yes</t>
        </is>
      </c>
      <c r="AR387">
        <f>HYPERLINK("http://catalog.hathitrust.org/Record/004406569","HathiTrust Record")</f>
        <v/>
      </c>
      <c r="AS387">
        <f>HYPERLINK("https://creighton-primo.hosted.exlibrisgroup.com/primo-explore/search?tab=default_tab&amp;search_scope=EVERYTHING&amp;vid=01CRU&amp;lang=en_US&amp;offset=0&amp;query=any,contains,991002771609702656","Catalog Record")</f>
        <v/>
      </c>
      <c r="AT387">
        <f>HYPERLINK("http://www.worldcat.org/oclc/437218","WorldCat Record")</f>
        <v/>
      </c>
      <c r="AU387" t="inlineStr">
        <is>
          <t>581133:eng</t>
        </is>
      </c>
      <c r="AV387" t="inlineStr">
        <is>
          <t>437218</t>
        </is>
      </c>
      <c r="AW387" t="inlineStr">
        <is>
          <t>991002771609702656</t>
        </is>
      </c>
      <c r="AX387" t="inlineStr">
        <is>
          <t>991002771609702656</t>
        </is>
      </c>
      <c r="AY387" t="inlineStr">
        <is>
          <t>2267855760002656</t>
        </is>
      </c>
      <c r="AZ387" t="inlineStr">
        <is>
          <t>BOOK</t>
        </is>
      </c>
      <c r="BC387" t="inlineStr">
        <is>
          <t>32285002345782</t>
        </is>
      </c>
      <c r="BD387" t="inlineStr">
        <is>
          <t>893341828</t>
        </is>
      </c>
    </row>
    <row r="388">
      <c r="A388" t="inlineStr">
        <is>
          <t>No</t>
        </is>
      </c>
      <c r="B388" t="inlineStr">
        <is>
          <t>DC34 .B35 1932a</t>
        </is>
      </c>
      <c r="C388" t="inlineStr">
        <is>
          <t>0                      DC 0034000B  35          1932a</t>
        </is>
      </c>
      <c r="D388" t="inlineStr">
        <is>
          <t>The French race; theories of its origins and their social and political implications prior to the revolution, by Jacques Barzun ...</t>
        </is>
      </c>
      <c r="F388" t="inlineStr">
        <is>
          <t>No</t>
        </is>
      </c>
      <c r="G388" t="inlineStr">
        <is>
          <t>1</t>
        </is>
      </c>
      <c r="H388" t="inlineStr">
        <is>
          <t>No</t>
        </is>
      </c>
      <c r="I388" t="inlineStr">
        <is>
          <t>No</t>
        </is>
      </c>
      <c r="J388" t="inlineStr">
        <is>
          <t>0</t>
        </is>
      </c>
      <c r="K388" t="inlineStr">
        <is>
          <t>Barzun, Jacques, 1907-2012.</t>
        </is>
      </c>
      <c r="L388" t="inlineStr">
        <is>
          <t>New York, Columbia University Press; London, P. S. King &amp; Son, ltd., 1932.</t>
        </is>
      </c>
      <c r="M388" t="inlineStr">
        <is>
          <t>1932</t>
        </is>
      </c>
      <c r="O388" t="inlineStr">
        <is>
          <t>eng</t>
        </is>
      </c>
      <c r="P388" t="inlineStr">
        <is>
          <t>nyu</t>
        </is>
      </c>
      <c r="Q388" t="inlineStr">
        <is>
          <t>Studies in history, economics, and public law ; no. 375</t>
        </is>
      </c>
      <c r="R388" t="inlineStr">
        <is>
          <t xml:space="preserve">DC </t>
        </is>
      </c>
      <c r="S388" t="n">
        <v>1</v>
      </c>
      <c r="T388" t="n">
        <v>1</v>
      </c>
      <c r="U388" t="inlineStr">
        <is>
          <t>2003-10-16</t>
        </is>
      </c>
      <c r="V388" t="inlineStr">
        <is>
          <t>2003-10-16</t>
        </is>
      </c>
      <c r="W388" t="inlineStr">
        <is>
          <t>1996-10-28</t>
        </is>
      </c>
      <c r="X388" t="inlineStr">
        <is>
          <t>1996-10-28</t>
        </is>
      </c>
      <c r="Y388" t="n">
        <v>194</v>
      </c>
      <c r="Z388" t="n">
        <v>172</v>
      </c>
      <c r="AA388" t="n">
        <v>197</v>
      </c>
      <c r="AB388" t="n">
        <v>2</v>
      </c>
      <c r="AC388" t="n">
        <v>2</v>
      </c>
      <c r="AD388" t="n">
        <v>6</v>
      </c>
      <c r="AE388" t="n">
        <v>6</v>
      </c>
      <c r="AF388" t="n">
        <v>1</v>
      </c>
      <c r="AG388" t="n">
        <v>1</v>
      </c>
      <c r="AH388" t="n">
        <v>1</v>
      </c>
      <c r="AI388" t="n">
        <v>1</v>
      </c>
      <c r="AJ388" t="n">
        <v>3</v>
      </c>
      <c r="AK388" t="n">
        <v>3</v>
      </c>
      <c r="AL388" t="n">
        <v>1</v>
      </c>
      <c r="AM388" t="n">
        <v>1</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HYPERLINK("https://creighton-primo.hosted.exlibrisgroup.com/primo-explore/search?tab=default_tab&amp;search_scope=EVERYTHING&amp;vid=01CRU&amp;lang=en_US&amp;offset=0&amp;query=any,contains,991003564379702656","Catalog Record")</f>
        <v/>
      </c>
      <c r="AT388">
        <f>HYPERLINK("http://www.worldcat.org/oclc/1136743","WorldCat Record")</f>
        <v/>
      </c>
      <c r="AU388" t="inlineStr">
        <is>
          <t>2054823:eng</t>
        </is>
      </c>
      <c r="AV388" t="inlineStr">
        <is>
          <t>1136743</t>
        </is>
      </c>
      <c r="AW388" t="inlineStr">
        <is>
          <t>991003564379702656</t>
        </is>
      </c>
      <c r="AX388" t="inlineStr">
        <is>
          <t>991003564379702656</t>
        </is>
      </c>
      <c r="AY388" t="inlineStr">
        <is>
          <t>2266664510002656</t>
        </is>
      </c>
      <c r="AZ388" t="inlineStr">
        <is>
          <t>BOOK</t>
        </is>
      </c>
      <c r="BC388" t="inlineStr">
        <is>
          <t>32285002378312</t>
        </is>
      </c>
      <c r="BD388" t="inlineStr">
        <is>
          <t>893252495</t>
        </is>
      </c>
    </row>
    <row r="389">
      <c r="A389" t="inlineStr">
        <is>
          <t>No</t>
        </is>
      </c>
      <c r="B389" t="inlineStr">
        <is>
          <t>DC34 .B494 1990</t>
        </is>
      </c>
      <c r="C389" t="inlineStr">
        <is>
          <t>0                      DC 0034000B  494         1990</t>
        </is>
      </c>
      <c r="D389" t="inlineStr">
        <is>
          <t>Fragile glory : a portrait of France and the French / by Richard Bernstein.</t>
        </is>
      </c>
      <c r="F389" t="inlineStr">
        <is>
          <t>No</t>
        </is>
      </c>
      <c r="G389" t="inlineStr">
        <is>
          <t>1</t>
        </is>
      </c>
      <c r="H389" t="inlineStr">
        <is>
          <t>No</t>
        </is>
      </c>
      <c r="I389" t="inlineStr">
        <is>
          <t>No</t>
        </is>
      </c>
      <c r="J389" t="inlineStr">
        <is>
          <t>0</t>
        </is>
      </c>
      <c r="K389" t="inlineStr">
        <is>
          <t>Bernstein, Richard.</t>
        </is>
      </c>
      <c r="L389" t="inlineStr">
        <is>
          <t>New York : Knopf, 1990.</t>
        </is>
      </c>
      <c r="M389" t="inlineStr">
        <is>
          <t>1990</t>
        </is>
      </c>
      <c r="N389" t="inlineStr">
        <is>
          <t>1st ed.</t>
        </is>
      </c>
      <c r="O389" t="inlineStr">
        <is>
          <t>eng</t>
        </is>
      </c>
      <c r="P389" t="inlineStr">
        <is>
          <t>nyu</t>
        </is>
      </c>
      <c r="R389" t="inlineStr">
        <is>
          <t xml:space="preserve">DC </t>
        </is>
      </c>
      <c r="S389" t="n">
        <v>6</v>
      </c>
      <c r="T389" t="n">
        <v>6</v>
      </c>
      <c r="U389" t="inlineStr">
        <is>
          <t>1997-01-19</t>
        </is>
      </c>
      <c r="V389" t="inlineStr">
        <is>
          <t>1997-01-19</t>
        </is>
      </c>
      <c r="W389" t="inlineStr">
        <is>
          <t>1990-12-05</t>
        </is>
      </c>
      <c r="X389" t="inlineStr">
        <is>
          <t>1990-12-05</t>
        </is>
      </c>
      <c r="Y389" t="n">
        <v>1025</v>
      </c>
      <c r="Z389" t="n">
        <v>950</v>
      </c>
      <c r="AA389" t="n">
        <v>1086</v>
      </c>
      <c r="AB389" t="n">
        <v>6</v>
      </c>
      <c r="AC389" t="n">
        <v>7</v>
      </c>
      <c r="AD389" t="n">
        <v>23</v>
      </c>
      <c r="AE389" t="n">
        <v>28</v>
      </c>
      <c r="AF389" t="n">
        <v>5</v>
      </c>
      <c r="AG389" t="n">
        <v>7</v>
      </c>
      <c r="AH389" t="n">
        <v>7</v>
      </c>
      <c r="AI389" t="n">
        <v>7</v>
      </c>
      <c r="AJ389" t="n">
        <v>13</v>
      </c>
      <c r="AK389" t="n">
        <v>16</v>
      </c>
      <c r="AL389" t="n">
        <v>3</v>
      </c>
      <c r="AM389" t="n">
        <v>4</v>
      </c>
      <c r="AN389" t="n">
        <v>0</v>
      </c>
      <c r="AO389" t="n">
        <v>0</v>
      </c>
      <c r="AP389" t="inlineStr">
        <is>
          <t>No</t>
        </is>
      </c>
      <c r="AQ389" t="inlineStr">
        <is>
          <t>Yes</t>
        </is>
      </c>
      <c r="AR389">
        <f>HYPERLINK("http://catalog.hathitrust.org/Record/002205304","HathiTrust Record")</f>
        <v/>
      </c>
      <c r="AS389">
        <f>HYPERLINK("https://creighton-primo.hosted.exlibrisgroup.com/primo-explore/search?tab=default_tab&amp;search_scope=EVERYTHING&amp;vid=01CRU&amp;lang=en_US&amp;offset=0&amp;query=any,contains,991001629439702656","Catalog Record")</f>
        <v/>
      </c>
      <c r="AT389">
        <f>HYPERLINK("http://www.worldcat.org/oclc/20893355","WorldCat Record")</f>
        <v/>
      </c>
      <c r="AU389" t="inlineStr">
        <is>
          <t>22697198:eng</t>
        </is>
      </c>
      <c r="AV389" t="inlineStr">
        <is>
          <t>20893355</t>
        </is>
      </c>
      <c r="AW389" t="inlineStr">
        <is>
          <t>991001629439702656</t>
        </is>
      </c>
      <c r="AX389" t="inlineStr">
        <is>
          <t>991001629439702656</t>
        </is>
      </c>
      <c r="AY389" t="inlineStr">
        <is>
          <t>2265592720002656</t>
        </is>
      </c>
      <c r="AZ389" t="inlineStr">
        <is>
          <t>BOOK</t>
        </is>
      </c>
      <c r="BB389" t="inlineStr">
        <is>
          <t>9780394583402</t>
        </is>
      </c>
      <c r="BC389" t="inlineStr">
        <is>
          <t>32285000358548</t>
        </is>
      </c>
      <c r="BD389" t="inlineStr">
        <is>
          <t>893602730</t>
        </is>
      </c>
    </row>
    <row r="390">
      <c r="A390" t="inlineStr">
        <is>
          <t>No</t>
        </is>
      </c>
      <c r="B390" t="inlineStr">
        <is>
          <t>DC34 .H3</t>
        </is>
      </c>
      <c r="C390" t="inlineStr">
        <is>
          <t>0                      DC 0034000H  3</t>
        </is>
      </c>
      <c r="D390" t="inlineStr">
        <is>
          <t>France, a nation of patriots, by Carlton J. H. Hayes ...</t>
        </is>
      </c>
      <c r="F390" t="inlineStr">
        <is>
          <t>No</t>
        </is>
      </c>
      <c r="G390" t="inlineStr">
        <is>
          <t>1</t>
        </is>
      </c>
      <c r="H390" t="inlineStr">
        <is>
          <t>No</t>
        </is>
      </c>
      <c r="I390" t="inlineStr">
        <is>
          <t>No</t>
        </is>
      </c>
      <c r="J390" t="inlineStr">
        <is>
          <t>0</t>
        </is>
      </c>
      <c r="K390" t="inlineStr">
        <is>
          <t>Hayes, Carlton J. H. (Carlton Joseph Huntley), 1882-1964.</t>
        </is>
      </c>
      <c r="L390" t="inlineStr">
        <is>
          <t>New York, Columbia University Press, 1930.</t>
        </is>
      </c>
      <c r="M390" t="inlineStr">
        <is>
          <t>1930</t>
        </is>
      </c>
      <c r="O390" t="inlineStr">
        <is>
          <t>eng</t>
        </is>
      </c>
      <c r="P390" t="inlineStr">
        <is>
          <t>nyu</t>
        </is>
      </c>
      <c r="Q390" t="inlineStr">
        <is>
          <t>Social and economic studies of post-war France ; vol. V</t>
        </is>
      </c>
      <c r="R390" t="inlineStr">
        <is>
          <t xml:space="preserve">DC </t>
        </is>
      </c>
      <c r="S390" t="n">
        <v>6</v>
      </c>
      <c r="T390" t="n">
        <v>6</v>
      </c>
      <c r="U390" t="inlineStr">
        <is>
          <t>1999-09-29</t>
        </is>
      </c>
      <c r="V390" t="inlineStr">
        <is>
          <t>1999-09-29</t>
        </is>
      </c>
      <c r="W390" t="inlineStr">
        <is>
          <t>1996-10-28</t>
        </is>
      </c>
      <c r="X390" t="inlineStr">
        <is>
          <t>1996-10-28</t>
        </is>
      </c>
      <c r="Y390" t="n">
        <v>398</v>
      </c>
      <c r="Z390" t="n">
        <v>362</v>
      </c>
      <c r="AA390" t="n">
        <v>482</v>
      </c>
      <c r="AB390" t="n">
        <v>4</v>
      </c>
      <c r="AC390" t="n">
        <v>4</v>
      </c>
      <c r="AD390" t="n">
        <v>27</v>
      </c>
      <c r="AE390" t="n">
        <v>31</v>
      </c>
      <c r="AF390" t="n">
        <v>8</v>
      </c>
      <c r="AG390" t="n">
        <v>12</v>
      </c>
      <c r="AH390" t="n">
        <v>8</v>
      </c>
      <c r="AI390" t="n">
        <v>8</v>
      </c>
      <c r="AJ390" t="n">
        <v>18</v>
      </c>
      <c r="AK390" t="n">
        <v>18</v>
      </c>
      <c r="AL390" t="n">
        <v>3</v>
      </c>
      <c r="AM390" t="n">
        <v>3</v>
      </c>
      <c r="AN390" t="n">
        <v>0</v>
      </c>
      <c r="AO390" t="n">
        <v>0</v>
      </c>
      <c r="AP390" t="inlineStr">
        <is>
          <t>No</t>
        </is>
      </c>
      <c r="AQ390" t="inlineStr">
        <is>
          <t>Yes</t>
        </is>
      </c>
      <c r="AR390">
        <f>HYPERLINK("http://catalog.hathitrust.org/Record/000341255","HathiTrust Record")</f>
        <v/>
      </c>
      <c r="AS390">
        <f>HYPERLINK("https://creighton-primo.hosted.exlibrisgroup.com/primo-explore/search?tab=default_tab&amp;search_scope=EVERYTHING&amp;vid=01CRU&amp;lang=en_US&amp;offset=0&amp;query=any,contains,991003563279702656","Catalog Record")</f>
        <v/>
      </c>
      <c r="AT390">
        <f>HYPERLINK("http://www.worldcat.org/oclc/1135091","WorldCat Record")</f>
        <v/>
      </c>
      <c r="AU390" t="inlineStr">
        <is>
          <t>142005844:eng</t>
        </is>
      </c>
      <c r="AV390" t="inlineStr">
        <is>
          <t>1135091</t>
        </is>
      </c>
      <c r="AW390" t="inlineStr">
        <is>
          <t>991003563279702656</t>
        </is>
      </c>
      <c r="AX390" t="inlineStr">
        <is>
          <t>991003563279702656</t>
        </is>
      </c>
      <c r="AY390" t="inlineStr">
        <is>
          <t>2265318400002656</t>
        </is>
      </c>
      <c r="AZ390" t="inlineStr">
        <is>
          <t>BOOK</t>
        </is>
      </c>
      <c r="BC390" t="inlineStr">
        <is>
          <t>32285002378338</t>
        </is>
      </c>
      <c r="BD390" t="inlineStr">
        <is>
          <t>893805918</t>
        </is>
      </c>
    </row>
    <row r="391">
      <c r="A391" t="inlineStr">
        <is>
          <t>No</t>
        </is>
      </c>
      <c r="B391" t="inlineStr">
        <is>
          <t>DC34 .N48 1985</t>
        </is>
      </c>
      <c r="C391" t="inlineStr">
        <is>
          <t>0                      DC 0034000N  48          1985</t>
        </is>
      </c>
      <c r="D391" t="inlineStr">
        <is>
          <t>Les Français vus par les Français / Guy Nevers.</t>
        </is>
      </c>
      <c r="F391" t="inlineStr">
        <is>
          <t>No</t>
        </is>
      </c>
      <c r="G391" t="inlineStr">
        <is>
          <t>1</t>
        </is>
      </c>
      <c r="H391" t="inlineStr">
        <is>
          <t>No</t>
        </is>
      </c>
      <c r="I391" t="inlineStr">
        <is>
          <t>No</t>
        </is>
      </c>
      <c r="J391" t="inlineStr">
        <is>
          <t>0</t>
        </is>
      </c>
      <c r="K391" t="inlineStr">
        <is>
          <t>Nevers, Guy.</t>
        </is>
      </c>
      <c r="L391" t="inlineStr">
        <is>
          <t>Paris : Barrault, c1985.</t>
        </is>
      </c>
      <c r="M391" t="inlineStr">
        <is>
          <t>1985</t>
        </is>
      </c>
      <c r="O391" t="inlineStr">
        <is>
          <t>fre</t>
        </is>
      </c>
      <c r="P391" t="inlineStr">
        <is>
          <t xml:space="preserve">fr </t>
        </is>
      </c>
      <c r="Q391" t="inlineStr">
        <is>
          <t>Collection Vu par</t>
        </is>
      </c>
      <c r="R391" t="inlineStr">
        <is>
          <t xml:space="preserve">DC </t>
        </is>
      </c>
      <c r="S391" t="n">
        <v>1</v>
      </c>
      <c r="T391" t="n">
        <v>1</v>
      </c>
      <c r="U391" t="inlineStr">
        <is>
          <t>2002-08-14</t>
        </is>
      </c>
      <c r="V391" t="inlineStr">
        <is>
          <t>2002-08-14</t>
        </is>
      </c>
      <c r="W391" t="inlineStr">
        <is>
          <t>1995-08-21</t>
        </is>
      </c>
      <c r="X391" t="inlineStr">
        <is>
          <t>1995-08-21</t>
        </is>
      </c>
      <c r="Y391" t="n">
        <v>139</v>
      </c>
      <c r="Z391" t="n">
        <v>105</v>
      </c>
      <c r="AA391" t="n">
        <v>107</v>
      </c>
      <c r="AB391" t="n">
        <v>2</v>
      </c>
      <c r="AC391" t="n">
        <v>2</v>
      </c>
      <c r="AD391" t="n">
        <v>7</v>
      </c>
      <c r="AE391" t="n">
        <v>7</v>
      </c>
      <c r="AF391" t="n">
        <v>2</v>
      </c>
      <c r="AG391" t="n">
        <v>2</v>
      </c>
      <c r="AH391" t="n">
        <v>1</v>
      </c>
      <c r="AI391" t="n">
        <v>1</v>
      </c>
      <c r="AJ391" t="n">
        <v>3</v>
      </c>
      <c r="AK391" t="n">
        <v>3</v>
      </c>
      <c r="AL391" t="n">
        <v>1</v>
      </c>
      <c r="AM391" t="n">
        <v>1</v>
      </c>
      <c r="AN391" t="n">
        <v>0</v>
      </c>
      <c r="AO391" t="n">
        <v>0</v>
      </c>
      <c r="AP391" t="inlineStr">
        <is>
          <t>No</t>
        </is>
      </c>
      <c r="AQ391" t="inlineStr">
        <is>
          <t>Yes</t>
        </is>
      </c>
      <c r="AR391">
        <f>HYPERLINK("http://catalog.hathitrust.org/Record/000613492","HathiTrust Record")</f>
        <v/>
      </c>
      <c r="AS391">
        <f>HYPERLINK("https://creighton-primo.hosted.exlibrisgroup.com/primo-explore/search?tab=default_tab&amp;search_scope=EVERYTHING&amp;vid=01CRU&amp;lang=en_US&amp;offset=0&amp;query=any,contains,991000743189702656","Catalog Record")</f>
        <v/>
      </c>
      <c r="AT391">
        <f>HYPERLINK("http://www.worldcat.org/oclc/12811028","WorldCat Record")</f>
        <v/>
      </c>
      <c r="AU391" t="inlineStr">
        <is>
          <t>306906562:fre</t>
        </is>
      </c>
      <c r="AV391" t="inlineStr">
        <is>
          <t>12811028</t>
        </is>
      </c>
      <c r="AW391" t="inlineStr">
        <is>
          <t>991000743189702656</t>
        </is>
      </c>
      <c r="AX391" t="inlineStr">
        <is>
          <t>991000743189702656</t>
        </is>
      </c>
      <c r="AY391" t="inlineStr">
        <is>
          <t>2271190670002656</t>
        </is>
      </c>
      <c r="AZ391" t="inlineStr">
        <is>
          <t>BOOK</t>
        </is>
      </c>
      <c r="BB391" t="inlineStr">
        <is>
          <t>9782736000240</t>
        </is>
      </c>
      <c r="BC391" t="inlineStr">
        <is>
          <t>32285002077914</t>
        </is>
      </c>
      <c r="BD391" t="inlineStr">
        <is>
          <t>893683717</t>
        </is>
      </c>
    </row>
    <row r="392">
      <c r="A392" t="inlineStr">
        <is>
          <t>No</t>
        </is>
      </c>
      <c r="B392" t="inlineStr">
        <is>
          <t>DC34 .P48</t>
        </is>
      </c>
      <c r="C392" t="inlineStr">
        <is>
          <t>0                      DC 0034000P  48</t>
        </is>
      </c>
      <c r="D392" t="inlineStr">
        <is>
          <t>Le mal français / Alain Peyrefitte.</t>
        </is>
      </c>
      <c r="F392" t="inlineStr">
        <is>
          <t>No</t>
        </is>
      </c>
      <c r="G392" t="inlineStr">
        <is>
          <t>1</t>
        </is>
      </c>
      <c r="H392" t="inlineStr">
        <is>
          <t>No</t>
        </is>
      </c>
      <c r="I392" t="inlineStr">
        <is>
          <t>No</t>
        </is>
      </c>
      <c r="J392" t="inlineStr">
        <is>
          <t>0</t>
        </is>
      </c>
      <c r="K392" t="inlineStr">
        <is>
          <t>Peyrefitte, Alain, 1925-1999.</t>
        </is>
      </c>
      <c r="L392" t="inlineStr">
        <is>
          <t>[Paris] : Plon, c1976.</t>
        </is>
      </c>
      <c r="M392" t="inlineStr">
        <is>
          <t>1976</t>
        </is>
      </c>
      <c r="O392" t="inlineStr">
        <is>
          <t>fre</t>
        </is>
      </c>
      <c r="P392" t="inlineStr">
        <is>
          <t xml:space="preserve">fr </t>
        </is>
      </c>
      <c r="R392" t="inlineStr">
        <is>
          <t xml:space="preserve">DC </t>
        </is>
      </c>
      <c r="S392" t="n">
        <v>1</v>
      </c>
      <c r="T392" t="n">
        <v>1</v>
      </c>
      <c r="U392" t="inlineStr">
        <is>
          <t>2002-08-14</t>
        </is>
      </c>
      <c r="V392" t="inlineStr">
        <is>
          <t>2002-08-14</t>
        </is>
      </c>
      <c r="W392" t="inlineStr">
        <is>
          <t>1996-10-28</t>
        </is>
      </c>
      <c r="X392" t="inlineStr">
        <is>
          <t>1996-10-28</t>
        </is>
      </c>
      <c r="Y392" t="n">
        <v>453</v>
      </c>
      <c r="Z392" t="n">
        <v>292</v>
      </c>
      <c r="AA392" t="n">
        <v>324</v>
      </c>
      <c r="AB392" t="n">
        <v>4</v>
      </c>
      <c r="AC392" t="n">
        <v>4</v>
      </c>
      <c r="AD392" t="n">
        <v>16</v>
      </c>
      <c r="AE392" t="n">
        <v>17</v>
      </c>
      <c r="AF392" t="n">
        <v>4</v>
      </c>
      <c r="AG392" t="n">
        <v>4</v>
      </c>
      <c r="AH392" t="n">
        <v>5</v>
      </c>
      <c r="AI392" t="n">
        <v>6</v>
      </c>
      <c r="AJ392" t="n">
        <v>8</v>
      </c>
      <c r="AK392" t="n">
        <v>8</v>
      </c>
      <c r="AL392" t="n">
        <v>3</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HYPERLINK("https://creighton-primo.hosted.exlibrisgroup.com/primo-explore/search?tab=default_tab&amp;search_scope=EVERYTHING&amp;vid=01CRU&amp;lang=en_US&amp;offset=0&amp;query=any,contains,991004209429702656","Catalog Record")</f>
        <v/>
      </c>
      <c r="AT392">
        <f>HYPERLINK("http://www.worldcat.org/oclc/2679905","WorldCat Record")</f>
        <v/>
      </c>
      <c r="AU392" t="inlineStr">
        <is>
          <t>348857893:fre</t>
        </is>
      </c>
      <c r="AV392" t="inlineStr">
        <is>
          <t>2679905</t>
        </is>
      </c>
      <c r="AW392" t="inlineStr">
        <is>
          <t>991004209429702656</t>
        </is>
      </c>
      <c r="AX392" t="inlineStr">
        <is>
          <t>991004209429702656</t>
        </is>
      </c>
      <c r="AY392" t="inlineStr">
        <is>
          <t>2263068120002656</t>
        </is>
      </c>
      <c r="AZ392" t="inlineStr">
        <is>
          <t>BOOK</t>
        </is>
      </c>
      <c r="BB392" t="inlineStr">
        <is>
          <t>9782259002042</t>
        </is>
      </c>
      <c r="BC392" t="inlineStr">
        <is>
          <t>32285002378353</t>
        </is>
      </c>
      <c r="BD392" t="inlineStr">
        <is>
          <t>893800726</t>
        </is>
      </c>
    </row>
    <row r="393">
      <c r="A393" t="inlineStr">
        <is>
          <t>No</t>
        </is>
      </c>
      <c r="B393" t="inlineStr">
        <is>
          <t>DC34.5.A44 L48 1998</t>
        </is>
      </c>
      <c r="C393" t="inlineStr">
        <is>
          <t>0                      DC 0034500A  44                 L  48          1998</t>
        </is>
      </c>
      <c r="D393" t="inlineStr">
        <is>
          <t>Seductive journey : American tourists in France from Jefferson to the Jazz Age / Harvey Levenstein.</t>
        </is>
      </c>
      <c r="F393" t="inlineStr">
        <is>
          <t>No</t>
        </is>
      </c>
      <c r="G393" t="inlineStr">
        <is>
          <t>1</t>
        </is>
      </c>
      <c r="H393" t="inlineStr">
        <is>
          <t>No</t>
        </is>
      </c>
      <c r="I393" t="inlineStr">
        <is>
          <t>No</t>
        </is>
      </c>
      <c r="J393" t="inlineStr">
        <is>
          <t>0</t>
        </is>
      </c>
      <c r="K393" t="inlineStr">
        <is>
          <t>Levenstein, Harvey A., 1938-</t>
        </is>
      </c>
      <c r="L393" t="inlineStr">
        <is>
          <t>Chicago : University of Chicago Press, 1998.</t>
        </is>
      </c>
      <c r="M393" t="inlineStr">
        <is>
          <t>1998</t>
        </is>
      </c>
      <c r="O393" t="inlineStr">
        <is>
          <t>eng</t>
        </is>
      </c>
      <c r="P393" t="inlineStr">
        <is>
          <t>ilu</t>
        </is>
      </c>
      <c r="R393" t="inlineStr">
        <is>
          <t xml:space="preserve">DC </t>
        </is>
      </c>
      <c r="S393" t="n">
        <v>5</v>
      </c>
      <c r="T393" t="n">
        <v>5</v>
      </c>
      <c r="U393" t="inlineStr">
        <is>
          <t>2000-03-22</t>
        </is>
      </c>
      <c r="V393" t="inlineStr">
        <is>
          <t>2000-03-22</t>
        </is>
      </c>
      <c r="W393" t="inlineStr">
        <is>
          <t>1998-11-16</t>
        </is>
      </c>
      <c r="X393" t="inlineStr">
        <is>
          <t>1998-11-16</t>
        </is>
      </c>
      <c r="Y393" t="n">
        <v>549</v>
      </c>
      <c r="Z393" t="n">
        <v>469</v>
      </c>
      <c r="AA393" t="n">
        <v>642</v>
      </c>
      <c r="AB393" t="n">
        <v>3</v>
      </c>
      <c r="AC393" t="n">
        <v>5</v>
      </c>
      <c r="AD393" t="n">
        <v>22</v>
      </c>
      <c r="AE393" t="n">
        <v>28</v>
      </c>
      <c r="AF393" t="n">
        <v>7</v>
      </c>
      <c r="AG393" t="n">
        <v>10</v>
      </c>
      <c r="AH393" t="n">
        <v>7</v>
      </c>
      <c r="AI393" t="n">
        <v>10</v>
      </c>
      <c r="AJ393" t="n">
        <v>13</v>
      </c>
      <c r="AK393" t="n">
        <v>14</v>
      </c>
      <c r="AL393" t="n">
        <v>2</v>
      </c>
      <c r="AM393" t="n">
        <v>3</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HYPERLINK("https://creighton-primo.hosted.exlibrisgroup.com/primo-explore/search?tab=default_tab&amp;search_scope=EVERYTHING&amp;vid=01CRU&amp;lang=en_US&amp;offset=0&amp;query=any,contains,991002889479702656","Catalog Record")</f>
        <v/>
      </c>
      <c r="AT393">
        <f>HYPERLINK("http://www.worldcat.org/oclc/38067676","WorldCat Record")</f>
        <v/>
      </c>
      <c r="AU393" t="inlineStr">
        <is>
          <t>350259102:eng</t>
        </is>
      </c>
      <c r="AV393" t="inlineStr">
        <is>
          <t>38067676</t>
        </is>
      </c>
      <c r="AW393" t="inlineStr">
        <is>
          <t>991002889479702656</t>
        </is>
      </c>
      <c r="AX393" t="inlineStr">
        <is>
          <t>991002889479702656</t>
        </is>
      </c>
      <c r="AY393" t="inlineStr">
        <is>
          <t>2260129380002656</t>
        </is>
      </c>
      <c r="AZ393" t="inlineStr">
        <is>
          <t>BOOK</t>
        </is>
      </c>
      <c r="BB393" t="inlineStr">
        <is>
          <t>9780226473765</t>
        </is>
      </c>
      <c r="BC393" t="inlineStr">
        <is>
          <t>32285003488938</t>
        </is>
      </c>
      <c r="BD393" t="inlineStr">
        <is>
          <t>893317399</t>
        </is>
      </c>
    </row>
    <row r="394">
      <c r="A394" t="inlineStr">
        <is>
          <t>No</t>
        </is>
      </c>
      <c r="B394" t="inlineStr">
        <is>
          <t>DC34.5.A44 L49 2004</t>
        </is>
      </c>
      <c r="C394" t="inlineStr">
        <is>
          <t>0                      DC 0034500A  44                 L  49          2004</t>
        </is>
      </c>
      <c r="D394" t="inlineStr">
        <is>
          <t>We'll always have Paris : American tourists in France since 1930 / Harvey Levenstein.</t>
        </is>
      </c>
      <c r="F394" t="inlineStr">
        <is>
          <t>No</t>
        </is>
      </c>
      <c r="G394" t="inlineStr">
        <is>
          <t>1</t>
        </is>
      </c>
      <c r="H394" t="inlineStr">
        <is>
          <t>No</t>
        </is>
      </c>
      <c r="I394" t="inlineStr">
        <is>
          <t>No</t>
        </is>
      </c>
      <c r="J394" t="inlineStr">
        <is>
          <t>0</t>
        </is>
      </c>
      <c r="K394" t="inlineStr">
        <is>
          <t>Levenstein, Harvey A., 1938-</t>
        </is>
      </c>
      <c r="L394" t="inlineStr">
        <is>
          <t>Chicago : University of Chicago Press, 2004.</t>
        </is>
      </c>
      <c r="M394" t="inlineStr">
        <is>
          <t>2004</t>
        </is>
      </c>
      <c r="O394" t="inlineStr">
        <is>
          <t>eng</t>
        </is>
      </c>
      <c r="P394" t="inlineStr">
        <is>
          <t>ilu</t>
        </is>
      </c>
      <c r="R394" t="inlineStr">
        <is>
          <t xml:space="preserve">DC </t>
        </is>
      </c>
      <c r="S394" t="n">
        <v>1</v>
      </c>
      <c r="T394" t="n">
        <v>1</v>
      </c>
      <c r="U394" t="inlineStr">
        <is>
          <t>2005-03-16</t>
        </is>
      </c>
      <c r="V394" t="inlineStr">
        <is>
          <t>2005-03-16</t>
        </is>
      </c>
      <c r="W394" t="inlineStr">
        <is>
          <t>2005-03-16</t>
        </is>
      </c>
      <c r="X394" t="inlineStr">
        <is>
          <t>2005-03-16</t>
        </is>
      </c>
      <c r="Y394" t="n">
        <v>484</v>
      </c>
      <c r="Z394" t="n">
        <v>423</v>
      </c>
      <c r="AA394" t="n">
        <v>1059</v>
      </c>
      <c r="AB394" t="n">
        <v>3</v>
      </c>
      <c r="AC394" t="n">
        <v>8</v>
      </c>
      <c r="AD394" t="n">
        <v>21</v>
      </c>
      <c r="AE394" t="n">
        <v>39</v>
      </c>
      <c r="AF394" t="n">
        <v>7</v>
      </c>
      <c r="AG394" t="n">
        <v>14</v>
      </c>
      <c r="AH394" t="n">
        <v>8</v>
      </c>
      <c r="AI394" t="n">
        <v>10</v>
      </c>
      <c r="AJ394" t="n">
        <v>12</v>
      </c>
      <c r="AK394" t="n">
        <v>16</v>
      </c>
      <c r="AL394" t="n">
        <v>2</v>
      </c>
      <c r="AM394" t="n">
        <v>7</v>
      </c>
      <c r="AN394" t="n">
        <v>0</v>
      </c>
      <c r="AO394" t="n">
        <v>1</v>
      </c>
      <c r="AP394" t="inlineStr">
        <is>
          <t>No</t>
        </is>
      </c>
      <c r="AQ394" t="inlineStr">
        <is>
          <t>No</t>
        </is>
      </c>
      <c r="AS394">
        <f>HYPERLINK("https://creighton-primo.hosted.exlibrisgroup.com/primo-explore/search?tab=default_tab&amp;search_scope=EVERYTHING&amp;vid=01CRU&amp;lang=en_US&amp;offset=0&amp;query=any,contains,991004459759702656","Catalog Record")</f>
        <v/>
      </c>
      <c r="AT394">
        <f>HYPERLINK("http://www.worldcat.org/oclc/54501527","WorldCat Record")</f>
        <v/>
      </c>
      <c r="AU394" t="inlineStr">
        <is>
          <t>797338505:eng</t>
        </is>
      </c>
      <c r="AV394" t="inlineStr">
        <is>
          <t>54501527</t>
        </is>
      </c>
      <c r="AW394" t="inlineStr">
        <is>
          <t>991004459759702656</t>
        </is>
      </c>
      <c r="AX394" t="inlineStr">
        <is>
          <t>991004459759702656</t>
        </is>
      </c>
      <c r="AY394" t="inlineStr">
        <is>
          <t>2264668000002656</t>
        </is>
      </c>
      <c r="AZ394" t="inlineStr">
        <is>
          <t>BOOK</t>
        </is>
      </c>
      <c r="BB394" t="inlineStr">
        <is>
          <t>9780226473789</t>
        </is>
      </c>
      <c r="BC394" t="inlineStr">
        <is>
          <t>32285005042022</t>
        </is>
      </c>
      <c r="BD394" t="inlineStr">
        <is>
          <t>893800987</t>
        </is>
      </c>
    </row>
    <row r="395">
      <c r="A395" t="inlineStr">
        <is>
          <t>No</t>
        </is>
      </c>
      <c r="B395" t="inlineStr">
        <is>
          <t>DC340 .N68 1981</t>
        </is>
      </c>
      <c r="C395" t="inlineStr">
        <is>
          <t>0                      DC 0340000N  68          1981</t>
        </is>
      </c>
      <c r="D395" t="inlineStr">
        <is>
          <t>La France de 1848 à 1914 / André Nouschi, Antoine Olivesi.</t>
        </is>
      </c>
      <c r="F395" t="inlineStr">
        <is>
          <t>No</t>
        </is>
      </c>
      <c r="G395" t="inlineStr">
        <is>
          <t>1</t>
        </is>
      </c>
      <c r="H395" t="inlineStr">
        <is>
          <t>No</t>
        </is>
      </c>
      <c r="I395" t="inlineStr">
        <is>
          <t>No</t>
        </is>
      </c>
      <c r="J395" t="inlineStr">
        <is>
          <t>0</t>
        </is>
      </c>
      <c r="K395" t="inlineStr">
        <is>
          <t>Nouschi, André.</t>
        </is>
      </c>
      <c r="L395" t="inlineStr">
        <is>
          <t>Paris : F. Nathan, 1981.</t>
        </is>
      </c>
      <c r="M395" t="inlineStr">
        <is>
          <t>1981</t>
        </is>
      </c>
      <c r="N395" t="inlineStr">
        <is>
          <t>Nouv. éd. mise á jour et augm.</t>
        </is>
      </c>
      <c r="O395" t="inlineStr">
        <is>
          <t>fre</t>
        </is>
      </c>
      <c r="P395" t="inlineStr">
        <is>
          <t xml:space="preserve">fr </t>
        </is>
      </c>
      <c r="Q395" t="inlineStr">
        <is>
          <t>Nathan université, information, formation. Histoire</t>
        </is>
      </c>
      <c r="R395" t="inlineStr">
        <is>
          <t xml:space="preserve">DC </t>
        </is>
      </c>
      <c r="S395" t="n">
        <v>2</v>
      </c>
      <c r="T395" t="n">
        <v>2</v>
      </c>
      <c r="U395" t="inlineStr">
        <is>
          <t>1992-07-03</t>
        </is>
      </c>
      <c r="V395" t="inlineStr">
        <is>
          <t>1992-07-03</t>
        </is>
      </c>
      <c r="W395" t="inlineStr">
        <is>
          <t>1991-04-30</t>
        </is>
      </c>
      <c r="X395" t="inlineStr">
        <is>
          <t>1991-04-30</t>
        </is>
      </c>
      <c r="Y395" t="n">
        <v>35</v>
      </c>
      <c r="Z395" t="n">
        <v>10</v>
      </c>
      <c r="AA395" t="n">
        <v>17</v>
      </c>
      <c r="AB395" t="n">
        <v>1</v>
      </c>
      <c r="AC395" t="n">
        <v>1</v>
      </c>
      <c r="AD395" t="n">
        <v>0</v>
      </c>
      <c r="AE395" t="n">
        <v>0</v>
      </c>
      <c r="AF395" t="n">
        <v>0</v>
      </c>
      <c r="AG395" t="n">
        <v>0</v>
      </c>
      <c r="AH395" t="n">
        <v>0</v>
      </c>
      <c r="AI395" t="n">
        <v>0</v>
      </c>
      <c r="AJ395" t="n">
        <v>0</v>
      </c>
      <c r="AK395" t="n">
        <v>0</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HYPERLINK("https://creighton-primo.hosted.exlibrisgroup.com/primo-explore/search?tab=default_tab&amp;search_scope=EVERYTHING&amp;vid=01CRU&amp;lang=en_US&amp;offset=0&amp;query=any,contains,991000800689702656","Catalog Record")</f>
        <v/>
      </c>
      <c r="AT395">
        <f>HYPERLINK("http://www.worldcat.org/oclc/13227789","WorldCat Record")</f>
        <v/>
      </c>
      <c r="AU395" t="inlineStr">
        <is>
          <t>348907528:fre</t>
        </is>
      </c>
      <c r="AV395" t="inlineStr">
        <is>
          <t>13227789</t>
        </is>
      </c>
      <c r="AW395" t="inlineStr">
        <is>
          <t>991000800689702656</t>
        </is>
      </c>
      <c r="AX395" t="inlineStr">
        <is>
          <t>991000800689702656</t>
        </is>
      </c>
      <c r="AY395" t="inlineStr">
        <is>
          <t>2260913650002656</t>
        </is>
      </c>
      <c r="AZ395" t="inlineStr">
        <is>
          <t>BOOK</t>
        </is>
      </c>
      <c r="BC395" t="inlineStr">
        <is>
          <t>32285000570175</t>
        </is>
      </c>
      <c r="BD395" t="inlineStr">
        <is>
          <t>893419783</t>
        </is>
      </c>
    </row>
    <row r="396">
      <c r="A396" t="inlineStr">
        <is>
          <t>No</t>
        </is>
      </c>
      <c r="B396" t="inlineStr">
        <is>
          <t>DC340 .S35 1969</t>
        </is>
      </c>
      <c r="C396" t="inlineStr">
        <is>
          <t>0                      DC 0340000S  35          1969</t>
        </is>
      </c>
      <c r="D396" t="inlineStr">
        <is>
          <t>War and diplomacy in the French Republic; an inquiry into political motivations and the control of foreign policy [by] Frederick L. Schuman. With an introd. by Quincy Wright.</t>
        </is>
      </c>
      <c r="F396" t="inlineStr">
        <is>
          <t>No</t>
        </is>
      </c>
      <c r="G396" t="inlineStr">
        <is>
          <t>1</t>
        </is>
      </c>
      <c r="H396" t="inlineStr">
        <is>
          <t>No</t>
        </is>
      </c>
      <c r="I396" t="inlineStr">
        <is>
          <t>No</t>
        </is>
      </c>
      <c r="J396" t="inlineStr">
        <is>
          <t>0</t>
        </is>
      </c>
      <c r="K396" t="inlineStr">
        <is>
          <t>Schuman, Frederick L. (Frederick Lewis), 1904-1981.</t>
        </is>
      </c>
      <c r="L396" t="inlineStr">
        <is>
          <t>New York, H. Fertig, 1969.</t>
        </is>
      </c>
      <c r="M396" t="inlineStr">
        <is>
          <t>1969</t>
        </is>
      </c>
      <c r="O396" t="inlineStr">
        <is>
          <t>eng</t>
        </is>
      </c>
      <c r="P396" t="inlineStr">
        <is>
          <t>nyu</t>
        </is>
      </c>
      <c r="R396" t="inlineStr">
        <is>
          <t xml:space="preserve">DC </t>
        </is>
      </c>
      <c r="S396" t="n">
        <v>2</v>
      </c>
      <c r="T396" t="n">
        <v>2</v>
      </c>
      <c r="U396" t="inlineStr">
        <is>
          <t>2006-01-18</t>
        </is>
      </c>
      <c r="V396" t="inlineStr">
        <is>
          <t>2006-01-18</t>
        </is>
      </c>
      <c r="W396" t="inlineStr">
        <is>
          <t>1996-11-14</t>
        </is>
      </c>
      <c r="X396" t="inlineStr">
        <is>
          <t>1996-11-14</t>
        </is>
      </c>
      <c r="Y396" t="n">
        <v>316</v>
      </c>
      <c r="Z396" t="n">
        <v>274</v>
      </c>
      <c r="AA396" t="n">
        <v>642</v>
      </c>
      <c r="AB396" t="n">
        <v>2</v>
      </c>
      <c r="AC396" t="n">
        <v>6</v>
      </c>
      <c r="AD396" t="n">
        <v>15</v>
      </c>
      <c r="AE396" t="n">
        <v>34</v>
      </c>
      <c r="AF396" t="n">
        <v>7</v>
      </c>
      <c r="AG396" t="n">
        <v>14</v>
      </c>
      <c r="AH396" t="n">
        <v>2</v>
      </c>
      <c r="AI396" t="n">
        <v>6</v>
      </c>
      <c r="AJ396" t="n">
        <v>9</v>
      </c>
      <c r="AK396" t="n">
        <v>17</v>
      </c>
      <c r="AL396" t="n">
        <v>1</v>
      </c>
      <c r="AM396" t="n">
        <v>5</v>
      </c>
      <c r="AN396" t="n">
        <v>0</v>
      </c>
      <c r="AO396" t="n">
        <v>0</v>
      </c>
      <c r="AP396" t="inlineStr">
        <is>
          <t>No</t>
        </is>
      </c>
      <c r="AQ396" t="inlineStr">
        <is>
          <t>Yes</t>
        </is>
      </c>
      <c r="AR396">
        <f>HYPERLINK("http://catalog.hathitrust.org/Record/102068373","HathiTrust Record")</f>
        <v/>
      </c>
      <c r="AS396">
        <f>HYPERLINK("https://creighton-primo.hosted.exlibrisgroup.com/primo-explore/search?tab=default_tab&amp;search_scope=EVERYTHING&amp;vid=01CRU&amp;lang=en_US&amp;offset=0&amp;query=any,contains,991000116139702656","Catalog Record")</f>
        <v/>
      </c>
      <c r="AT396">
        <f>HYPERLINK("http://www.worldcat.org/oclc/49350","WorldCat Record")</f>
        <v/>
      </c>
      <c r="AU396" t="inlineStr">
        <is>
          <t>1218915:eng</t>
        </is>
      </c>
      <c r="AV396" t="inlineStr">
        <is>
          <t>49350</t>
        </is>
      </c>
      <c r="AW396" t="inlineStr">
        <is>
          <t>991000116139702656</t>
        </is>
      </c>
      <c r="AX396" t="inlineStr">
        <is>
          <t>991000116139702656</t>
        </is>
      </c>
      <c r="AY396" t="inlineStr">
        <is>
          <t>2263576390002656</t>
        </is>
      </c>
      <c r="AZ396" t="inlineStr">
        <is>
          <t>BOOK</t>
        </is>
      </c>
      <c r="BC396" t="inlineStr">
        <is>
          <t>32285002345857</t>
        </is>
      </c>
      <c r="BD396" t="inlineStr">
        <is>
          <t>893327026</t>
        </is>
      </c>
    </row>
    <row r="397">
      <c r="A397" t="inlineStr">
        <is>
          <t>No</t>
        </is>
      </c>
      <c r="B397" t="inlineStr">
        <is>
          <t>DC340 .S95 1982</t>
        </is>
      </c>
      <c r="C397" t="inlineStr">
        <is>
          <t>0                      DC 0340000S  95          1982</t>
        </is>
      </c>
      <c r="D397" t="inlineStr">
        <is>
          <t>Nationalism, positivism, and Catholicism : the politics of Charles Maurras and French Catholics, 1890-1914 / Michael Sutton.</t>
        </is>
      </c>
      <c r="F397" t="inlineStr">
        <is>
          <t>No</t>
        </is>
      </c>
      <c r="G397" t="inlineStr">
        <is>
          <t>1</t>
        </is>
      </c>
      <c r="H397" t="inlineStr">
        <is>
          <t>No</t>
        </is>
      </c>
      <c r="I397" t="inlineStr">
        <is>
          <t>No</t>
        </is>
      </c>
      <c r="J397" t="inlineStr">
        <is>
          <t>0</t>
        </is>
      </c>
      <c r="K397" t="inlineStr">
        <is>
          <t>Sutton, Michael.</t>
        </is>
      </c>
      <c r="L397" t="inlineStr">
        <is>
          <t>Cambridge [Cambridgeshire] ; New York : Cambridge University Press, 1982.</t>
        </is>
      </c>
      <c r="M397" t="inlineStr">
        <is>
          <t>1982</t>
        </is>
      </c>
      <c r="O397" t="inlineStr">
        <is>
          <t>eng</t>
        </is>
      </c>
      <c r="P397" t="inlineStr">
        <is>
          <t>enk</t>
        </is>
      </c>
      <c r="Q397" t="inlineStr">
        <is>
          <t>Cambridge studies in the history and theory of politics</t>
        </is>
      </c>
      <c r="R397" t="inlineStr">
        <is>
          <t xml:space="preserve">DC </t>
        </is>
      </c>
      <c r="S397" t="n">
        <v>3</v>
      </c>
      <c r="T397" t="n">
        <v>3</v>
      </c>
      <c r="U397" t="inlineStr">
        <is>
          <t>1999-09-29</t>
        </is>
      </c>
      <c r="V397" t="inlineStr">
        <is>
          <t>1999-09-29</t>
        </is>
      </c>
      <c r="W397" t="inlineStr">
        <is>
          <t>1990-05-08</t>
        </is>
      </c>
      <c r="X397" t="inlineStr">
        <is>
          <t>1990-05-08</t>
        </is>
      </c>
      <c r="Y397" t="n">
        <v>400</v>
      </c>
      <c r="Z397" t="n">
        <v>265</v>
      </c>
      <c r="AA397" t="n">
        <v>288</v>
      </c>
      <c r="AB397" t="n">
        <v>4</v>
      </c>
      <c r="AC397" t="n">
        <v>4</v>
      </c>
      <c r="AD397" t="n">
        <v>24</v>
      </c>
      <c r="AE397" t="n">
        <v>25</v>
      </c>
      <c r="AF397" t="n">
        <v>4</v>
      </c>
      <c r="AG397" t="n">
        <v>5</v>
      </c>
      <c r="AH397" t="n">
        <v>9</v>
      </c>
      <c r="AI397" t="n">
        <v>9</v>
      </c>
      <c r="AJ397" t="n">
        <v>17</v>
      </c>
      <c r="AK397" t="n">
        <v>17</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HYPERLINK("https://creighton-primo.hosted.exlibrisgroup.com/primo-explore/search?tab=default_tab&amp;search_scope=EVERYTHING&amp;vid=01CRU&amp;lang=en_US&amp;offset=0&amp;query=any,contains,991005237329702656","Catalog Record")</f>
        <v/>
      </c>
      <c r="AT397">
        <f>HYPERLINK("http://www.worldcat.org/oclc/8388097","WorldCat Record")</f>
        <v/>
      </c>
      <c r="AU397" t="inlineStr">
        <is>
          <t>863750571:eng</t>
        </is>
      </c>
      <c r="AV397" t="inlineStr">
        <is>
          <t>8388097</t>
        </is>
      </c>
      <c r="AW397" t="inlineStr">
        <is>
          <t>991005237329702656</t>
        </is>
      </c>
      <c r="AX397" t="inlineStr">
        <is>
          <t>991005237329702656</t>
        </is>
      </c>
      <c r="AY397" t="inlineStr">
        <is>
          <t>2266774910002656</t>
        </is>
      </c>
      <c r="AZ397" t="inlineStr">
        <is>
          <t>BOOK</t>
        </is>
      </c>
      <c r="BB397" t="inlineStr">
        <is>
          <t>9780521228688</t>
        </is>
      </c>
      <c r="BC397" t="inlineStr">
        <is>
          <t>32285000150622</t>
        </is>
      </c>
      <c r="BD397" t="inlineStr">
        <is>
          <t>893338777</t>
        </is>
      </c>
    </row>
    <row r="398">
      <c r="A398" t="inlineStr">
        <is>
          <t>No</t>
        </is>
      </c>
      <c r="B398" t="inlineStr">
        <is>
          <t>DC341 .N65 2005</t>
        </is>
      </c>
      <c r="C398" t="inlineStr">
        <is>
          <t>0                      DC 0341000N  65          2005</t>
        </is>
      </c>
      <c r="D398" t="inlineStr">
        <is>
          <t>The inverted mirror : mythologizing the enemy in France and Germany, 1898-1914 / Michael E. Nolan.</t>
        </is>
      </c>
      <c r="F398" t="inlineStr">
        <is>
          <t>No</t>
        </is>
      </c>
      <c r="G398" t="inlineStr">
        <is>
          <t>1</t>
        </is>
      </c>
      <c r="H398" t="inlineStr">
        <is>
          <t>No</t>
        </is>
      </c>
      <c r="I398" t="inlineStr">
        <is>
          <t>No</t>
        </is>
      </c>
      <c r="J398" t="inlineStr">
        <is>
          <t>0</t>
        </is>
      </c>
      <c r="K398" t="inlineStr">
        <is>
          <t>Nolan, Michael E.</t>
        </is>
      </c>
      <c r="L398" t="inlineStr">
        <is>
          <t>New York : Berghahn Books, 2005.</t>
        </is>
      </c>
      <c r="M398" t="inlineStr">
        <is>
          <t>2005</t>
        </is>
      </c>
      <c r="O398" t="inlineStr">
        <is>
          <t>eng</t>
        </is>
      </c>
      <c r="P398" t="inlineStr">
        <is>
          <t>nyu</t>
        </is>
      </c>
      <c r="Q398" t="inlineStr">
        <is>
          <t>Studies in contemporary European history</t>
        </is>
      </c>
      <c r="R398" t="inlineStr">
        <is>
          <t xml:space="preserve">DC </t>
        </is>
      </c>
      <c r="S398" t="n">
        <v>2</v>
      </c>
      <c r="T398" t="n">
        <v>2</v>
      </c>
      <c r="U398" t="inlineStr">
        <is>
          <t>2009-01-18</t>
        </is>
      </c>
      <c r="V398" t="inlineStr">
        <is>
          <t>2009-01-18</t>
        </is>
      </c>
      <c r="W398" t="inlineStr">
        <is>
          <t>2007-01-04</t>
        </is>
      </c>
      <c r="X398" t="inlineStr">
        <is>
          <t>2007-01-04</t>
        </is>
      </c>
      <c r="Y398" t="n">
        <v>259</v>
      </c>
      <c r="Z398" t="n">
        <v>180</v>
      </c>
      <c r="AA398" t="n">
        <v>444</v>
      </c>
      <c r="AB398" t="n">
        <v>1</v>
      </c>
      <c r="AC398" t="n">
        <v>2</v>
      </c>
      <c r="AD398" t="n">
        <v>8</v>
      </c>
      <c r="AE398" t="n">
        <v>19</v>
      </c>
      <c r="AF398" t="n">
        <v>1</v>
      </c>
      <c r="AG398" t="n">
        <v>7</v>
      </c>
      <c r="AH398" t="n">
        <v>4</v>
      </c>
      <c r="AI398" t="n">
        <v>6</v>
      </c>
      <c r="AJ398" t="n">
        <v>7</v>
      </c>
      <c r="AK398" t="n">
        <v>11</v>
      </c>
      <c r="AL398" t="n">
        <v>0</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HYPERLINK("https://creighton-primo.hosted.exlibrisgroup.com/primo-explore/search?tab=default_tab&amp;search_scope=EVERYTHING&amp;vid=01CRU&amp;lang=en_US&amp;offset=0&amp;query=any,contains,991004999609702656","Catalog Record")</f>
        <v/>
      </c>
      <c r="AT398">
        <f>HYPERLINK("http://www.worldcat.org/oclc/55067339","WorldCat Record")</f>
        <v/>
      </c>
      <c r="AU398" t="inlineStr">
        <is>
          <t>1052955:eng</t>
        </is>
      </c>
      <c r="AV398" t="inlineStr">
        <is>
          <t>55067339</t>
        </is>
      </c>
      <c r="AW398" t="inlineStr">
        <is>
          <t>991004999609702656</t>
        </is>
      </c>
      <c r="AX398" t="inlineStr">
        <is>
          <t>991004999609702656</t>
        </is>
      </c>
      <c r="AY398" t="inlineStr">
        <is>
          <t>2264954590002656</t>
        </is>
      </c>
      <c r="AZ398" t="inlineStr">
        <is>
          <t>BOOK</t>
        </is>
      </c>
      <c r="BB398" t="inlineStr">
        <is>
          <t>9781571816696</t>
        </is>
      </c>
      <c r="BC398" t="inlineStr">
        <is>
          <t>32285005269021</t>
        </is>
      </c>
      <c r="BD398" t="inlineStr">
        <is>
          <t>893353636</t>
        </is>
      </c>
    </row>
    <row r="399">
      <c r="A399" t="inlineStr">
        <is>
          <t>No</t>
        </is>
      </c>
      <c r="B399" t="inlineStr">
        <is>
          <t>DC342.8.C6 D28 1993</t>
        </is>
      </c>
      <c r="C399" t="inlineStr">
        <is>
          <t>0                      DC 0342800C  6                  D  28          1993</t>
        </is>
      </c>
      <c r="D399" t="inlineStr">
        <is>
          <t>At the heart of a tiger : Clemenceau and his world, 1841-1929 / Gregor Dallas.</t>
        </is>
      </c>
      <c r="F399" t="inlineStr">
        <is>
          <t>No</t>
        </is>
      </c>
      <c r="G399" t="inlineStr">
        <is>
          <t>1</t>
        </is>
      </c>
      <c r="H399" t="inlineStr">
        <is>
          <t>No</t>
        </is>
      </c>
      <c r="I399" t="inlineStr">
        <is>
          <t>No</t>
        </is>
      </c>
      <c r="J399" t="inlineStr">
        <is>
          <t>0</t>
        </is>
      </c>
      <c r="K399" t="inlineStr">
        <is>
          <t>Dallas, Gregor.</t>
        </is>
      </c>
      <c r="L399" t="inlineStr">
        <is>
          <t>New York : Carroll &amp; Graf, 1993.</t>
        </is>
      </c>
      <c r="M399" t="inlineStr">
        <is>
          <t>1993</t>
        </is>
      </c>
      <c r="O399" t="inlineStr">
        <is>
          <t>eng</t>
        </is>
      </c>
      <c r="P399" t="inlineStr">
        <is>
          <t>nyu</t>
        </is>
      </c>
      <c r="R399" t="inlineStr">
        <is>
          <t xml:space="preserve">DC </t>
        </is>
      </c>
      <c r="S399" t="n">
        <v>2</v>
      </c>
      <c r="T399" t="n">
        <v>2</v>
      </c>
      <c r="U399" t="inlineStr">
        <is>
          <t>1994-11-04</t>
        </is>
      </c>
      <c r="V399" t="inlineStr">
        <is>
          <t>1994-11-04</t>
        </is>
      </c>
      <c r="W399" t="inlineStr">
        <is>
          <t>1994-10-21</t>
        </is>
      </c>
      <c r="X399" t="inlineStr">
        <is>
          <t>1994-10-21</t>
        </is>
      </c>
      <c r="Y399" t="n">
        <v>227</v>
      </c>
      <c r="Z399" t="n">
        <v>213</v>
      </c>
      <c r="AA399" t="n">
        <v>265</v>
      </c>
      <c r="AB399" t="n">
        <v>2</v>
      </c>
      <c r="AC399" t="n">
        <v>2</v>
      </c>
      <c r="AD399" t="n">
        <v>12</v>
      </c>
      <c r="AE399" t="n">
        <v>13</v>
      </c>
      <c r="AF399" t="n">
        <v>4</v>
      </c>
      <c r="AG399" t="n">
        <v>4</v>
      </c>
      <c r="AH399" t="n">
        <v>2</v>
      </c>
      <c r="AI399" t="n">
        <v>3</v>
      </c>
      <c r="AJ399" t="n">
        <v>8</v>
      </c>
      <c r="AK399" t="n">
        <v>9</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HYPERLINK("https://creighton-primo.hosted.exlibrisgroup.com/primo-explore/search?tab=default_tab&amp;search_scope=EVERYTHING&amp;vid=01CRU&amp;lang=en_US&amp;offset=0&amp;query=any,contains,991002219929702656","Catalog Record")</f>
        <v/>
      </c>
      <c r="AT399">
        <f>HYPERLINK("http://www.worldcat.org/oclc/28586522","WorldCat Record")</f>
        <v/>
      </c>
      <c r="AU399" t="inlineStr">
        <is>
          <t>30491810:eng</t>
        </is>
      </c>
      <c r="AV399" t="inlineStr">
        <is>
          <t>28586522</t>
        </is>
      </c>
      <c r="AW399" t="inlineStr">
        <is>
          <t>991002219929702656</t>
        </is>
      </c>
      <c r="AX399" t="inlineStr">
        <is>
          <t>991002219929702656</t>
        </is>
      </c>
      <c r="AY399" t="inlineStr">
        <is>
          <t>2263846980002656</t>
        </is>
      </c>
      <c r="AZ399" t="inlineStr">
        <is>
          <t>BOOK</t>
        </is>
      </c>
      <c r="BB399" t="inlineStr">
        <is>
          <t>9780786700004</t>
        </is>
      </c>
      <c r="BC399" t="inlineStr">
        <is>
          <t>32285001955326</t>
        </is>
      </c>
      <c r="BD399" t="inlineStr">
        <is>
          <t>893622028</t>
        </is>
      </c>
    </row>
    <row r="400">
      <c r="A400" t="inlineStr">
        <is>
          <t>No</t>
        </is>
      </c>
      <c r="B400" t="inlineStr">
        <is>
          <t>DC342.8.C6 J3 1962</t>
        </is>
      </c>
      <c r="C400" t="inlineStr">
        <is>
          <t>0                      DC 0342800C  6                  J  3           1962</t>
        </is>
      </c>
      <c r="D400" t="inlineStr">
        <is>
          <t>Clemenceau and the Third republic [by] J. Hampden Jackson</t>
        </is>
      </c>
      <c r="F400" t="inlineStr">
        <is>
          <t>No</t>
        </is>
      </c>
      <c r="G400" t="inlineStr">
        <is>
          <t>1</t>
        </is>
      </c>
      <c r="H400" t="inlineStr">
        <is>
          <t>No</t>
        </is>
      </c>
      <c r="I400" t="inlineStr">
        <is>
          <t>No</t>
        </is>
      </c>
      <c r="J400" t="inlineStr">
        <is>
          <t>0</t>
        </is>
      </c>
      <c r="K400" t="inlineStr">
        <is>
          <t>Jackson, J. Hampden (John Hampden), 1907-1966.</t>
        </is>
      </c>
      <c r="L400" t="inlineStr">
        <is>
          <t>New York, COllier Books [1962]</t>
        </is>
      </c>
      <c r="M400" t="inlineStr">
        <is>
          <t>1962</t>
        </is>
      </c>
      <c r="N400" t="inlineStr">
        <is>
          <t>[1st Collier Books ed.]</t>
        </is>
      </c>
      <c r="O400" t="inlineStr">
        <is>
          <t>eng</t>
        </is>
      </c>
      <c r="P400" t="inlineStr">
        <is>
          <t xml:space="preserve">xx </t>
        </is>
      </c>
      <c r="R400" t="inlineStr">
        <is>
          <t xml:space="preserve">DC </t>
        </is>
      </c>
      <c r="S400" t="n">
        <v>1</v>
      </c>
      <c r="T400" t="n">
        <v>1</v>
      </c>
      <c r="U400" t="inlineStr">
        <is>
          <t>2009-01-18</t>
        </is>
      </c>
      <c r="V400" t="inlineStr">
        <is>
          <t>2009-01-18</t>
        </is>
      </c>
      <c r="W400" t="inlineStr">
        <is>
          <t>1996-11-14</t>
        </is>
      </c>
      <c r="X400" t="inlineStr">
        <is>
          <t>1996-11-14</t>
        </is>
      </c>
      <c r="Y400" t="n">
        <v>210</v>
      </c>
      <c r="Z400" t="n">
        <v>199</v>
      </c>
      <c r="AA400" t="n">
        <v>872</v>
      </c>
      <c r="AB400" t="n">
        <v>2</v>
      </c>
      <c r="AC400" t="n">
        <v>7</v>
      </c>
      <c r="AD400" t="n">
        <v>8</v>
      </c>
      <c r="AE400" t="n">
        <v>37</v>
      </c>
      <c r="AF400" t="n">
        <v>4</v>
      </c>
      <c r="AG400" t="n">
        <v>16</v>
      </c>
      <c r="AH400" t="n">
        <v>1</v>
      </c>
      <c r="AI400" t="n">
        <v>7</v>
      </c>
      <c r="AJ400" t="n">
        <v>5</v>
      </c>
      <c r="AK400" t="n">
        <v>18</v>
      </c>
      <c r="AL400" t="n">
        <v>1</v>
      </c>
      <c r="AM400" t="n">
        <v>6</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HYPERLINK("https://creighton-primo.hosted.exlibrisgroup.com/primo-explore/search?tab=default_tab&amp;search_scope=EVERYTHING&amp;vid=01CRU&amp;lang=en_US&amp;offset=0&amp;query=any,contains,991002722359702656","Catalog Record")</f>
        <v/>
      </c>
      <c r="AT400">
        <f>HYPERLINK("http://www.worldcat.org/oclc/413006","WorldCat Record")</f>
        <v/>
      </c>
      <c r="AU400" t="inlineStr">
        <is>
          <t>1464595:eng</t>
        </is>
      </c>
      <c r="AV400" t="inlineStr">
        <is>
          <t>413006</t>
        </is>
      </c>
      <c r="AW400" t="inlineStr">
        <is>
          <t>991002722359702656</t>
        </is>
      </c>
      <c r="AX400" t="inlineStr">
        <is>
          <t>991002722359702656</t>
        </is>
      </c>
      <c r="AY400" t="inlineStr">
        <is>
          <t>2268217110002656</t>
        </is>
      </c>
      <c r="AZ400" t="inlineStr">
        <is>
          <t>BOOK</t>
        </is>
      </c>
      <c r="BC400" t="inlineStr">
        <is>
          <t>32285002345949</t>
        </is>
      </c>
      <c r="BD400" t="inlineStr">
        <is>
          <t>893616491</t>
        </is>
      </c>
    </row>
    <row r="401">
      <c r="A401" t="inlineStr">
        <is>
          <t>No</t>
        </is>
      </c>
      <c r="B401" t="inlineStr">
        <is>
          <t>DC342.8.P4 A9 1998</t>
        </is>
      </c>
      <c r="C401" t="inlineStr">
        <is>
          <t>0                      DC 0342800P  4                  A  9           1998</t>
        </is>
      </c>
      <c r="D401" t="inlineStr">
        <is>
          <t>Pétain / Nicholas Atkin.</t>
        </is>
      </c>
      <c r="F401" t="inlineStr">
        <is>
          <t>No</t>
        </is>
      </c>
      <c r="G401" t="inlineStr">
        <is>
          <t>1</t>
        </is>
      </c>
      <c r="H401" t="inlineStr">
        <is>
          <t>No</t>
        </is>
      </c>
      <c r="I401" t="inlineStr">
        <is>
          <t>No</t>
        </is>
      </c>
      <c r="J401" t="inlineStr">
        <is>
          <t>0</t>
        </is>
      </c>
      <c r="K401" t="inlineStr">
        <is>
          <t>Atkin, Nicholas.</t>
        </is>
      </c>
      <c r="L401" t="inlineStr">
        <is>
          <t>London ; New York : Longman, 1998.</t>
        </is>
      </c>
      <c r="M401" t="inlineStr">
        <is>
          <t>1998</t>
        </is>
      </c>
      <c r="O401" t="inlineStr">
        <is>
          <t>eng</t>
        </is>
      </c>
      <c r="P401" t="inlineStr">
        <is>
          <t>enk</t>
        </is>
      </c>
      <c r="Q401" t="inlineStr">
        <is>
          <t>Profiles in power</t>
        </is>
      </c>
      <c r="R401" t="inlineStr">
        <is>
          <t xml:space="preserve">DC </t>
        </is>
      </c>
      <c r="S401" t="n">
        <v>4</v>
      </c>
      <c r="T401" t="n">
        <v>4</v>
      </c>
      <c r="U401" t="inlineStr">
        <is>
          <t>2005-04-27</t>
        </is>
      </c>
      <c r="V401" t="inlineStr">
        <is>
          <t>2005-04-27</t>
        </is>
      </c>
      <c r="W401" t="inlineStr">
        <is>
          <t>2003-06-23</t>
        </is>
      </c>
      <c r="X401" t="inlineStr">
        <is>
          <t>2003-06-23</t>
        </is>
      </c>
      <c r="Y401" t="n">
        <v>280</v>
      </c>
      <c r="Z401" t="n">
        <v>184</v>
      </c>
      <c r="AA401" t="n">
        <v>194</v>
      </c>
      <c r="AB401" t="n">
        <v>1</v>
      </c>
      <c r="AC401" t="n">
        <v>1</v>
      </c>
      <c r="AD401" t="n">
        <v>8</v>
      </c>
      <c r="AE401" t="n">
        <v>8</v>
      </c>
      <c r="AF401" t="n">
        <v>2</v>
      </c>
      <c r="AG401" t="n">
        <v>2</v>
      </c>
      <c r="AH401" t="n">
        <v>4</v>
      </c>
      <c r="AI401" t="n">
        <v>4</v>
      </c>
      <c r="AJ401" t="n">
        <v>5</v>
      </c>
      <c r="AK401" t="n">
        <v>5</v>
      </c>
      <c r="AL401" t="n">
        <v>0</v>
      </c>
      <c r="AM401" t="n">
        <v>0</v>
      </c>
      <c r="AN401" t="n">
        <v>0</v>
      </c>
      <c r="AO401" t="n">
        <v>0</v>
      </c>
      <c r="AP401" t="inlineStr">
        <is>
          <t>No</t>
        </is>
      </c>
      <c r="AQ401" t="inlineStr">
        <is>
          <t>Yes</t>
        </is>
      </c>
      <c r="AR401">
        <f>HYPERLINK("http://catalog.hathitrust.org/Record/003960885","HathiTrust Record")</f>
        <v/>
      </c>
      <c r="AS401">
        <f>HYPERLINK("https://creighton-primo.hosted.exlibrisgroup.com/primo-explore/search?tab=default_tab&amp;search_scope=EVERYTHING&amp;vid=01CRU&amp;lang=en_US&amp;offset=0&amp;query=any,contains,991003988089702656","Catalog Record")</f>
        <v/>
      </c>
      <c r="AT401">
        <f>HYPERLINK("http://www.worldcat.org/oclc/36696601","WorldCat Record")</f>
        <v/>
      </c>
      <c r="AU401" t="inlineStr">
        <is>
          <t>10567297851:eng</t>
        </is>
      </c>
      <c r="AV401" t="inlineStr">
        <is>
          <t>36696601</t>
        </is>
      </c>
      <c r="AW401" t="inlineStr">
        <is>
          <t>991003988089702656</t>
        </is>
      </c>
      <c r="AX401" t="inlineStr">
        <is>
          <t>991003988089702656</t>
        </is>
      </c>
      <c r="AY401" t="inlineStr">
        <is>
          <t>2259599980002656</t>
        </is>
      </c>
      <c r="AZ401" t="inlineStr">
        <is>
          <t>BOOK</t>
        </is>
      </c>
      <c r="BB401" t="inlineStr">
        <is>
          <t>9780582070363</t>
        </is>
      </c>
      <c r="BC401" t="inlineStr">
        <is>
          <t>32285004754197</t>
        </is>
      </c>
      <c r="BD401" t="inlineStr">
        <is>
          <t>893788148</t>
        </is>
      </c>
    </row>
    <row r="402">
      <c r="A402" t="inlineStr">
        <is>
          <t>No</t>
        </is>
      </c>
      <c r="B402" t="inlineStr">
        <is>
          <t>DC342.8.P4 L6 1985</t>
        </is>
      </c>
      <c r="C402" t="inlineStr">
        <is>
          <t>0                      DC 0342800P  4                  L  6           1985</t>
        </is>
      </c>
      <c r="D402" t="inlineStr">
        <is>
          <t>Pétain, hero or traitor : the untold story / Herbert R. Lottman.</t>
        </is>
      </c>
      <c r="F402" t="inlineStr">
        <is>
          <t>No</t>
        </is>
      </c>
      <c r="G402" t="inlineStr">
        <is>
          <t>1</t>
        </is>
      </c>
      <c r="H402" t="inlineStr">
        <is>
          <t>No</t>
        </is>
      </c>
      <c r="I402" t="inlineStr">
        <is>
          <t>No</t>
        </is>
      </c>
      <c r="J402" t="inlineStr">
        <is>
          <t>0</t>
        </is>
      </c>
      <c r="K402" t="inlineStr">
        <is>
          <t>Lottman, Herbert R.</t>
        </is>
      </c>
      <c r="L402" t="inlineStr">
        <is>
          <t>New York : Morrow, c1985.</t>
        </is>
      </c>
      <c r="M402" t="inlineStr">
        <is>
          <t>1985</t>
        </is>
      </c>
      <c r="N402" t="inlineStr">
        <is>
          <t>1st ed.</t>
        </is>
      </c>
      <c r="O402" t="inlineStr">
        <is>
          <t>eng</t>
        </is>
      </c>
      <c r="P402" t="inlineStr">
        <is>
          <t>nyu</t>
        </is>
      </c>
      <c r="R402" t="inlineStr">
        <is>
          <t xml:space="preserve">DC </t>
        </is>
      </c>
      <c r="S402" t="n">
        <v>1</v>
      </c>
      <c r="T402" t="n">
        <v>1</v>
      </c>
      <c r="U402" t="inlineStr">
        <is>
          <t>2005-04-27</t>
        </is>
      </c>
      <c r="V402" t="inlineStr">
        <is>
          <t>2005-04-27</t>
        </is>
      </c>
      <c r="W402" t="inlineStr">
        <is>
          <t>1990-07-19</t>
        </is>
      </c>
      <c r="X402" t="inlineStr">
        <is>
          <t>1990-07-19</t>
        </is>
      </c>
      <c r="Y402" t="n">
        <v>770</v>
      </c>
      <c r="Z402" t="n">
        <v>686</v>
      </c>
      <c r="AA402" t="n">
        <v>694</v>
      </c>
      <c r="AB402" t="n">
        <v>4</v>
      </c>
      <c r="AC402" t="n">
        <v>4</v>
      </c>
      <c r="AD402" t="n">
        <v>26</v>
      </c>
      <c r="AE402" t="n">
        <v>26</v>
      </c>
      <c r="AF402" t="n">
        <v>10</v>
      </c>
      <c r="AG402" t="n">
        <v>10</v>
      </c>
      <c r="AH402" t="n">
        <v>5</v>
      </c>
      <c r="AI402" t="n">
        <v>5</v>
      </c>
      <c r="AJ402" t="n">
        <v>17</v>
      </c>
      <c r="AK402" t="n">
        <v>17</v>
      </c>
      <c r="AL402" t="n">
        <v>2</v>
      </c>
      <c r="AM402" t="n">
        <v>2</v>
      </c>
      <c r="AN402" t="n">
        <v>0</v>
      </c>
      <c r="AO402" t="n">
        <v>0</v>
      </c>
      <c r="AP402" t="inlineStr">
        <is>
          <t>No</t>
        </is>
      </c>
      <c r="AQ402" t="inlineStr">
        <is>
          <t>Yes</t>
        </is>
      </c>
      <c r="AR402">
        <f>HYPERLINK("http://catalog.hathitrust.org/Record/004406637","HathiTrust Record")</f>
        <v/>
      </c>
      <c r="AS402">
        <f>HYPERLINK("https://creighton-primo.hosted.exlibrisgroup.com/primo-explore/search?tab=default_tab&amp;search_scope=EVERYTHING&amp;vid=01CRU&amp;lang=en_US&amp;offset=0&amp;query=any,contains,991000507789702656","Catalog Record")</f>
        <v/>
      </c>
      <c r="AT402">
        <f>HYPERLINK("http://www.worldcat.org/oclc/11840938","WorldCat Record")</f>
        <v/>
      </c>
      <c r="AU402" t="inlineStr">
        <is>
          <t>3855362320:eng</t>
        </is>
      </c>
      <c r="AV402" t="inlineStr">
        <is>
          <t>11840938</t>
        </is>
      </c>
      <c r="AW402" t="inlineStr">
        <is>
          <t>991000507789702656</t>
        </is>
      </c>
      <c r="AX402" t="inlineStr">
        <is>
          <t>991000507789702656</t>
        </is>
      </c>
      <c r="AY402" t="inlineStr">
        <is>
          <t>2258780060002656</t>
        </is>
      </c>
      <c r="AZ402" t="inlineStr">
        <is>
          <t>BOOK</t>
        </is>
      </c>
      <c r="BB402" t="inlineStr">
        <is>
          <t>9780688037567</t>
        </is>
      </c>
      <c r="BC402" t="inlineStr">
        <is>
          <t>32285000239391</t>
        </is>
      </c>
      <c r="BD402" t="inlineStr">
        <is>
          <t>893595606</t>
        </is>
      </c>
    </row>
    <row r="403">
      <c r="A403" t="inlineStr">
        <is>
          <t>No</t>
        </is>
      </c>
      <c r="B403" t="inlineStr">
        <is>
          <t>DC354 .K37</t>
        </is>
      </c>
      <c r="C403" t="inlineStr">
        <is>
          <t>0                      DC 0354000K  37</t>
        </is>
      </c>
      <c r="D403" t="inlineStr">
        <is>
          <t>The Dreyfus affair; catalyst for tensions in French society [by] H. R. Kedward.</t>
        </is>
      </c>
      <c r="F403" t="inlineStr">
        <is>
          <t>No</t>
        </is>
      </c>
      <c r="G403" t="inlineStr">
        <is>
          <t>1</t>
        </is>
      </c>
      <c r="H403" t="inlineStr">
        <is>
          <t>No</t>
        </is>
      </c>
      <c r="I403" t="inlineStr">
        <is>
          <t>No</t>
        </is>
      </c>
      <c r="J403" t="inlineStr">
        <is>
          <t>0</t>
        </is>
      </c>
      <c r="K403" t="inlineStr">
        <is>
          <t>Kedward, H. R. (Harry Roderick)</t>
        </is>
      </c>
      <c r="L403" t="inlineStr">
        <is>
          <t>[London] Longmans [1965]</t>
        </is>
      </c>
      <c r="M403" t="inlineStr">
        <is>
          <t>1965</t>
        </is>
      </c>
      <c r="O403" t="inlineStr">
        <is>
          <t>eng</t>
        </is>
      </c>
      <c r="P403" t="inlineStr">
        <is>
          <t>enk</t>
        </is>
      </c>
      <c r="Q403" t="inlineStr">
        <is>
          <t>Problems and perspectives in history</t>
        </is>
      </c>
      <c r="R403" t="inlineStr">
        <is>
          <t xml:space="preserve">DC </t>
        </is>
      </c>
      <c r="S403" t="n">
        <v>2</v>
      </c>
      <c r="T403" t="n">
        <v>2</v>
      </c>
      <c r="U403" t="inlineStr">
        <is>
          <t>2009-01-18</t>
        </is>
      </c>
      <c r="V403" t="inlineStr">
        <is>
          <t>2009-01-18</t>
        </is>
      </c>
      <c r="W403" t="inlineStr">
        <is>
          <t>1996-11-14</t>
        </is>
      </c>
      <c r="X403" t="inlineStr">
        <is>
          <t>1996-11-14</t>
        </is>
      </c>
      <c r="Y403" t="n">
        <v>646</v>
      </c>
      <c r="Z403" t="n">
        <v>488</v>
      </c>
      <c r="AA403" t="n">
        <v>496</v>
      </c>
      <c r="AB403" t="n">
        <v>4</v>
      </c>
      <c r="AC403" t="n">
        <v>4</v>
      </c>
      <c r="AD403" t="n">
        <v>23</v>
      </c>
      <c r="AE403" t="n">
        <v>23</v>
      </c>
      <c r="AF403" t="n">
        <v>7</v>
      </c>
      <c r="AG403" t="n">
        <v>7</v>
      </c>
      <c r="AH403" t="n">
        <v>7</v>
      </c>
      <c r="AI403" t="n">
        <v>7</v>
      </c>
      <c r="AJ403" t="n">
        <v>9</v>
      </c>
      <c r="AK403" t="n">
        <v>9</v>
      </c>
      <c r="AL403" t="n">
        <v>3</v>
      </c>
      <c r="AM403" t="n">
        <v>3</v>
      </c>
      <c r="AN403" t="n">
        <v>2</v>
      </c>
      <c r="AO403" t="n">
        <v>2</v>
      </c>
      <c r="AP403" t="inlineStr">
        <is>
          <t>No</t>
        </is>
      </c>
      <c r="AQ403" t="inlineStr">
        <is>
          <t>Yes</t>
        </is>
      </c>
      <c r="AR403">
        <f>HYPERLINK("http://catalog.hathitrust.org/Record/000649664","HathiTrust Record")</f>
        <v/>
      </c>
      <c r="AS403">
        <f>HYPERLINK("https://creighton-primo.hosted.exlibrisgroup.com/primo-explore/search?tab=default_tab&amp;search_scope=EVERYTHING&amp;vid=01CRU&amp;lang=en_US&amp;offset=0&amp;query=any,contains,991002704789702656","Catalog Record")</f>
        <v/>
      </c>
      <c r="AT403">
        <f>HYPERLINK("http://www.worldcat.org/oclc/406726","WorldCat Record")</f>
        <v/>
      </c>
      <c r="AU403" t="inlineStr">
        <is>
          <t>1435972:eng</t>
        </is>
      </c>
      <c r="AV403" t="inlineStr">
        <is>
          <t>406726</t>
        </is>
      </c>
      <c r="AW403" t="inlineStr">
        <is>
          <t>991002704789702656</t>
        </is>
      </c>
      <c r="AX403" t="inlineStr">
        <is>
          <t>991002704789702656</t>
        </is>
      </c>
      <c r="AY403" t="inlineStr">
        <is>
          <t>2261106690002656</t>
        </is>
      </c>
      <c r="AZ403" t="inlineStr">
        <is>
          <t>BOOK</t>
        </is>
      </c>
      <c r="BC403" t="inlineStr">
        <is>
          <t>32285002346145</t>
        </is>
      </c>
      <c r="BD403" t="inlineStr">
        <is>
          <t>893347824</t>
        </is>
      </c>
    </row>
    <row r="404">
      <c r="A404" t="inlineStr">
        <is>
          <t>No</t>
        </is>
      </c>
      <c r="B404" t="inlineStr">
        <is>
          <t>DC36.6 .C38513 1979</t>
        </is>
      </c>
      <c r="C404" t="inlineStr">
        <is>
          <t>0                      DC 0036600C  38513       1979</t>
        </is>
      </c>
      <c r="D404" t="inlineStr">
        <is>
          <t>The lives of the kings &amp; queens of France / Duc de Castries ; translated from the French by Anne Dobell.</t>
        </is>
      </c>
      <c r="F404" t="inlineStr">
        <is>
          <t>No</t>
        </is>
      </c>
      <c r="G404" t="inlineStr">
        <is>
          <t>1</t>
        </is>
      </c>
      <c r="H404" t="inlineStr">
        <is>
          <t>No</t>
        </is>
      </c>
      <c r="I404" t="inlineStr">
        <is>
          <t>No</t>
        </is>
      </c>
      <c r="J404" t="inlineStr">
        <is>
          <t>0</t>
        </is>
      </c>
      <c r="K404" t="inlineStr">
        <is>
          <t>Castries, René de La Croix, duc de, 1908-1986.</t>
        </is>
      </c>
      <c r="L404" t="inlineStr">
        <is>
          <t>New York : Knopf : Distributed by Random House, 1979.</t>
        </is>
      </c>
      <c r="M404" t="inlineStr">
        <is>
          <t>1979</t>
        </is>
      </c>
      <c r="N404" t="inlineStr">
        <is>
          <t>1st American ed.</t>
        </is>
      </c>
      <c r="O404" t="inlineStr">
        <is>
          <t>eng</t>
        </is>
      </c>
      <c r="P404" t="inlineStr">
        <is>
          <t>nyu</t>
        </is>
      </c>
      <c r="R404" t="inlineStr">
        <is>
          <t xml:space="preserve">DC </t>
        </is>
      </c>
      <c r="S404" t="n">
        <v>1</v>
      </c>
      <c r="T404" t="n">
        <v>1</v>
      </c>
      <c r="U404" t="inlineStr">
        <is>
          <t>2008-05-20</t>
        </is>
      </c>
      <c r="V404" t="inlineStr">
        <is>
          <t>2008-05-20</t>
        </is>
      </c>
      <c r="W404" t="inlineStr">
        <is>
          <t>2008-05-20</t>
        </is>
      </c>
      <c r="X404" t="inlineStr">
        <is>
          <t>2008-05-20</t>
        </is>
      </c>
      <c r="Y404" t="n">
        <v>1008</v>
      </c>
      <c r="Z404" t="n">
        <v>980</v>
      </c>
      <c r="AA404" t="n">
        <v>988</v>
      </c>
      <c r="AB404" t="n">
        <v>5</v>
      </c>
      <c r="AC404" t="n">
        <v>5</v>
      </c>
      <c r="AD404" t="n">
        <v>23</v>
      </c>
      <c r="AE404" t="n">
        <v>23</v>
      </c>
      <c r="AF404" t="n">
        <v>8</v>
      </c>
      <c r="AG404" t="n">
        <v>8</v>
      </c>
      <c r="AH404" t="n">
        <v>7</v>
      </c>
      <c r="AI404" t="n">
        <v>7</v>
      </c>
      <c r="AJ404" t="n">
        <v>12</v>
      </c>
      <c r="AK404" t="n">
        <v>12</v>
      </c>
      <c r="AL404" t="n">
        <v>2</v>
      </c>
      <c r="AM404" t="n">
        <v>2</v>
      </c>
      <c r="AN404" t="n">
        <v>0</v>
      </c>
      <c r="AO404" t="n">
        <v>0</v>
      </c>
      <c r="AP404" t="inlineStr">
        <is>
          <t>No</t>
        </is>
      </c>
      <c r="AQ404" t="inlineStr">
        <is>
          <t>Yes</t>
        </is>
      </c>
      <c r="AR404">
        <f>HYPERLINK("http://catalog.hathitrust.org/Record/000022627","HathiTrust Record")</f>
        <v/>
      </c>
      <c r="AS404">
        <f>HYPERLINK("https://creighton-primo.hosted.exlibrisgroup.com/primo-explore/search?tab=default_tab&amp;search_scope=EVERYTHING&amp;vid=01CRU&amp;lang=en_US&amp;offset=0&amp;query=any,contains,991005223599702656","Catalog Record")</f>
        <v/>
      </c>
      <c r="AT404">
        <f>HYPERLINK("http://www.worldcat.org/oclc/5102115","WorldCat Record")</f>
        <v/>
      </c>
      <c r="AU404" t="inlineStr">
        <is>
          <t>462956:eng</t>
        </is>
      </c>
      <c r="AV404" t="inlineStr">
        <is>
          <t>5102115</t>
        </is>
      </c>
      <c r="AW404" t="inlineStr">
        <is>
          <t>991005223599702656</t>
        </is>
      </c>
      <c r="AX404" t="inlineStr">
        <is>
          <t>991005223599702656</t>
        </is>
      </c>
      <c r="AY404" t="inlineStr">
        <is>
          <t>2269218630002656</t>
        </is>
      </c>
      <c r="AZ404" t="inlineStr">
        <is>
          <t>BOOK</t>
        </is>
      </c>
      <c r="BB404" t="inlineStr">
        <is>
          <t>9780394507347</t>
        </is>
      </c>
      <c r="BC404" t="inlineStr">
        <is>
          <t>32285005409833</t>
        </is>
      </c>
      <c r="BD404" t="inlineStr">
        <is>
          <t>893350933</t>
        </is>
      </c>
    </row>
    <row r="405">
      <c r="A405" t="inlineStr">
        <is>
          <t>No</t>
        </is>
      </c>
      <c r="B405" t="inlineStr">
        <is>
          <t>DC36.6 .D4613</t>
        </is>
      </c>
      <c r="C405" t="inlineStr">
        <is>
          <t>0                      DC 0036600D  4613</t>
        </is>
      </c>
      <c r="D405" t="inlineStr">
        <is>
          <t>Wise and foolish kings : the first house of Valois, 1328-1498 / Anne Denieul-Cormier.</t>
        </is>
      </c>
      <c r="F405" t="inlineStr">
        <is>
          <t>No</t>
        </is>
      </c>
      <c r="G405" t="inlineStr">
        <is>
          <t>1</t>
        </is>
      </c>
      <c r="H405" t="inlineStr">
        <is>
          <t>No</t>
        </is>
      </c>
      <c r="I405" t="inlineStr">
        <is>
          <t>No</t>
        </is>
      </c>
      <c r="J405" t="inlineStr">
        <is>
          <t>0</t>
        </is>
      </c>
      <c r="K405" t="inlineStr">
        <is>
          <t>Denieul-Cormier, Anne.</t>
        </is>
      </c>
      <c r="L405" t="inlineStr">
        <is>
          <t>Garden City, N.Y. : Doubleday, 1980.</t>
        </is>
      </c>
      <c r="M405" t="inlineStr">
        <is>
          <t>1980</t>
        </is>
      </c>
      <c r="N405" t="inlineStr">
        <is>
          <t>1st ed.</t>
        </is>
      </c>
      <c r="O405" t="inlineStr">
        <is>
          <t>eng</t>
        </is>
      </c>
      <c r="P405" t="inlineStr">
        <is>
          <t>nyu</t>
        </is>
      </c>
      <c r="R405" t="inlineStr">
        <is>
          <t xml:space="preserve">DC </t>
        </is>
      </c>
      <c r="S405" t="n">
        <v>1</v>
      </c>
      <c r="T405" t="n">
        <v>1</v>
      </c>
      <c r="U405" t="inlineStr">
        <is>
          <t>1994-02-01</t>
        </is>
      </c>
      <c r="V405" t="inlineStr">
        <is>
          <t>1994-02-01</t>
        </is>
      </c>
      <c r="W405" t="inlineStr">
        <is>
          <t>1990-11-27</t>
        </is>
      </c>
      <c r="X405" t="inlineStr">
        <is>
          <t>1990-11-27</t>
        </is>
      </c>
      <c r="Y405" t="n">
        <v>571</v>
      </c>
      <c r="Z405" t="n">
        <v>529</v>
      </c>
      <c r="AA405" t="n">
        <v>538</v>
      </c>
      <c r="AB405" t="n">
        <v>3</v>
      </c>
      <c r="AC405" t="n">
        <v>3</v>
      </c>
      <c r="AD405" t="n">
        <v>16</v>
      </c>
      <c r="AE405" t="n">
        <v>16</v>
      </c>
      <c r="AF405" t="n">
        <v>5</v>
      </c>
      <c r="AG405" t="n">
        <v>5</v>
      </c>
      <c r="AH405" t="n">
        <v>4</v>
      </c>
      <c r="AI405" t="n">
        <v>4</v>
      </c>
      <c r="AJ405" t="n">
        <v>9</v>
      </c>
      <c r="AK405" t="n">
        <v>9</v>
      </c>
      <c r="AL405" t="n">
        <v>2</v>
      </c>
      <c r="AM405" t="n">
        <v>2</v>
      </c>
      <c r="AN405" t="n">
        <v>0</v>
      </c>
      <c r="AO405" t="n">
        <v>0</v>
      </c>
      <c r="AP405" t="inlineStr">
        <is>
          <t>No</t>
        </is>
      </c>
      <c r="AQ405" t="inlineStr">
        <is>
          <t>Yes</t>
        </is>
      </c>
      <c r="AR405">
        <f>HYPERLINK("http://catalog.hathitrust.org/Record/000040950","HathiTrust Record")</f>
        <v/>
      </c>
      <c r="AS405">
        <f>HYPERLINK("https://creighton-primo.hosted.exlibrisgroup.com/primo-explore/search?tab=default_tab&amp;search_scope=EVERYTHING&amp;vid=01CRU&amp;lang=en_US&amp;offset=0&amp;query=any,contains,991004742069702656","Catalog Record")</f>
        <v/>
      </c>
      <c r="AT405">
        <f>HYPERLINK("http://www.worldcat.org/oclc/4884480","WorldCat Record")</f>
        <v/>
      </c>
      <c r="AU405" t="inlineStr">
        <is>
          <t>15079876:eng</t>
        </is>
      </c>
      <c r="AV405" t="inlineStr">
        <is>
          <t>4884480</t>
        </is>
      </c>
      <c r="AW405" t="inlineStr">
        <is>
          <t>991004742069702656</t>
        </is>
      </c>
      <c r="AX405" t="inlineStr">
        <is>
          <t>991004742069702656</t>
        </is>
      </c>
      <c r="AY405" t="inlineStr">
        <is>
          <t>2262277140002656</t>
        </is>
      </c>
      <c r="AZ405" t="inlineStr">
        <is>
          <t>BOOK</t>
        </is>
      </c>
      <c r="BB405" t="inlineStr">
        <is>
          <t>9780385049030</t>
        </is>
      </c>
      <c r="BC405" t="inlineStr">
        <is>
          <t>32285000393529</t>
        </is>
      </c>
      <c r="BD405" t="inlineStr">
        <is>
          <t>893532746</t>
        </is>
      </c>
    </row>
    <row r="406">
      <c r="A406" t="inlineStr">
        <is>
          <t>No</t>
        </is>
      </c>
      <c r="B406" t="inlineStr">
        <is>
          <t>DC36.8.B7 S54 2007</t>
        </is>
      </c>
      <c r="C406" t="inlineStr">
        <is>
          <t>0                      DC 0036800B  7                  S  54          2007</t>
        </is>
      </c>
      <c r="D406" t="inlineStr">
        <is>
          <t>The Bourbons : the history of a dynasty / J.H. Shennan.</t>
        </is>
      </c>
      <c r="F406" t="inlineStr">
        <is>
          <t>No</t>
        </is>
      </c>
      <c r="G406" t="inlineStr">
        <is>
          <t>1</t>
        </is>
      </c>
      <c r="H406" t="inlineStr">
        <is>
          <t>No</t>
        </is>
      </c>
      <c r="I406" t="inlineStr">
        <is>
          <t>No</t>
        </is>
      </c>
      <c r="J406" t="inlineStr">
        <is>
          <t>0</t>
        </is>
      </c>
      <c r="K406" t="inlineStr">
        <is>
          <t>Shennan, J. H.</t>
        </is>
      </c>
      <c r="L406" t="inlineStr">
        <is>
          <t>London : Hambledon Continuum, 2007.</t>
        </is>
      </c>
      <c r="M406" t="inlineStr">
        <is>
          <t>2007</t>
        </is>
      </c>
      <c r="O406" t="inlineStr">
        <is>
          <t>eng</t>
        </is>
      </c>
      <c r="P406" t="inlineStr">
        <is>
          <t>enk</t>
        </is>
      </c>
      <c r="Q406" t="inlineStr">
        <is>
          <t>Dynasties</t>
        </is>
      </c>
      <c r="R406" t="inlineStr">
        <is>
          <t xml:space="preserve">DC </t>
        </is>
      </c>
      <c r="S406" t="n">
        <v>3</v>
      </c>
      <c r="T406" t="n">
        <v>3</v>
      </c>
      <c r="U406" t="inlineStr">
        <is>
          <t>2008-12-01</t>
        </is>
      </c>
      <c r="V406" t="inlineStr">
        <is>
          <t>2008-12-01</t>
        </is>
      </c>
      <c r="W406" t="inlineStr">
        <is>
          <t>2008-08-13</t>
        </is>
      </c>
      <c r="X406" t="inlineStr">
        <is>
          <t>2008-08-13</t>
        </is>
      </c>
      <c r="Y406" t="n">
        <v>435</v>
      </c>
      <c r="Z406" t="n">
        <v>388</v>
      </c>
      <c r="AA406" t="n">
        <v>420</v>
      </c>
      <c r="AB406" t="n">
        <v>2</v>
      </c>
      <c r="AC406" t="n">
        <v>2</v>
      </c>
      <c r="AD406" t="n">
        <v>13</v>
      </c>
      <c r="AE406" t="n">
        <v>14</v>
      </c>
      <c r="AF406" t="n">
        <v>6</v>
      </c>
      <c r="AG406" t="n">
        <v>6</v>
      </c>
      <c r="AH406" t="n">
        <v>3</v>
      </c>
      <c r="AI406" t="n">
        <v>4</v>
      </c>
      <c r="AJ406" t="n">
        <v>7</v>
      </c>
      <c r="AK406" t="n">
        <v>8</v>
      </c>
      <c r="AL406" t="n">
        <v>1</v>
      </c>
      <c r="AM406" t="n">
        <v>1</v>
      </c>
      <c r="AN406" t="n">
        <v>0</v>
      </c>
      <c r="AO406" t="n">
        <v>0</v>
      </c>
      <c r="AP406" t="inlineStr">
        <is>
          <t>No</t>
        </is>
      </c>
      <c r="AQ406" t="inlineStr">
        <is>
          <t>Yes</t>
        </is>
      </c>
      <c r="AR406">
        <f>HYPERLINK("http://catalog.hathitrust.org/Record/005546234","HathiTrust Record")</f>
        <v/>
      </c>
      <c r="AS406">
        <f>HYPERLINK("https://creighton-primo.hosted.exlibrisgroup.com/primo-explore/search?tab=default_tab&amp;search_scope=EVERYTHING&amp;vid=01CRU&amp;lang=en_US&amp;offset=0&amp;query=any,contains,991005255989702656","Catalog Record")</f>
        <v/>
      </c>
      <c r="AT406">
        <f>HYPERLINK("http://www.worldcat.org/oclc/72868883","WorldCat Record")</f>
        <v/>
      </c>
      <c r="AU406" t="inlineStr">
        <is>
          <t>197424004:eng</t>
        </is>
      </c>
      <c r="AV406" t="inlineStr">
        <is>
          <t>72868883</t>
        </is>
      </c>
      <c r="AW406" t="inlineStr">
        <is>
          <t>991005255989702656</t>
        </is>
      </c>
      <c r="AX406" t="inlineStr">
        <is>
          <t>991005255989702656</t>
        </is>
      </c>
      <c r="AY406" t="inlineStr">
        <is>
          <t>2270119900002656</t>
        </is>
      </c>
      <c r="AZ406" t="inlineStr">
        <is>
          <t>BOOK</t>
        </is>
      </c>
      <c r="BB406" t="inlineStr">
        <is>
          <t>9781847252005</t>
        </is>
      </c>
      <c r="BC406" t="inlineStr">
        <is>
          <t>32285005453377</t>
        </is>
      </c>
      <c r="BD406" t="inlineStr">
        <is>
          <t>893789690</t>
        </is>
      </c>
    </row>
    <row r="407">
      <c r="A407" t="inlineStr">
        <is>
          <t>No</t>
        </is>
      </c>
      <c r="B407" t="inlineStr">
        <is>
          <t>DC36.9 .A64</t>
        </is>
      </c>
      <c r="C407" t="inlineStr">
        <is>
          <t>0                      DC 0036900A  64</t>
        </is>
      </c>
      <c r="D407" t="inlineStr">
        <is>
          <t>Seven French chroniclers : witnesses to history / Paul Archambault.</t>
        </is>
      </c>
      <c r="F407" t="inlineStr">
        <is>
          <t>No</t>
        </is>
      </c>
      <c r="G407" t="inlineStr">
        <is>
          <t>1</t>
        </is>
      </c>
      <c r="H407" t="inlineStr">
        <is>
          <t>No</t>
        </is>
      </c>
      <c r="I407" t="inlineStr">
        <is>
          <t>No</t>
        </is>
      </c>
      <c r="J407" t="inlineStr">
        <is>
          <t>0</t>
        </is>
      </c>
      <c r="K407" t="inlineStr">
        <is>
          <t>Archambault, Paul J., 1937-</t>
        </is>
      </c>
      <c r="L407" t="inlineStr">
        <is>
          <t>Syracuse, N.Y. : Syracuse University Press, 1974.</t>
        </is>
      </c>
      <c r="M407" t="inlineStr">
        <is>
          <t>1974</t>
        </is>
      </c>
      <c r="N407" t="inlineStr">
        <is>
          <t>1st ed.</t>
        </is>
      </c>
      <c r="O407" t="inlineStr">
        <is>
          <t>eng</t>
        </is>
      </c>
      <c r="P407" t="inlineStr">
        <is>
          <t>nyu</t>
        </is>
      </c>
      <c r="R407" t="inlineStr">
        <is>
          <t xml:space="preserve">DC </t>
        </is>
      </c>
      <c r="S407" t="n">
        <v>1</v>
      </c>
      <c r="T407" t="n">
        <v>1</v>
      </c>
      <c r="U407" t="inlineStr">
        <is>
          <t>1999-10-11</t>
        </is>
      </c>
      <c r="V407" t="inlineStr">
        <is>
          <t>1999-10-11</t>
        </is>
      </c>
      <c r="W407" t="inlineStr">
        <is>
          <t>1996-10-28</t>
        </is>
      </c>
      <c r="X407" t="inlineStr">
        <is>
          <t>1996-10-28</t>
        </is>
      </c>
      <c r="Y407" t="n">
        <v>744</v>
      </c>
      <c r="Z407" t="n">
        <v>641</v>
      </c>
      <c r="AA407" t="n">
        <v>648</v>
      </c>
      <c r="AB407" t="n">
        <v>7</v>
      </c>
      <c r="AC407" t="n">
        <v>7</v>
      </c>
      <c r="AD407" t="n">
        <v>32</v>
      </c>
      <c r="AE407" t="n">
        <v>32</v>
      </c>
      <c r="AF407" t="n">
        <v>7</v>
      </c>
      <c r="AG407" t="n">
        <v>7</v>
      </c>
      <c r="AH407" t="n">
        <v>8</v>
      </c>
      <c r="AI407" t="n">
        <v>8</v>
      </c>
      <c r="AJ407" t="n">
        <v>18</v>
      </c>
      <c r="AK407" t="n">
        <v>18</v>
      </c>
      <c r="AL407" t="n">
        <v>6</v>
      </c>
      <c r="AM407" t="n">
        <v>6</v>
      </c>
      <c r="AN407" t="n">
        <v>0</v>
      </c>
      <c r="AO407" t="n">
        <v>0</v>
      </c>
      <c r="AP407" t="inlineStr">
        <is>
          <t>No</t>
        </is>
      </c>
      <c r="AQ407" t="inlineStr">
        <is>
          <t>Yes</t>
        </is>
      </c>
      <c r="AR407">
        <f>HYPERLINK("http://catalog.hathitrust.org/Record/000454202","HathiTrust Record")</f>
        <v/>
      </c>
      <c r="AS407">
        <f>HYPERLINK("https://creighton-primo.hosted.exlibrisgroup.com/primo-explore/search?tab=default_tab&amp;search_scope=EVERYTHING&amp;vid=01CRU&amp;lang=en_US&amp;offset=0&amp;query=any,contains,991003274969702656","Catalog Record")</f>
        <v/>
      </c>
      <c r="AT407">
        <f>HYPERLINK("http://www.worldcat.org/oclc/799567","WorldCat Record")</f>
        <v/>
      </c>
      <c r="AU407" t="inlineStr">
        <is>
          <t>477507:eng</t>
        </is>
      </c>
      <c r="AV407" t="inlineStr">
        <is>
          <t>799567</t>
        </is>
      </c>
      <c r="AW407" t="inlineStr">
        <is>
          <t>991003274969702656</t>
        </is>
      </c>
      <c r="AX407" t="inlineStr">
        <is>
          <t>991003274969702656</t>
        </is>
      </c>
      <c r="AY407" t="inlineStr">
        <is>
          <t>2266896290002656</t>
        </is>
      </c>
      <c r="AZ407" t="inlineStr">
        <is>
          <t>BOOK</t>
        </is>
      </c>
      <c r="BB407" t="inlineStr">
        <is>
          <t>9780815600992</t>
        </is>
      </c>
      <c r="BC407" t="inlineStr">
        <is>
          <t>32285002378536</t>
        </is>
      </c>
      <c r="BD407" t="inlineStr">
        <is>
          <t>893711218</t>
        </is>
      </c>
    </row>
    <row r="408">
      <c r="A408" t="inlineStr">
        <is>
          <t>No</t>
        </is>
      </c>
      <c r="B408" t="inlineStr">
        <is>
          <t>DC36.9 .L37213 1981</t>
        </is>
      </c>
      <c r="C408" t="inlineStr">
        <is>
          <t>0                      DC 0036900L  37213       1981</t>
        </is>
      </c>
      <c r="D408" t="inlineStr">
        <is>
          <t>The mind and method of the historian / Emmanuel Le Roy Ladurie ; translated by Siân Reynolds and Ben Reynolds.</t>
        </is>
      </c>
      <c r="F408" t="inlineStr">
        <is>
          <t>No</t>
        </is>
      </c>
      <c r="G408" t="inlineStr">
        <is>
          <t>1</t>
        </is>
      </c>
      <c r="H408" t="inlineStr">
        <is>
          <t>No</t>
        </is>
      </c>
      <c r="I408" t="inlineStr">
        <is>
          <t>No</t>
        </is>
      </c>
      <c r="J408" t="inlineStr">
        <is>
          <t>0</t>
        </is>
      </c>
      <c r="K408" t="inlineStr">
        <is>
          <t>Le Roy Ladurie, Emmanuel.</t>
        </is>
      </c>
      <c r="L408" t="inlineStr">
        <is>
          <t>Chicago : University of Chicago Press, c1981.</t>
        </is>
      </c>
      <c r="M408" t="inlineStr">
        <is>
          <t>1981</t>
        </is>
      </c>
      <c r="O408" t="inlineStr">
        <is>
          <t>eng</t>
        </is>
      </c>
      <c r="P408" t="inlineStr">
        <is>
          <t>ilu</t>
        </is>
      </c>
      <c r="R408" t="inlineStr">
        <is>
          <t xml:space="preserve">DC </t>
        </is>
      </c>
      <c r="S408" t="n">
        <v>1</v>
      </c>
      <c r="T408" t="n">
        <v>1</v>
      </c>
      <c r="U408" t="inlineStr">
        <is>
          <t>2002-02-06</t>
        </is>
      </c>
      <c r="V408" t="inlineStr">
        <is>
          <t>2002-02-06</t>
        </is>
      </c>
      <c r="W408" t="inlineStr">
        <is>
          <t>1990-11-27</t>
        </is>
      </c>
      <c r="X408" t="inlineStr">
        <is>
          <t>1990-11-27</t>
        </is>
      </c>
      <c r="Y408" t="n">
        <v>750</v>
      </c>
      <c r="Z408" t="n">
        <v>663</v>
      </c>
      <c r="AA408" t="n">
        <v>699</v>
      </c>
      <c r="AB408" t="n">
        <v>5</v>
      </c>
      <c r="AC408" t="n">
        <v>5</v>
      </c>
      <c r="AD408" t="n">
        <v>37</v>
      </c>
      <c r="AE408" t="n">
        <v>37</v>
      </c>
      <c r="AF408" t="n">
        <v>15</v>
      </c>
      <c r="AG408" t="n">
        <v>15</v>
      </c>
      <c r="AH408" t="n">
        <v>9</v>
      </c>
      <c r="AI408" t="n">
        <v>9</v>
      </c>
      <c r="AJ408" t="n">
        <v>19</v>
      </c>
      <c r="AK408" t="n">
        <v>19</v>
      </c>
      <c r="AL408" t="n">
        <v>4</v>
      </c>
      <c r="AM408" t="n">
        <v>4</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HYPERLINK("https://creighton-primo.hosted.exlibrisgroup.com/primo-explore/search?tab=default_tab&amp;search_scope=EVERYTHING&amp;vid=01CRU&amp;lang=en_US&amp;offset=0&amp;query=any,contains,991005093079702656","Catalog Record")</f>
        <v/>
      </c>
      <c r="AT408">
        <f>HYPERLINK("http://www.worldcat.org/oclc/7249106","WorldCat Record")</f>
        <v/>
      </c>
      <c r="AU408" t="inlineStr">
        <is>
          <t>2908985315:eng</t>
        </is>
      </c>
      <c r="AV408" t="inlineStr">
        <is>
          <t>7249106</t>
        </is>
      </c>
      <c r="AW408" t="inlineStr">
        <is>
          <t>991005093079702656</t>
        </is>
      </c>
      <c r="AX408" t="inlineStr">
        <is>
          <t>991005093079702656</t>
        </is>
      </c>
      <c r="AY408" t="inlineStr">
        <is>
          <t>2266911180002656</t>
        </is>
      </c>
      <c r="AZ408" t="inlineStr">
        <is>
          <t>BOOK</t>
        </is>
      </c>
      <c r="BB408" t="inlineStr">
        <is>
          <t>9780226473260</t>
        </is>
      </c>
      <c r="BC408" t="inlineStr">
        <is>
          <t>32285000393560</t>
        </is>
      </c>
      <c r="BD408" t="inlineStr">
        <is>
          <t>893326141</t>
        </is>
      </c>
    </row>
    <row r="409">
      <c r="A409" t="inlineStr">
        <is>
          <t>No</t>
        </is>
      </c>
      <c r="B409" t="inlineStr">
        <is>
          <t>DC36.9 .R36 1974</t>
        </is>
      </c>
      <c r="C409" t="inlineStr">
        <is>
          <t>0                      DC 0036900R  36          1974</t>
        </is>
      </c>
      <c r="D409" t="inlineStr">
        <is>
          <t>Beyond the Enlightenment; historians and folklore in nineteenth century France.</t>
        </is>
      </c>
      <c r="F409" t="inlineStr">
        <is>
          <t>No</t>
        </is>
      </c>
      <c r="G409" t="inlineStr">
        <is>
          <t>1</t>
        </is>
      </c>
      <c r="H409" t="inlineStr">
        <is>
          <t>No</t>
        </is>
      </c>
      <c r="I409" t="inlineStr">
        <is>
          <t>No</t>
        </is>
      </c>
      <c r="J409" t="inlineStr">
        <is>
          <t>0</t>
        </is>
      </c>
      <c r="K409" t="inlineStr">
        <is>
          <t>Rearick, Charles, 1942-</t>
        </is>
      </c>
      <c r="L409" t="inlineStr">
        <is>
          <t>Bloomington, Indiana University Press [1974]</t>
        </is>
      </c>
      <c r="M409" t="inlineStr">
        <is>
          <t>1974</t>
        </is>
      </c>
      <c r="O409" t="inlineStr">
        <is>
          <t>eng</t>
        </is>
      </c>
      <c r="P409" t="inlineStr">
        <is>
          <t>inu</t>
        </is>
      </c>
      <c r="Q409" t="inlineStr">
        <is>
          <t>Indiana University publications. Folklore Institute monograph series, v. 27</t>
        </is>
      </c>
      <c r="R409" t="inlineStr">
        <is>
          <t xml:space="preserve">DC </t>
        </is>
      </c>
      <c r="S409" t="n">
        <v>1</v>
      </c>
      <c r="T409" t="n">
        <v>1</v>
      </c>
      <c r="U409" t="inlineStr">
        <is>
          <t>2007-04-01</t>
        </is>
      </c>
      <c r="V409" t="inlineStr">
        <is>
          <t>2007-04-01</t>
        </is>
      </c>
      <c r="W409" t="inlineStr">
        <is>
          <t>1996-10-28</t>
        </is>
      </c>
      <c r="X409" t="inlineStr">
        <is>
          <t>1996-10-28</t>
        </is>
      </c>
      <c r="Y409" t="n">
        <v>461</v>
      </c>
      <c r="Z409" t="n">
        <v>375</v>
      </c>
      <c r="AA409" t="n">
        <v>380</v>
      </c>
      <c r="AB409" t="n">
        <v>4</v>
      </c>
      <c r="AC409" t="n">
        <v>4</v>
      </c>
      <c r="AD409" t="n">
        <v>20</v>
      </c>
      <c r="AE409" t="n">
        <v>20</v>
      </c>
      <c r="AF409" t="n">
        <v>4</v>
      </c>
      <c r="AG409" t="n">
        <v>4</v>
      </c>
      <c r="AH409" t="n">
        <v>6</v>
      </c>
      <c r="AI409" t="n">
        <v>6</v>
      </c>
      <c r="AJ409" t="n">
        <v>12</v>
      </c>
      <c r="AK409" t="n">
        <v>12</v>
      </c>
      <c r="AL409" t="n">
        <v>3</v>
      </c>
      <c r="AM409" t="n">
        <v>3</v>
      </c>
      <c r="AN409" t="n">
        <v>0</v>
      </c>
      <c r="AO409" t="n">
        <v>0</v>
      </c>
      <c r="AP409" t="inlineStr">
        <is>
          <t>No</t>
        </is>
      </c>
      <c r="AQ409" t="inlineStr">
        <is>
          <t>Yes</t>
        </is>
      </c>
      <c r="AR409">
        <f>HYPERLINK("http://catalog.hathitrust.org/Record/006929795","HathiTrust Record")</f>
        <v/>
      </c>
      <c r="AS409">
        <f>HYPERLINK("https://creighton-primo.hosted.exlibrisgroup.com/primo-explore/search?tab=default_tab&amp;search_scope=EVERYTHING&amp;vid=01CRU&amp;lang=en_US&amp;offset=0&amp;query=any,contains,991003288299702656","Catalog Record")</f>
        <v/>
      </c>
      <c r="AT409">
        <f>HYPERLINK("http://www.worldcat.org/oclc/810302","WorldCat Record")</f>
        <v/>
      </c>
      <c r="AU409" t="inlineStr">
        <is>
          <t>890459348:eng</t>
        </is>
      </c>
      <c r="AV409" t="inlineStr">
        <is>
          <t>810302</t>
        </is>
      </c>
      <c r="AW409" t="inlineStr">
        <is>
          <t>991003288299702656</t>
        </is>
      </c>
      <c r="AX409" t="inlineStr">
        <is>
          <t>991003288299702656</t>
        </is>
      </c>
      <c r="AY409" t="inlineStr">
        <is>
          <t>2269005210002656</t>
        </is>
      </c>
      <c r="AZ409" t="inlineStr">
        <is>
          <t>BOOK</t>
        </is>
      </c>
      <c r="BB409" t="inlineStr">
        <is>
          <t>9780253311979</t>
        </is>
      </c>
      <c r="BC409" t="inlineStr">
        <is>
          <t>32285002378551</t>
        </is>
      </c>
      <c r="BD409" t="inlineStr">
        <is>
          <t>893499147</t>
        </is>
      </c>
    </row>
    <row r="410">
      <c r="A410" t="inlineStr">
        <is>
          <t>No</t>
        </is>
      </c>
      <c r="B410" t="inlineStr">
        <is>
          <t>DC36.9 .S76</t>
        </is>
      </c>
      <c r="C410" t="inlineStr">
        <is>
          <t>0                      DC 0036900S  76</t>
        </is>
      </c>
      <c r="D410" t="inlineStr">
        <is>
          <t>French historical method : the Annales paradigm / by Traian Stoianovich ; with a foreword by Fernand Braudel.</t>
        </is>
      </c>
      <c r="F410" t="inlineStr">
        <is>
          <t>No</t>
        </is>
      </c>
      <c r="G410" t="inlineStr">
        <is>
          <t>1</t>
        </is>
      </c>
      <c r="H410" t="inlineStr">
        <is>
          <t>No</t>
        </is>
      </c>
      <c r="I410" t="inlineStr">
        <is>
          <t>No</t>
        </is>
      </c>
      <c r="J410" t="inlineStr">
        <is>
          <t>0</t>
        </is>
      </c>
      <c r="K410" t="inlineStr">
        <is>
          <t>Stoianovich, Traian.</t>
        </is>
      </c>
      <c r="L410" t="inlineStr">
        <is>
          <t>Ithaca, N.Y. : Cornell University Press, 1976.</t>
        </is>
      </c>
      <c r="M410" t="inlineStr">
        <is>
          <t>1976</t>
        </is>
      </c>
      <c r="O410" t="inlineStr">
        <is>
          <t>eng</t>
        </is>
      </c>
      <c r="P410" t="inlineStr">
        <is>
          <t>nyu</t>
        </is>
      </c>
      <c r="R410" t="inlineStr">
        <is>
          <t xml:space="preserve">DC </t>
        </is>
      </c>
      <c r="S410" t="n">
        <v>2</v>
      </c>
      <c r="T410" t="n">
        <v>2</v>
      </c>
      <c r="U410" t="inlineStr">
        <is>
          <t>2004-09-21</t>
        </is>
      </c>
      <c r="V410" t="inlineStr">
        <is>
          <t>2004-09-21</t>
        </is>
      </c>
      <c r="W410" t="inlineStr">
        <is>
          <t>1996-10-28</t>
        </is>
      </c>
      <c r="X410" t="inlineStr">
        <is>
          <t>1996-10-28</t>
        </is>
      </c>
      <c r="Y410" t="n">
        <v>657</v>
      </c>
      <c r="Z410" t="n">
        <v>526</v>
      </c>
      <c r="AA410" t="n">
        <v>770</v>
      </c>
      <c r="AB410" t="n">
        <v>5</v>
      </c>
      <c r="AC410" t="n">
        <v>7</v>
      </c>
      <c r="AD410" t="n">
        <v>28</v>
      </c>
      <c r="AE410" t="n">
        <v>39</v>
      </c>
      <c r="AF410" t="n">
        <v>9</v>
      </c>
      <c r="AG410" t="n">
        <v>14</v>
      </c>
      <c r="AH410" t="n">
        <v>7</v>
      </c>
      <c r="AI410" t="n">
        <v>10</v>
      </c>
      <c r="AJ410" t="n">
        <v>16</v>
      </c>
      <c r="AK410" t="n">
        <v>20</v>
      </c>
      <c r="AL410" t="n">
        <v>4</v>
      </c>
      <c r="AM410" t="n">
        <v>6</v>
      </c>
      <c r="AN410" t="n">
        <v>0</v>
      </c>
      <c r="AO410" t="n">
        <v>0</v>
      </c>
      <c r="AP410" t="inlineStr">
        <is>
          <t>No</t>
        </is>
      </c>
      <c r="AQ410" t="inlineStr">
        <is>
          <t>Yes</t>
        </is>
      </c>
      <c r="AR410">
        <f>HYPERLINK("http://catalog.hathitrust.org/Record/000700414","HathiTrust Record")</f>
        <v/>
      </c>
      <c r="AS410">
        <f>HYPERLINK("https://creighton-primo.hosted.exlibrisgroup.com/primo-explore/search?tab=default_tab&amp;search_scope=EVERYTHING&amp;vid=01CRU&amp;lang=en_US&amp;offset=0&amp;query=any,contains,991004041199702656","Catalog Record")</f>
        <v/>
      </c>
      <c r="AT410">
        <f>HYPERLINK("http://www.worldcat.org/oclc/2188510","WorldCat Record")</f>
        <v/>
      </c>
      <c r="AU410" t="inlineStr">
        <is>
          <t>4272686:eng</t>
        </is>
      </c>
      <c r="AV410" t="inlineStr">
        <is>
          <t>2188510</t>
        </is>
      </c>
      <c r="AW410" t="inlineStr">
        <is>
          <t>991004041199702656</t>
        </is>
      </c>
      <c r="AX410" t="inlineStr">
        <is>
          <t>991004041199702656</t>
        </is>
      </c>
      <c r="AY410" t="inlineStr">
        <is>
          <t>2266624450002656</t>
        </is>
      </c>
      <c r="AZ410" t="inlineStr">
        <is>
          <t>BOOK</t>
        </is>
      </c>
      <c r="BB410" t="inlineStr">
        <is>
          <t>9780801408618</t>
        </is>
      </c>
      <c r="BC410" t="inlineStr">
        <is>
          <t>32285002378569</t>
        </is>
      </c>
      <c r="BD410" t="inlineStr">
        <is>
          <t>893349544</t>
        </is>
      </c>
    </row>
    <row r="411">
      <c r="A411" t="inlineStr">
        <is>
          <t>No</t>
        </is>
      </c>
      <c r="B411" t="inlineStr">
        <is>
          <t>DC36.98.M5 A3 1987</t>
        </is>
      </c>
      <c r="C411" t="inlineStr">
        <is>
          <t>0                      DC 0036980M  5                  A  3           1987</t>
        </is>
      </c>
      <c r="D411" t="inlineStr">
        <is>
          <t>Michelet / [edited by Roland Barthes] ; translated by Richard Howard.</t>
        </is>
      </c>
      <c r="F411" t="inlineStr">
        <is>
          <t>No</t>
        </is>
      </c>
      <c r="G411" t="inlineStr">
        <is>
          <t>1</t>
        </is>
      </c>
      <c r="H411" t="inlineStr">
        <is>
          <t>No</t>
        </is>
      </c>
      <c r="I411" t="inlineStr">
        <is>
          <t>No</t>
        </is>
      </c>
      <c r="J411" t="inlineStr">
        <is>
          <t>0</t>
        </is>
      </c>
      <c r="K411" t="inlineStr">
        <is>
          <t>Michelet, Jules, 1798-1874.</t>
        </is>
      </c>
      <c r="L411" t="inlineStr">
        <is>
          <t>New York : Hill and Wang, 1987.</t>
        </is>
      </c>
      <c r="M411" t="inlineStr">
        <is>
          <t>1987</t>
        </is>
      </c>
      <c r="N411" t="inlineStr">
        <is>
          <t>1st ed.</t>
        </is>
      </c>
      <c r="O411" t="inlineStr">
        <is>
          <t>eng</t>
        </is>
      </c>
      <c r="P411" t="inlineStr">
        <is>
          <t>nyu</t>
        </is>
      </c>
      <c r="R411" t="inlineStr">
        <is>
          <t xml:space="preserve">DC </t>
        </is>
      </c>
      <c r="S411" t="n">
        <v>2</v>
      </c>
      <c r="T411" t="n">
        <v>2</v>
      </c>
      <c r="U411" t="inlineStr">
        <is>
          <t>1998-10-26</t>
        </is>
      </c>
      <c r="V411" t="inlineStr">
        <is>
          <t>1998-10-26</t>
        </is>
      </c>
      <c r="W411" t="inlineStr">
        <is>
          <t>1990-11-27</t>
        </is>
      </c>
      <c r="X411" t="inlineStr">
        <is>
          <t>1990-11-27</t>
        </is>
      </c>
      <c r="Y411" t="n">
        <v>276</v>
      </c>
      <c r="Z411" t="n">
        <v>234</v>
      </c>
      <c r="AA411" t="n">
        <v>299</v>
      </c>
      <c r="AB411" t="n">
        <v>3</v>
      </c>
      <c r="AC411" t="n">
        <v>3</v>
      </c>
      <c r="AD411" t="n">
        <v>10</v>
      </c>
      <c r="AE411" t="n">
        <v>12</v>
      </c>
      <c r="AF411" t="n">
        <v>2</v>
      </c>
      <c r="AG411" t="n">
        <v>3</v>
      </c>
      <c r="AH411" t="n">
        <v>4</v>
      </c>
      <c r="AI411" t="n">
        <v>4</v>
      </c>
      <c r="AJ411" t="n">
        <v>4</v>
      </c>
      <c r="AK411" t="n">
        <v>6</v>
      </c>
      <c r="AL411" t="n">
        <v>2</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HYPERLINK("https://creighton-primo.hosted.exlibrisgroup.com/primo-explore/search?tab=default_tab&amp;search_scope=EVERYTHING&amp;vid=01CRU&amp;lang=en_US&amp;offset=0&amp;query=any,contains,991000938229702656","Catalog Record")</f>
        <v/>
      </c>
      <c r="AT411">
        <f>HYPERLINK("http://www.worldcat.org/oclc/14377762","WorldCat Record")</f>
        <v/>
      </c>
      <c r="AU411" t="inlineStr">
        <is>
          <t>4923331533:eng</t>
        </is>
      </c>
      <c r="AV411" t="inlineStr">
        <is>
          <t>14377762</t>
        </is>
      </c>
      <c r="AW411" t="inlineStr">
        <is>
          <t>991000938229702656</t>
        </is>
      </c>
      <c r="AX411" t="inlineStr">
        <is>
          <t>991000938229702656</t>
        </is>
      </c>
      <c r="AY411" t="inlineStr">
        <is>
          <t>2262235490002656</t>
        </is>
      </c>
      <c r="AZ411" t="inlineStr">
        <is>
          <t>BOOK</t>
        </is>
      </c>
      <c r="BB411" t="inlineStr">
        <is>
          <t>9780809069262</t>
        </is>
      </c>
      <c r="BC411" t="inlineStr">
        <is>
          <t>32285000393586</t>
        </is>
      </c>
      <c r="BD411" t="inlineStr">
        <is>
          <t>893715032</t>
        </is>
      </c>
    </row>
    <row r="412">
      <c r="A412" t="inlineStr">
        <is>
          <t>No</t>
        </is>
      </c>
      <c r="B412" t="inlineStr">
        <is>
          <t>DC36.98.M5 O77 1976</t>
        </is>
      </c>
      <c r="C412" t="inlineStr">
        <is>
          <t>0                      DC 0036980M  5                  O  77          1976</t>
        </is>
      </c>
      <c r="D412" t="inlineStr">
        <is>
          <t>Jules Michelet : nature, history, and language / Linda Orr.</t>
        </is>
      </c>
      <c r="F412" t="inlineStr">
        <is>
          <t>No</t>
        </is>
      </c>
      <c r="G412" t="inlineStr">
        <is>
          <t>1</t>
        </is>
      </c>
      <c r="H412" t="inlineStr">
        <is>
          <t>No</t>
        </is>
      </c>
      <c r="I412" t="inlineStr">
        <is>
          <t>No</t>
        </is>
      </c>
      <c r="J412" t="inlineStr">
        <is>
          <t>0</t>
        </is>
      </c>
      <c r="K412" t="inlineStr">
        <is>
          <t>Orr, Linda, 1943-</t>
        </is>
      </c>
      <c r="L412" t="inlineStr">
        <is>
          <t>Ithaca, N.Y. : Cornell University Press, 1976.</t>
        </is>
      </c>
      <c r="M412" t="inlineStr">
        <is>
          <t>1976</t>
        </is>
      </c>
      <c r="O412" t="inlineStr">
        <is>
          <t>eng</t>
        </is>
      </c>
      <c r="P412" t="inlineStr">
        <is>
          <t>nyu</t>
        </is>
      </c>
      <c r="R412" t="inlineStr">
        <is>
          <t xml:space="preserve">DC </t>
        </is>
      </c>
      <c r="S412" t="n">
        <v>4</v>
      </c>
      <c r="T412" t="n">
        <v>4</v>
      </c>
      <c r="U412" t="inlineStr">
        <is>
          <t>1998-10-26</t>
        </is>
      </c>
      <c r="V412" t="inlineStr">
        <is>
          <t>1998-10-26</t>
        </is>
      </c>
      <c r="W412" t="inlineStr">
        <is>
          <t>1990-07-26</t>
        </is>
      </c>
      <c r="X412" t="inlineStr">
        <is>
          <t>1990-07-26</t>
        </is>
      </c>
      <c r="Y412" t="n">
        <v>446</v>
      </c>
      <c r="Z412" t="n">
        <v>348</v>
      </c>
      <c r="AA412" t="n">
        <v>527</v>
      </c>
      <c r="AB412" t="n">
        <v>3</v>
      </c>
      <c r="AC412" t="n">
        <v>5</v>
      </c>
      <c r="AD412" t="n">
        <v>16</v>
      </c>
      <c r="AE412" t="n">
        <v>29</v>
      </c>
      <c r="AF412" t="n">
        <v>3</v>
      </c>
      <c r="AG412" t="n">
        <v>8</v>
      </c>
      <c r="AH412" t="n">
        <v>4</v>
      </c>
      <c r="AI412" t="n">
        <v>9</v>
      </c>
      <c r="AJ412" t="n">
        <v>10</v>
      </c>
      <c r="AK412" t="n">
        <v>14</v>
      </c>
      <c r="AL412" t="n">
        <v>2</v>
      </c>
      <c r="AM412" t="n">
        <v>4</v>
      </c>
      <c r="AN412" t="n">
        <v>0</v>
      </c>
      <c r="AO412" t="n">
        <v>0</v>
      </c>
      <c r="AP412" t="inlineStr">
        <is>
          <t>No</t>
        </is>
      </c>
      <c r="AQ412" t="inlineStr">
        <is>
          <t>Yes</t>
        </is>
      </c>
      <c r="AR412">
        <f>HYPERLINK("http://catalog.hathitrust.org/Record/000740064","HathiTrust Record")</f>
        <v/>
      </c>
      <c r="AS412">
        <f>HYPERLINK("https://creighton-primo.hosted.exlibrisgroup.com/primo-explore/search?tab=default_tab&amp;search_scope=EVERYTHING&amp;vid=01CRU&amp;lang=en_US&amp;offset=0&amp;query=any,contains,991004084339702656","Catalog Record")</f>
        <v/>
      </c>
      <c r="AT412">
        <f>HYPERLINK("http://www.worldcat.org/oclc/2331672","WorldCat Record")</f>
        <v/>
      </c>
      <c r="AU412" t="inlineStr">
        <is>
          <t>865140177:eng</t>
        </is>
      </c>
      <c r="AV412" t="inlineStr">
        <is>
          <t>2331672</t>
        </is>
      </c>
      <c r="AW412" t="inlineStr">
        <is>
          <t>991004084339702656</t>
        </is>
      </c>
      <c r="AX412" t="inlineStr">
        <is>
          <t>991004084339702656</t>
        </is>
      </c>
      <c r="AY412" t="inlineStr">
        <is>
          <t>2264258350002656</t>
        </is>
      </c>
      <c r="AZ412" t="inlineStr">
        <is>
          <t>BOOK</t>
        </is>
      </c>
      <c r="BB412" t="inlineStr">
        <is>
          <t>9780801409769</t>
        </is>
      </c>
      <c r="BC412" t="inlineStr">
        <is>
          <t>32285000248376</t>
        </is>
      </c>
      <c r="BD412" t="inlineStr">
        <is>
          <t>893605605</t>
        </is>
      </c>
    </row>
    <row r="413">
      <c r="A413" t="inlineStr">
        <is>
          <t>No</t>
        </is>
      </c>
      <c r="B413" t="inlineStr">
        <is>
          <t>DC36.98.T63 E77 2006</t>
        </is>
      </c>
      <c r="C413" t="inlineStr">
        <is>
          <t>0                      DC 0036980T  63                 E  77          2006</t>
        </is>
      </c>
      <c r="D413" t="inlineStr">
        <is>
          <t>Alexis de Tocqueville : democracy's guide / Joseph Epstein.</t>
        </is>
      </c>
      <c r="F413" t="inlineStr">
        <is>
          <t>No</t>
        </is>
      </c>
      <c r="G413" t="inlineStr">
        <is>
          <t>1</t>
        </is>
      </c>
      <c r="H413" t="inlineStr">
        <is>
          <t>No</t>
        </is>
      </c>
      <c r="I413" t="inlineStr">
        <is>
          <t>No</t>
        </is>
      </c>
      <c r="J413" t="inlineStr">
        <is>
          <t>0</t>
        </is>
      </c>
      <c r="K413" t="inlineStr">
        <is>
          <t>Epstein, Joseph, 1937-</t>
        </is>
      </c>
      <c r="L413" t="inlineStr">
        <is>
          <t>New York : HarperCollins/Atlas, c2006.</t>
        </is>
      </c>
      <c r="M413" t="inlineStr">
        <is>
          <t>2006</t>
        </is>
      </c>
      <c r="N413" t="inlineStr">
        <is>
          <t>1st ed.</t>
        </is>
      </c>
      <c r="O413" t="inlineStr">
        <is>
          <t>eng</t>
        </is>
      </c>
      <c r="P413" t="inlineStr">
        <is>
          <t>nyu</t>
        </is>
      </c>
      <c r="Q413" t="inlineStr">
        <is>
          <t>Eminent lives</t>
        </is>
      </c>
      <c r="R413" t="inlineStr">
        <is>
          <t xml:space="preserve">DC </t>
        </is>
      </c>
      <c r="S413" t="n">
        <v>1</v>
      </c>
      <c r="T413" t="n">
        <v>1</v>
      </c>
      <c r="U413" t="inlineStr">
        <is>
          <t>2006-11-21</t>
        </is>
      </c>
      <c r="V413" t="inlineStr">
        <is>
          <t>2006-11-21</t>
        </is>
      </c>
      <c r="W413" t="inlineStr">
        <is>
          <t>2006-11-21</t>
        </is>
      </c>
      <c r="X413" t="inlineStr">
        <is>
          <t>2006-11-21</t>
        </is>
      </c>
      <c r="Y413" t="n">
        <v>796</v>
      </c>
      <c r="Z413" t="n">
        <v>754</v>
      </c>
      <c r="AA413" t="n">
        <v>793</v>
      </c>
      <c r="AB413" t="n">
        <v>6</v>
      </c>
      <c r="AC413" t="n">
        <v>7</v>
      </c>
      <c r="AD413" t="n">
        <v>22</v>
      </c>
      <c r="AE413" t="n">
        <v>23</v>
      </c>
      <c r="AF413" t="n">
        <v>11</v>
      </c>
      <c r="AG413" t="n">
        <v>11</v>
      </c>
      <c r="AH413" t="n">
        <v>5</v>
      </c>
      <c r="AI413" t="n">
        <v>5</v>
      </c>
      <c r="AJ413" t="n">
        <v>10</v>
      </c>
      <c r="AK413" t="n">
        <v>10</v>
      </c>
      <c r="AL413" t="n">
        <v>3</v>
      </c>
      <c r="AM413" t="n">
        <v>4</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HYPERLINK("https://creighton-primo.hosted.exlibrisgroup.com/primo-explore/search?tab=default_tab&amp;search_scope=EVERYTHING&amp;vid=01CRU&amp;lang=en_US&amp;offset=0&amp;query=any,contains,991004960729702656","Catalog Record")</f>
        <v/>
      </c>
      <c r="AT413">
        <f>HYPERLINK("http://www.worldcat.org/oclc/71275634","WorldCat Record")</f>
        <v/>
      </c>
      <c r="AU413" t="inlineStr">
        <is>
          <t>796442214:eng</t>
        </is>
      </c>
      <c r="AV413" t="inlineStr">
        <is>
          <t>71275634</t>
        </is>
      </c>
      <c r="AW413" t="inlineStr">
        <is>
          <t>991004960729702656</t>
        </is>
      </c>
      <c r="AX413" t="inlineStr">
        <is>
          <t>991004960729702656</t>
        </is>
      </c>
      <c r="AY413" t="inlineStr">
        <is>
          <t>2270997090002656</t>
        </is>
      </c>
      <c r="AZ413" t="inlineStr">
        <is>
          <t>BOOK</t>
        </is>
      </c>
      <c r="BB413" t="inlineStr">
        <is>
          <t>9780060598983</t>
        </is>
      </c>
      <c r="BC413" t="inlineStr">
        <is>
          <t>32285005261457</t>
        </is>
      </c>
      <c r="BD413" t="inlineStr">
        <is>
          <t>893260371</t>
        </is>
      </c>
    </row>
    <row r="414">
      <c r="A414" t="inlineStr">
        <is>
          <t>No</t>
        </is>
      </c>
      <c r="B414" t="inlineStr">
        <is>
          <t>DC361 .P7</t>
        </is>
      </c>
      <c r="C414" t="inlineStr">
        <is>
          <t>0                      DC 0361000P  7</t>
        </is>
      </c>
      <c r="D414" t="inlineStr">
        <is>
          <t>Petite histoire de la France au XXe siècle / Antoine Prost.</t>
        </is>
      </c>
      <c r="F414" t="inlineStr">
        <is>
          <t>No</t>
        </is>
      </c>
      <c r="G414" t="inlineStr">
        <is>
          <t>1</t>
        </is>
      </c>
      <c r="H414" t="inlineStr">
        <is>
          <t>No</t>
        </is>
      </c>
      <c r="I414" t="inlineStr">
        <is>
          <t>No</t>
        </is>
      </c>
      <c r="J414" t="inlineStr">
        <is>
          <t>0</t>
        </is>
      </c>
      <c r="K414" t="inlineStr">
        <is>
          <t>Prost, Antoine, 1933-</t>
        </is>
      </c>
      <c r="L414" t="inlineStr">
        <is>
          <t>Paris : A. Colin, c1979.</t>
        </is>
      </c>
      <c r="M414" t="inlineStr">
        <is>
          <t>1979</t>
        </is>
      </c>
      <c r="O414" t="inlineStr">
        <is>
          <t>fre</t>
        </is>
      </c>
      <c r="P414" t="inlineStr">
        <is>
          <t xml:space="preserve">fr </t>
        </is>
      </c>
      <c r="Q414" t="inlineStr">
        <is>
          <t>Collection U</t>
        </is>
      </c>
      <c r="R414" t="inlineStr">
        <is>
          <t xml:space="preserve">DC </t>
        </is>
      </c>
      <c r="S414" t="n">
        <v>2</v>
      </c>
      <c r="T414" t="n">
        <v>2</v>
      </c>
      <c r="U414" t="inlineStr">
        <is>
          <t>2005-04-27</t>
        </is>
      </c>
      <c r="V414" t="inlineStr">
        <is>
          <t>2005-04-27</t>
        </is>
      </c>
      <c r="W414" t="inlineStr">
        <is>
          <t>1991-01-15</t>
        </is>
      </c>
      <c r="X414" t="inlineStr">
        <is>
          <t>1991-01-15</t>
        </is>
      </c>
      <c r="Y414" t="n">
        <v>145</v>
      </c>
      <c r="Z414" t="n">
        <v>86</v>
      </c>
      <c r="AA414" t="n">
        <v>141</v>
      </c>
      <c r="AB414" t="n">
        <v>1</v>
      </c>
      <c r="AC414" t="n">
        <v>1</v>
      </c>
      <c r="AD414" t="n">
        <v>7</v>
      </c>
      <c r="AE414" t="n">
        <v>7</v>
      </c>
      <c r="AF414" t="n">
        <v>1</v>
      </c>
      <c r="AG414" t="n">
        <v>1</v>
      </c>
      <c r="AH414" t="n">
        <v>1</v>
      </c>
      <c r="AI414" t="n">
        <v>1</v>
      </c>
      <c r="AJ414" t="n">
        <v>7</v>
      </c>
      <c r="AK414" t="n">
        <v>7</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HYPERLINK("https://creighton-primo.hosted.exlibrisgroup.com/primo-explore/search?tab=default_tab&amp;search_scope=EVERYTHING&amp;vid=01CRU&amp;lang=en_US&amp;offset=0&amp;query=any,contains,991005070369702656","Catalog Record")</f>
        <v/>
      </c>
      <c r="AT414">
        <f>HYPERLINK("http://www.worldcat.org/oclc/7008432","WorldCat Record")</f>
        <v/>
      </c>
      <c r="AU414" t="inlineStr">
        <is>
          <t>18438355:fre</t>
        </is>
      </c>
      <c r="AV414" t="inlineStr">
        <is>
          <t>7008432</t>
        </is>
      </c>
      <c r="AW414" t="inlineStr">
        <is>
          <t>991005070369702656</t>
        </is>
      </c>
      <c r="AX414" t="inlineStr">
        <is>
          <t>991005070369702656</t>
        </is>
      </c>
      <c r="AY414" t="inlineStr">
        <is>
          <t>2264792890002656</t>
        </is>
      </c>
      <c r="AZ414" t="inlineStr">
        <is>
          <t>BOOK</t>
        </is>
      </c>
      <c r="BC414" t="inlineStr">
        <is>
          <t>32285000455013</t>
        </is>
      </c>
      <c r="BD414" t="inlineStr">
        <is>
          <t>893619392</t>
        </is>
      </c>
    </row>
    <row r="415">
      <c r="A415" t="inlineStr">
        <is>
          <t>No</t>
        </is>
      </c>
      <c r="B415" t="inlineStr">
        <is>
          <t>DC363 .S53 2004</t>
        </is>
      </c>
      <c r="C415" t="inlineStr">
        <is>
          <t>0                      DC 0363000S  53          2004</t>
        </is>
      </c>
      <c r="D415" t="inlineStr">
        <is>
          <t>The moral disarmament of France : education, pacifism, and patriotism, 1914-1940 / Mona L. Siegel.</t>
        </is>
      </c>
      <c r="F415" t="inlineStr">
        <is>
          <t>No</t>
        </is>
      </c>
      <c r="G415" t="inlineStr">
        <is>
          <t>1</t>
        </is>
      </c>
      <c r="H415" t="inlineStr">
        <is>
          <t>No</t>
        </is>
      </c>
      <c r="I415" t="inlineStr">
        <is>
          <t>No</t>
        </is>
      </c>
      <c r="J415" t="inlineStr">
        <is>
          <t>0</t>
        </is>
      </c>
      <c r="K415" t="inlineStr">
        <is>
          <t>Siegel, Mona L.</t>
        </is>
      </c>
      <c r="L415" t="inlineStr">
        <is>
          <t>Cambridge , New York : Cambridge University Press, 2004.</t>
        </is>
      </c>
      <c r="M415" t="inlineStr">
        <is>
          <t>2004</t>
        </is>
      </c>
      <c r="O415" t="inlineStr">
        <is>
          <t>eng</t>
        </is>
      </c>
      <c r="P415" t="inlineStr">
        <is>
          <t>enk</t>
        </is>
      </c>
      <c r="Q415" t="inlineStr">
        <is>
          <t>Studies in the social and cultural history of modern warfare ; 18</t>
        </is>
      </c>
      <c r="R415" t="inlineStr">
        <is>
          <t xml:space="preserve">DC </t>
        </is>
      </c>
      <c r="S415" t="n">
        <v>1</v>
      </c>
      <c r="T415" t="n">
        <v>1</v>
      </c>
      <c r="U415" t="inlineStr">
        <is>
          <t>2006-04-14</t>
        </is>
      </c>
      <c r="V415" t="inlineStr">
        <is>
          <t>2006-04-14</t>
        </is>
      </c>
      <c r="W415" t="inlineStr">
        <is>
          <t>2006-04-14</t>
        </is>
      </c>
      <c r="X415" t="inlineStr">
        <is>
          <t>2006-04-14</t>
        </is>
      </c>
      <c r="Y415" t="n">
        <v>245</v>
      </c>
      <c r="Z415" t="n">
        <v>172</v>
      </c>
      <c r="AA415" t="n">
        <v>175</v>
      </c>
      <c r="AB415" t="n">
        <v>2</v>
      </c>
      <c r="AC415" t="n">
        <v>2</v>
      </c>
      <c r="AD415" t="n">
        <v>8</v>
      </c>
      <c r="AE415" t="n">
        <v>8</v>
      </c>
      <c r="AF415" t="n">
        <v>1</v>
      </c>
      <c r="AG415" t="n">
        <v>1</v>
      </c>
      <c r="AH415" t="n">
        <v>3</v>
      </c>
      <c r="AI415" t="n">
        <v>3</v>
      </c>
      <c r="AJ415" t="n">
        <v>6</v>
      </c>
      <c r="AK415" t="n">
        <v>6</v>
      </c>
      <c r="AL415" t="n">
        <v>1</v>
      </c>
      <c r="AM415" t="n">
        <v>1</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HYPERLINK("https://creighton-primo.hosted.exlibrisgroup.com/primo-explore/search?tab=default_tab&amp;search_scope=EVERYTHING&amp;vid=01CRU&amp;lang=en_US&amp;offset=0&amp;query=any,contains,991004789169702656","Catalog Record")</f>
        <v/>
      </c>
      <c r="AT415">
        <f>HYPERLINK("http://www.worldcat.org/oclc/55000603","WorldCat Record")</f>
        <v/>
      </c>
      <c r="AU415" t="inlineStr">
        <is>
          <t>815082883:eng</t>
        </is>
      </c>
      <c r="AV415" t="inlineStr">
        <is>
          <t>55000603</t>
        </is>
      </c>
      <c r="AW415" t="inlineStr">
        <is>
          <t>991004789169702656</t>
        </is>
      </c>
      <c r="AX415" t="inlineStr">
        <is>
          <t>991004789169702656</t>
        </is>
      </c>
      <c r="AY415" t="inlineStr">
        <is>
          <t>2262302040002656</t>
        </is>
      </c>
      <c r="AZ415" t="inlineStr">
        <is>
          <t>BOOK</t>
        </is>
      </c>
      <c r="BB415" t="inlineStr">
        <is>
          <t>9780521839006</t>
        </is>
      </c>
      <c r="BC415" t="inlineStr">
        <is>
          <t>32285005181994</t>
        </is>
      </c>
      <c r="BD415" t="inlineStr">
        <is>
          <t>893889286</t>
        </is>
      </c>
    </row>
    <row r="416">
      <c r="A416" t="inlineStr">
        <is>
          <t>No</t>
        </is>
      </c>
      <c r="B416" t="inlineStr">
        <is>
          <t>DC369 .J57 1992</t>
        </is>
      </c>
      <c r="C416" t="inlineStr">
        <is>
          <t>0                      DC 0369000J  57          1992</t>
        </is>
      </c>
      <c r="D416" t="inlineStr">
        <is>
          <t>The popular front and Central Europe : the dilemmas of French impotence, 1918-1940 / Nicole Jordan.</t>
        </is>
      </c>
      <c r="F416" t="inlineStr">
        <is>
          <t>No</t>
        </is>
      </c>
      <c r="G416" t="inlineStr">
        <is>
          <t>1</t>
        </is>
      </c>
      <c r="H416" t="inlineStr">
        <is>
          <t>No</t>
        </is>
      </c>
      <c r="I416" t="inlineStr">
        <is>
          <t>No</t>
        </is>
      </c>
      <c r="J416" t="inlineStr">
        <is>
          <t>0</t>
        </is>
      </c>
      <c r="K416" t="inlineStr">
        <is>
          <t>Jordan, Nicole.</t>
        </is>
      </c>
      <c r="L416" t="inlineStr">
        <is>
          <t>Cambridge [England] ; New York, NY, USA : Cambridge University Press, 1992.</t>
        </is>
      </c>
      <c r="M416" t="inlineStr">
        <is>
          <t>1992</t>
        </is>
      </c>
      <c r="O416" t="inlineStr">
        <is>
          <t>eng</t>
        </is>
      </c>
      <c r="P416" t="inlineStr">
        <is>
          <t>enk</t>
        </is>
      </c>
      <c r="R416" t="inlineStr">
        <is>
          <t xml:space="preserve">DC </t>
        </is>
      </c>
      <c r="S416" t="n">
        <v>3</v>
      </c>
      <c r="T416" t="n">
        <v>3</v>
      </c>
      <c r="U416" t="inlineStr">
        <is>
          <t>1994-12-01</t>
        </is>
      </c>
      <c r="V416" t="inlineStr">
        <is>
          <t>1994-12-01</t>
        </is>
      </c>
      <c r="W416" t="inlineStr">
        <is>
          <t>1992-10-08</t>
        </is>
      </c>
      <c r="X416" t="inlineStr">
        <is>
          <t>1992-10-08</t>
        </is>
      </c>
      <c r="Y416" t="n">
        <v>377</v>
      </c>
      <c r="Z416" t="n">
        <v>250</v>
      </c>
      <c r="AA416" t="n">
        <v>425</v>
      </c>
      <c r="AB416" t="n">
        <v>3</v>
      </c>
      <c r="AC416" t="n">
        <v>5</v>
      </c>
      <c r="AD416" t="n">
        <v>14</v>
      </c>
      <c r="AE416" t="n">
        <v>27</v>
      </c>
      <c r="AF416" t="n">
        <v>6</v>
      </c>
      <c r="AG416" t="n">
        <v>11</v>
      </c>
      <c r="AH416" t="n">
        <v>2</v>
      </c>
      <c r="AI416" t="n">
        <v>7</v>
      </c>
      <c r="AJ416" t="n">
        <v>9</v>
      </c>
      <c r="AK416" t="n">
        <v>13</v>
      </c>
      <c r="AL416" t="n">
        <v>2</v>
      </c>
      <c r="AM416" t="n">
        <v>4</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HYPERLINK("https://creighton-primo.hosted.exlibrisgroup.com/primo-explore/search?tab=default_tab&amp;search_scope=EVERYTHING&amp;vid=01CRU&amp;lang=en_US&amp;offset=0&amp;query=any,contains,991001853269702656","Catalog Record")</f>
        <v/>
      </c>
      <c r="AT416">
        <f>HYPERLINK("http://www.worldcat.org/oclc/23253971","WorldCat Record")</f>
        <v/>
      </c>
      <c r="AU416" t="inlineStr">
        <is>
          <t>198402025:eng</t>
        </is>
      </c>
      <c r="AV416" t="inlineStr">
        <is>
          <t>23253971</t>
        </is>
      </c>
      <c r="AW416" t="inlineStr">
        <is>
          <t>991001853269702656</t>
        </is>
      </c>
      <c r="AX416" t="inlineStr">
        <is>
          <t>991001853269702656</t>
        </is>
      </c>
      <c r="AY416" t="inlineStr">
        <is>
          <t>2266016340002656</t>
        </is>
      </c>
      <c r="AZ416" t="inlineStr">
        <is>
          <t>BOOK</t>
        </is>
      </c>
      <c r="BB416" t="inlineStr">
        <is>
          <t>9780521410779</t>
        </is>
      </c>
      <c r="BC416" t="inlineStr">
        <is>
          <t>32285001316396</t>
        </is>
      </c>
      <c r="BD416" t="inlineStr">
        <is>
          <t>893903602</t>
        </is>
      </c>
    </row>
    <row r="417">
      <c r="A417" t="inlineStr">
        <is>
          <t>No</t>
        </is>
      </c>
      <c r="B417" t="inlineStr">
        <is>
          <t>DC369 .M2</t>
        </is>
      </c>
      <c r="C417" t="inlineStr">
        <is>
          <t>0                      DC 0369000M  2</t>
        </is>
      </c>
      <c r="D417" t="inlineStr">
        <is>
          <t>France's Rhineland diplomacy, 1914-1924 : the last bid for a balance of power in Europe / Walter A. McDougall. --</t>
        </is>
      </c>
      <c r="F417" t="inlineStr">
        <is>
          <t>No</t>
        </is>
      </c>
      <c r="G417" t="inlineStr">
        <is>
          <t>1</t>
        </is>
      </c>
      <c r="H417" t="inlineStr">
        <is>
          <t>No</t>
        </is>
      </c>
      <c r="I417" t="inlineStr">
        <is>
          <t>No</t>
        </is>
      </c>
      <c r="J417" t="inlineStr">
        <is>
          <t>0</t>
        </is>
      </c>
      <c r="K417" t="inlineStr">
        <is>
          <t>McDougall, Walter A., 1946-</t>
        </is>
      </c>
      <c r="L417" t="inlineStr">
        <is>
          <t>Princeton, N.J. : Princeton University Press, c1978.</t>
        </is>
      </c>
      <c r="M417" t="inlineStr">
        <is>
          <t>1978</t>
        </is>
      </c>
      <c r="O417" t="inlineStr">
        <is>
          <t>eng</t>
        </is>
      </c>
      <c r="P417" t="inlineStr">
        <is>
          <t>nju</t>
        </is>
      </c>
      <c r="R417" t="inlineStr">
        <is>
          <t xml:space="preserve">DC </t>
        </is>
      </c>
      <c r="S417" t="n">
        <v>1</v>
      </c>
      <c r="T417" t="n">
        <v>1</v>
      </c>
      <c r="U417" t="inlineStr">
        <is>
          <t>1992-10-26</t>
        </is>
      </c>
      <c r="V417" t="inlineStr">
        <is>
          <t>1992-10-26</t>
        </is>
      </c>
      <c r="W417" t="inlineStr">
        <is>
          <t>1990-07-19</t>
        </is>
      </c>
      <c r="X417" t="inlineStr">
        <is>
          <t>1990-07-19</t>
        </is>
      </c>
      <c r="Y417" t="n">
        <v>638</v>
      </c>
      <c r="Z417" t="n">
        <v>487</v>
      </c>
      <c r="AA417" t="n">
        <v>685</v>
      </c>
      <c r="AB417" t="n">
        <v>4</v>
      </c>
      <c r="AC417" t="n">
        <v>6</v>
      </c>
      <c r="AD417" t="n">
        <v>25</v>
      </c>
      <c r="AE417" t="n">
        <v>33</v>
      </c>
      <c r="AF417" t="n">
        <v>8</v>
      </c>
      <c r="AG417" t="n">
        <v>15</v>
      </c>
      <c r="AH417" t="n">
        <v>7</v>
      </c>
      <c r="AI417" t="n">
        <v>8</v>
      </c>
      <c r="AJ417" t="n">
        <v>13</v>
      </c>
      <c r="AK417" t="n">
        <v>15</v>
      </c>
      <c r="AL417" t="n">
        <v>3</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HYPERLINK("https://creighton-primo.hosted.exlibrisgroup.com/primo-explore/search?tab=default_tab&amp;search_scope=EVERYTHING&amp;vid=01CRU&amp;lang=en_US&amp;offset=0&amp;query=any,contains,991004472969702656","Catalog Record")</f>
        <v/>
      </c>
      <c r="AT417">
        <f>HYPERLINK("http://www.worldcat.org/oclc/3607654","WorldCat Record")</f>
        <v/>
      </c>
      <c r="AU417" t="inlineStr">
        <is>
          <t>347781746:eng</t>
        </is>
      </c>
      <c r="AV417" t="inlineStr">
        <is>
          <t>3607654</t>
        </is>
      </c>
      <c r="AW417" t="inlineStr">
        <is>
          <t>991004472969702656</t>
        </is>
      </c>
      <c r="AX417" t="inlineStr">
        <is>
          <t>991004472969702656</t>
        </is>
      </c>
      <c r="AY417" t="inlineStr">
        <is>
          <t>2272375640002656</t>
        </is>
      </c>
      <c r="AZ417" t="inlineStr">
        <is>
          <t>BOOK</t>
        </is>
      </c>
      <c r="BB417" t="inlineStr">
        <is>
          <t>9780691052687</t>
        </is>
      </c>
      <c r="BC417" t="inlineStr">
        <is>
          <t>32285000239425</t>
        </is>
      </c>
      <c r="BD417" t="inlineStr">
        <is>
          <t>893718940</t>
        </is>
      </c>
    </row>
    <row r="418">
      <c r="A418" t="inlineStr">
        <is>
          <t>No</t>
        </is>
      </c>
      <c r="B418" t="inlineStr">
        <is>
          <t>DC373.B5 C6</t>
        </is>
      </c>
      <c r="C418" t="inlineStr">
        <is>
          <t>0                      DC 0373000B  5                  C  6</t>
        </is>
      </c>
      <c r="D418" t="inlineStr">
        <is>
          <t>Léon Blum, humanist in politics [by] Joel Colton.</t>
        </is>
      </c>
      <c r="F418" t="inlineStr">
        <is>
          <t>No</t>
        </is>
      </c>
      <c r="G418" t="inlineStr">
        <is>
          <t>1</t>
        </is>
      </c>
      <c r="H418" t="inlineStr">
        <is>
          <t>No</t>
        </is>
      </c>
      <c r="I418" t="inlineStr">
        <is>
          <t>No</t>
        </is>
      </c>
      <c r="J418" t="inlineStr">
        <is>
          <t>0</t>
        </is>
      </c>
      <c r="K418" t="inlineStr">
        <is>
          <t>Colton, Joel, 1918-2011.</t>
        </is>
      </c>
      <c r="L418" t="inlineStr">
        <is>
          <t>New York, Knopf, 1966.</t>
        </is>
      </c>
      <c r="M418" t="inlineStr">
        <is>
          <t>1966</t>
        </is>
      </c>
      <c r="N418" t="inlineStr">
        <is>
          <t>[1st ed.]</t>
        </is>
      </c>
      <c r="O418" t="inlineStr">
        <is>
          <t>eng</t>
        </is>
      </c>
      <c r="P418" t="inlineStr">
        <is>
          <t>nyu</t>
        </is>
      </c>
      <c r="R418" t="inlineStr">
        <is>
          <t xml:space="preserve">DC </t>
        </is>
      </c>
      <c r="S418" t="n">
        <v>0</v>
      </c>
      <c r="T418" t="n">
        <v>0</v>
      </c>
      <c r="U418" t="inlineStr">
        <is>
          <t>2006-06-13</t>
        </is>
      </c>
      <c r="V418" t="inlineStr">
        <is>
          <t>2006-06-13</t>
        </is>
      </c>
      <c r="W418" t="inlineStr">
        <is>
          <t>1996-11-20</t>
        </is>
      </c>
      <c r="X418" t="inlineStr">
        <is>
          <t>1996-11-20</t>
        </is>
      </c>
      <c r="Y418" t="n">
        <v>836</v>
      </c>
      <c r="Z418" t="n">
        <v>748</v>
      </c>
      <c r="AA418" t="n">
        <v>889</v>
      </c>
      <c r="AB418" t="n">
        <v>2</v>
      </c>
      <c r="AC418" t="n">
        <v>4</v>
      </c>
      <c r="AD418" t="n">
        <v>30</v>
      </c>
      <c r="AE418" t="n">
        <v>38</v>
      </c>
      <c r="AF418" t="n">
        <v>13</v>
      </c>
      <c r="AG418" t="n">
        <v>16</v>
      </c>
      <c r="AH418" t="n">
        <v>9</v>
      </c>
      <c r="AI418" t="n">
        <v>9</v>
      </c>
      <c r="AJ418" t="n">
        <v>16</v>
      </c>
      <c r="AK418" t="n">
        <v>21</v>
      </c>
      <c r="AL418" t="n">
        <v>1</v>
      </c>
      <c r="AM418" t="n">
        <v>3</v>
      </c>
      <c r="AN418" t="n">
        <v>0</v>
      </c>
      <c r="AO418" t="n">
        <v>0</v>
      </c>
      <c r="AP418" t="inlineStr">
        <is>
          <t>No</t>
        </is>
      </c>
      <c r="AQ418" t="inlineStr">
        <is>
          <t>Yes</t>
        </is>
      </c>
      <c r="AR418">
        <f>HYPERLINK("http://catalog.hathitrust.org/Record/000343350","HathiTrust Record")</f>
        <v/>
      </c>
      <c r="AS418">
        <f>HYPERLINK("https://creighton-primo.hosted.exlibrisgroup.com/primo-explore/search?tab=default_tab&amp;search_scope=EVERYTHING&amp;vid=01CRU&amp;lang=en_US&amp;offset=0&amp;query=any,contains,991002096739702656","Catalog Record")</f>
        <v/>
      </c>
      <c r="AT418">
        <f>HYPERLINK("http://www.worldcat.org/oclc/265833","WorldCat Record")</f>
        <v/>
      </c>
      <c r="AU418" t="inlineStr">
        <is>
          <t>505956:eng</t>
        </is>
      </c>
      <c r="AV418" t="inlineStr">
        <is>
          <t>265833</t>
        </is>
      </c>
      <c r="AW418" t="inlineStr">
        <is>
          <t>991002096739702656</t>
        </is>
      </c>
      <c r="AX418" t="inlineStr">
        <is>
          <t>991002096739702656</t>
        </is>
      </c>
      <c r="AY418" t="inlineStr">
        <is>
          <t>2267753220002656</t>
        </is>
      </c>
      <c r="AZ418" t="inlineStr">
        <is>
          <t>BOOK</t>
        </is>
      </c>
      <c r="BC418" t="inlineStr">
        <is>
          <t>32285002380029</t>
        </is>
      </c>
      <c r="BD418" t="inlineStr">
        <is>
          <t>893798173</t>
        </is>
      </c>
    </row>
    <row r="419">
      <c r="A419" t="inlineStr">
        <is>
          <t>No</t>
        </is>
      </c>
      <c r="B419" t="inlineStr">
        <is>
          <t>DC373.D354 C35 2006</t>
        </is>
      </c>
      <c r="C419" t="inlineStr">
        <is>
          <t>0                      DC 0373000D  354                C  35          2006</t>
        </is>
      </c>
      <c r="D419" t="inlineStr">
        <is>
          <t>Bad faith : a forgotten history of family, fatherland and Vichy France / Carmen Callil.</t>
        </is>
      </c>
      <c r="F419" t="inlineStr">
        <is>
          <t>No</t>
        </is>
      </c>
      <c r="G419" t="inlineStr">
        <is>
          <t>1</t>
        </is>
      </c>
      <c r="H419" t="inlineStr">
        <is>
          <t>No</t>
        </is>
      </c>
      <c r="I419" t="inlineStr">
        <is>
          <t>No</t>
        </is>
      </c>
      <c r="J419" t="inlineStr">
        <is>
          <t>0</t>
        </is>
      </c>
      <c r="K419" t="inlineStr">
        <is>
          <t>Callil, Carmen.</t>
        </is>
      </c>
      <c r="L419" t="inlineStr">
        <is>
          <t>New York : Alfred A. Knopf, 2006.</t>
        </is>
      </c>
      <c r="M419" t="inlineStr">
        <is>
          <t>2006</t>
        </is>
      </c>
      <c r="N419" t="inlineStr">
        <is>
          <t>1st American ed.</t>
        </is>
      </c>
      <c r="O419" t="inlineStr">
        <is>
          <t>eng</t>
        </is>
      </c>
      <c r="P419" t="inlineStr">
        <is>
          <t>nyu</t>
        </is>
      </c>
      <c r="R419" t="inlineStr">
        <is>
          <t xml:space="preserve">DC </t>
        </is>
      </c>
      <c r="S419" t="n">
        <v>1</v>
      </c>
      <c r="T419" t="n">
        <v>1</v>
      </c>
      <c r="U419" t="inlineStr">
        <is>
          <t>2006-09-26</t>
        </is>
      </c>
      <c r="V419" t="inlineStr">
        <is>
          <t>2006-09-26</t>
        </is>
      </c>
      <c r="W419" t="inlineStr">
        <is>
          <t>2006-09-26</t>
        </is>
      </c>
      <c r="X419" t="inlineStr">
        <is>
          <t>2006-09-26</t>
        </is>
      </c>
      <c r="Y419" t="n">
        <v>568</v>
      </c>
      <c r="Z419" t="n">
        <v>524</v>
      </c>
      <c r="AA419" t="n">
        <v>551</v>
      </c>
      <c r="AB419" t="n">
        <v>5</v>
      </c>
      <c r="AC419" t="n">
        <v>5</v>
      </c>
      <c r="AD419" t="n">
        <v>17</v>
      </c>
      <c r="AE419" t="n">
        <v>18</v>
      </c>
      <c r="AF419" t="n">
        <v>6</v>
      </c>
      <c r="AG419" t="n">
        <v>6</v>
      </c>
      <c r="AH419" t="n">
        <v>3</v>
      </c>
      <c r="AI419" t="n">
        <v>4</v>
      </c>
      <c r="AJ419" t="n">
        <v>8</v>
      </c>
      <c r="AK419" t="n">
        <v>9</v>
      </c>
      <c r="AL419" t="n">
        <v>4</v>
      </c>
      <c r="AM419" t="n">
        <v>4</v>
      </c>
      <c r="AN419" t="n">
        <v>0</v>
      </c>
      <c r="AO419" t="n">
        <v>0</v>
      </c>
      <c r="AP419" t="inlineStr">
        <is>
          <t>No</t>
        </is>
      </c>
      <c r="AQ419" t="inlineStr">
        <is>
          <t>Yes</t>
        </is>
      </c>
      <c r="AR419">
        <f>HYPERLINK("http://catalog.hathitrust.org/Record/005221187","HathiTrust Record")</f>
        <v/>
      </c>
      <c r="AS419">
        <f>HYPERLINK("https://creighton-primo.hosted.exlibrisgroup.com/primo-explore/search?tab=default_tab&amp;search_scope=EVERYTHING&amp;vid=01CRU&amp;lang=en_US&amp;offset=0&amp;query=any,contains,991004905259702656","Catalog Record")</f>
        <v/>
      </c>
      <c r="AT419">
        <f>HYPERLINK("http://www.worldcat.org/oclc/64511156","WorldCat Record")</f>
        <v/>
      </c>
      <c r="AU419" t="inlineStr">
        <is>
          <t>4451767133:eng</t>
        </is>
      </c>
      <c r="AV419" t="inlineStr">
        <is>
          <t>64511156</t>
        </is>
      </c>
      <c r="AW419" t="inlineStr">
        <is>
          <t>991004905259702656</t>
        </is>
      </c>
      <c r="AX419" t="inlineStr">
        <is>
          <t>991004905259702656</t>
        </is>
      </c>
      <c r="AY419" t="inlineStr">
        <is>
          <t>2255610000002656</t>
        </is>
      </c>
      <c r="AZ419" t="inlineStr">
        <is>
          <t>BOOK</t>
        </is>
      </c>
      <c r="BB419" t="inlineStr">
        <is>
          <t>9780375411311</t>
        </is>
      </c>
      <c r="BC419" t="inlineStr">
        <is>
          <t>32285005225320</t>
        </is>
      </c>
      <c r="BD419" t="inlineStr">
        <is>
          <t>893344387</t>
        </is>
      </c>
    </row>
    <row r="420">
      <c r="A420" t="inlineStr">
        <is>
          <t>No</t>
        </is>
      </c>
      <c r="B420" t="inlineStr">
        <is>
          <t>DC373.G3 D47</t>
        </is>
      </c>
      <c r="C420" t="inlineStr">
        <is>
          <t>0                      DC 0373000G  3                  D  47</t>
        </is>
      </c>
      <c r="D420" t="inlineStr">
        <is>
          <t>De Gaulle's foreign policy, 1944-1946 / [by] A. W. DePorte.</t>
        </is>
      </c>
      <c r="F420" t="inlineStr">
        <is>
          <t>No</t>
        </is>
      </c>
      <c r="G420" t="inlineStr">
        <is>
          <t>1</t>
        </is>
      </c>
      <c r="H420" t="inlineStr">
        <is>
          <t>No</t>
        </is>
      </c>
      <c r="I420" t="inlineStr">
        <is>
          <t>No</t>
        </is>
      </c>
      <c r="J420" t="inlineStr">
        <is>
          <t>0</t>
        </is>
      </c>
      <c r="K420" t="inlineStr">
        <is>
          <t>DePorte, A. W. (Anton W.), 1928-</t>
        </is>
      </c>
      <c r="L420" t="inlineStr">
        <is>
          <t>Cambridge : Harvard University Press, 1968 [i.e. 1967]</t>
        </is>
      </c>
      <c r="M420" t="inlineStr">
        <is>
          <t>1967</t>
        </is>
      </c>
      <c r="O420" t="inlineStr">
        <is>
          <t>eng</t>
        </is>
      </c>
      <c r="P420" t="inlineStr">
        <is>
          <t>mau</t>
        </is>
      </c>
      <c r="R420" t="inlineStr">
        <is>
          <t xml:space="preserve">DC </t>
        </is>
      </c>
      <c r="S420" t="n">
        <v>2</v>
      </c>
      <c r="T420" t="n">
        <v>2</v>
      </c>
      <c r="U420" t="inlineStr">
        <is>
          <t>1993-04-18</t>
        </is>
      </c>
      <c r="V420" t="inlineStr">
        <is>
          <t>1993-04-18</t>
        </is>
      </c>
      <c r="W420" t="inlineStr">
        <is>
          <t>1991-09-11</t>
        </is>
      </c>
      <c r="X420" t="inlineStr">
        <is>
          <t>1991-09-11</t>
        </is>
      </c>
      <c r="Y420" t="n">
        <v>749</v>
      </c>
      <c r="Z420" t="n">
        <v>638</v>
      </c>
      <c r="AA420" t="n">
        <v>649</v>
      </c>
      <c r="AB420" t="n">
        <v>7</v>
      </c>
      <c r="AC420" t="n">
        <v>7</v>
      </c>
      <c r="AD420" t="n">
        <v>38</v>
      </c>
      <c r="AE420" t="n">
        <v>38</v>
      </c>
      <c r="AF420" t="n">
        <v>15</v>
      </c>
      <c r="AG420" t="n">
        <v>15</v>
      </c>
      <c r="AH420" t="n">
        <v>9</v>
      </c>
      <c r="AI420" t="n">
        <v>9</v>
      </c>
      <c r="AJ420" t="n">
        <v>17</v>
      </c>
      <c r="AK420" t="n">
        <v>17</v>
      </c>
      <c r="AL420" t="n">
        <v>6</v>
      </c>
      <c r="AM420" t="n">
        <v>6</v>
      </c>
      <c r="AN420" t="n">
        <v>0</v>
      </c>
      <c r="AO420" t="n">
        <v>0</v>
      </c>
      <c r="AP420" t="inlineStr">
        <is>
          <t>No</t>
        </is>
      </c>
      <c r="AQ420" t="inlineStr">
        <is>
          <t>Yes</t>
        </is>
      </c>
      <c r="AR420">
        <f>HYPERLINK("http://catalog.hathitrust.org/Record/000649642","HathiTrust Record")</f>
        <v/>
      </c>
      <c r="AS420">
        <f>HYPERLINK("https://creighton-primo.hosted.exlibrisgroup.com/primo-explore/search?tab=default_tab&amp;search_scope=EVERYTHING&amp;vid=01CRU&amp;lang=en_US&amp;offset=0&amp;query=any,contains,991002690169702656","Catalog Record")</f>
        <v/>
      </c>
      <c r="AT420">
        <f>HYPERLINK("http://www.worldcat.org/oclc/401355","WorldCat Record")</f>
        <v/>
      </c>
      <c r="AU420" t="inlineStr">
        <is>
          <t>350108242:eng</t>
        </is>
      </c>
      <c r="AV420" t="inlineStr">
        <is>
          <t>401355</t>
        </is>
      </c>
      <c r="AW420" t="inlineStr">
        <is>
          <t>991002690169702656</t>
        </is>
      </c>
      <c r="AX420" t="inlineStr">
        <is>
          <t>991002690169702656</t>
        </is>
      </c>
      <c r="AY420" t="inlineStr">
        <is>
          <t>2268095450002656</t>
        </is>
      </c>
      <c r="AZ420" t="inlineStr">
        <is>
          <t>BOOK</t>
        </is>
      </c>
      <c r="BC420" t="inlineStr">
        <is>
          <t>32285000737501</t>
        </is>
      </c>
      <c r="BD420" t="inlineStr">
        <is>
          <t>893798884</t>
        </is>
      </c>
    </row>
    <row r="421">
      <c r="A421" t="inlineStr">
        <is>
          <t>No</t>
        </is>
      </c>
      <c r="B421" t="inlineStr">
        <is>
          <t>DC373.G3 F8</t>
        </is>
      </c>
      <c r="C421" t="inlineStr">
        <is>
          <t>0                      DC 0373000G  3                  F  8</t>
        </is>
      </c>
      <c r="D421" t="inlineStr">
        <is>
          <t>Charles de Gaulle : the crucial years, 1943-1944.</t>
        </is>
      </c>
      <c r="F421" t="inlineStr">
        <is>
          <t>No</t>
        </is>
      </c>
      <c r="G421" t="inlineStr">
        <is>
          <t>1</t>
        </is>
      </c>
      <c r="H421" t="inlineStr">
        <is>
          <t>No</t>
        </is>
      </c>
      <c r="I421" t="inlineStr">
        <is>
          <t>No</t>
        </is>
      </c>
      <c r="J421" t="inlineStr">
        <is>
          <t>0</t>
        </is>
      </c>
      <c r="K421" t="inlineStr">
        <is>
          <t>Funk, Arthur Layton, 1914-2007.</t>
        </is>
      </c>
      <c r="L421" t="inlineStr">
        <is>
          <t>Norman : University of Oklahoma Press, [1959]</t>
        </is>
      </c>
      <c r="M421" t="inlineStr">
        <is>
          <t>1959</t>
        </is>
      </c>
      <c r="N421" t="inlineStr">
        <is>
          <t>[1st ed.]</t>
        </is>
      </c>
      <c r="O421" t="inlineStr">
        <is>
          <t>eng</t>
        </is>
      </c>
      <c r="P421" t="inlineStr">
        <is>
          <t>oku</t>
        </is>
      </c>
      <c r="R421" t="inlineStr">
        <is>
          <t xml:space="preserve">DC </t>
        </is>
      </c>
      <c r="S421" t="n">
        <v>3</v>
      </c>
      <c r="T421" t="n">
        <v>3</v>
      </c>
      <c r="U421" t="inlineStr">
        <is>
          <t>1995-09-12</t>
        </is>
      </c>
      <c r="V421" t="inlineStr">
        <is>
          <t>1995-09-12</t>
        </is>
      </c>
      <c r="W421" t="inlineStr">
        <is>
          <t>1992-04-22</t>
        </is>
      </c>
      <c r="X421" t="inlineStr">
        <is>
          <t>1992-04-22</t>
        </is>
      </c>
      <c r="Y421" t="n">
        <v>697</v>
      </c>
      <c r="Z421" t="n">
        <v>622</v>
      </c>
      <c r="AA421" t="n">
        <v>649</v>
      </c>
      <c r="AB421" t="n">
        <v>5</v>
      </c>
      <c r="AC421" t="n">
        <v>5</v>
      </c>
      <c r="AD421" t="n">
        <v>28</v>
      </c>
      <c r="AE421" t="n">
        <v>28</v>
      </c>
      <c r="AF421" t="n">
        <v>12</v>
      </c>
      <c r="AG421" t="n">
        <v>12</v>
      </c>
      <c r="AH421" t="n">
        <v>8</v>
      </c>
      <c r="AI421" t="n">
        <v>8</v>
      </c>
      <c r="AJ421" t="n">
        <v>12</v>
      </c>
      <c r="AK421" t="n">
        <v>12</v>
      </c>
      <c r="AL421" t="n">
        <v>4</v>
      </c>
      <c r="AM421" t="n">
        <v>4</v>
      </c>
      <c r="AN421" t="n">
        <v>0</v>
      </c>
      <c r="AO421" t="n">
        <v>0</v>
      </c>
      <c r="AP421" t="inlineStr">
        <is>
          <t>No</t>
        </is>
      </c>
      <c r="AQ421" t="inlineStr">
        <is>
          <t>Yes</t>
        </is>
      </c>
      <c r="AR421">
        <f>HYPERLINK("http://catalog.hathitrust.org/Record/000341531","HathiTrust Record")</f>
        <v/>
      </c>
      <c r="AS421">
        <f>HYPERLINK("https://creighton-primo.hosted.exlibrisgroup.com/primo-explore/search?tab=default_tab&amp;search_scope=EVERYTHING&amp;vid=01CRU&amp;lang=en_US&amp;offset=0&amp;query=any,contains,991002690199702656","Catalog Record")</f>
        <v/>
      </c>
      <c r="AT421">
        <f>HYPERLINK("http://www.worldcat.org/oclc/401362","WorldCat Record")</f>
        <v/>
      </c>
      <c r="AU421" t="inlineStr">
        <is>
          <t>1417262:eng</t>
        </is>
      </c>
      <c r="AV421" t="inlineStr">
        <is>
          <t>401362</t>
        </is>
      </c>
      <c r="AW421" t="inlineStr">
        <is>
          <t>991002690199702656</t>
        </is>
      </c>
      <c r="AX421" t="inlineStr">
        <is>
          <t>991002690199702656</t>
        </is>
      </c>
      <c r="AY421" t="inlineStr">
        <is>
          <t>2268098380002656</t>
        </is>
      </c>
      <c r="AZ421" t="inlineStr">
        <is>
          <t>BOOK</t>
        </is>
      </c>
      <c r="BC421" t="inlineStr">
        <is>
          <t>32285001085926</t>
        </is>
      </c>
      <c r="BD421" t="inlineStr">
        <is>
          <t>893239367</t>
        </is>
      </c>
    </row>
    <row r="422">
      <c r="A422" t="inlineStr">
        <is>
          <t>No</t>
        </is>
      </c>
      <c r="B422" t="inlineStr">
        <is>
          <t>DC38 .G85</t>
        </is>
      </c>
      <c r="C422" t="inlineStr">
        <is>
          <t>0                      DC 0038000G  85</t>
        </is>
      </c>
      <c r="D422" t="inlineStr">
        <is>
          <t>France; a modern history.</t>
        </is>
      </c>
      <c r="F422" t="inlineStr">
        <is>
          <t>No</t>
        </is>
      </c>
      <c r="G422" t="inlineStr">
        <is>
          <t>1</t>
        </is>
      </c>
      <c r="H422" t="inlineStr">
        <is>
          <t>No</t>
        </is>
      </c>
      <c r="I422" t="inlineStr">
        <is>
          <t>No</t>
        </is>
      </c>
      <c r="J422" t="inlineStr">
        <is>
          <t>0</t>
        </is>
      </c>
      <c r="K422" t="inlineStr">
        <is>
          <t>Guérard, Albert Léon, 1880-1959.</t>
        </is>
      </c>
      <c r="L422" t="inlineStr">
        <is>
          <t>Ann Arbor, University of Michigan Press [1959]</t>
        </is>
      </c>
      <c r="M422" t="inlineStr">
        <is>
          <t>1959</t>
        </is>
      </c>
      <c r="O422" t="inlineStr">
        <is>
          <t>eng</t>
        </is>
      </c>
      <c r="P422" t="inlineStr">
        <is>
          <t>miu</t>
        </is>
      </c>
      <c r="Q422" t="inlineStr">
        <is>
          <t>The University of Michigan history of the modern world</t>
        </is>
      </c>
      <c r="R422" t="inlineStr">
        <is>
          <t xml:space="preserve">DC </t>
        </is>
      </c>
      <c r="S422" t="n">
        <v>2</v>
      </c>
      <c r="T422" t="n">
        <v>2</v>
      </c>
      <c r="U422" t="inlineStr">
        <is>
          <t>1997-11-01</t>
        </is>
      </c>
      <c r="V422" t="inlineStr">
        <is>
          <t>1997-11-01</t>
        </is>
      </c>
      <c r="W422" t="inlineStr">
        <is>
          <t>1996-10-28</t>
        </is>
      </c>
      <c r="X422" t="inlineStr">
        <is>
          <t>1996-10-28</t>
        </is>
      </c>
      <c r="Y422" t="n">
        <v>1431</v>
      </c>
      <c r="Z422" t="n">
        <v>1297</v>
      </c>
      <c r="AA422" t="n">
        <v>1764</v>
      </c>
      <c r="AB422" t="n">
        <v>8</v>
      </c>
      <c r="AC422" t="n">
        <v>14</v>
      </c>
      <c r="AD422" t="n">
        <v>35</v>
      </c>
      <c r="AE422" t="n">
        <v>48</v>
      </c>
      <c r="AF422" t="n">
        <v>17</v>
      </c>
      <c r="AG422" t="n">
        <v>19</v>
      </c>
      <c r="AH422" t="n">
        <v>8</v>
      </c>
      <c r="AI422" t="n">
        <v>10</v>
      </c>
      <c r="AJ422" t="n">
        <v>14</v>
      </c>
      <c r="AK422" t="n">
        <v>20</v>
      </c>
      <c r="AL422" t="n">
        <v>4</v>
      </c>
      <c r="AM422" t="n">
        <v>9</v>
      </c>
      <c r="AN422" t="n">
        <v>0</v>
      </c>
      <c r="AO422" t="n">
        <v>0</v>
      </c>
      <c r="AP422" t="inlineStr">
        <is>
          <t>No</t>
        </is>
      </c>
      <c r="AQ422" t="inlineStr">
        <is>
          <t>Yes</t>
        </is>
      </c>
      <c r="AR422">
        <f>HYPERLINK("http://catalog.hathitrust.org/Record/000452717","HathiTrust Record")</f>
        <v/>
      </c>
      <c r="AS422">
        <f>HYPERLINK("https://creighton-primo.hosted.exlibrisgroup.com/primo-explore/search?tab=default_tab&amp;search_scope=EVERYTHING&amp;vid=01CRU&amp;lang=en_US&amp;offset=0&amp;query=any,contains,991002691869702656","Catalog Record")</f>
        <v/>
      </c>
      <c r="AT422">
        <f>HYPERLINK("http://www.worldcat.org/oclc/401900","WorldCat Record")</f>
        <v/>
      </c>
      <c r="AU422" t="inlineStr">
        <is>
          <t>23184678:eng</t>
        </is>
      </c>
      <c r="AV422" t="inlineStr">
        <is>
          <t>401900</t>
        </is>
      </c>
      <c r="AW422" t="inlineStr">
        <is>
          <t>991002691869702656</t>
        </is>
      </c>
      <c r="AX422" t="inlineStr">
        <is>
          <t>991002691869702656</t>
        </is>
      </c>
      <c r="AY422" t="inlineStr">
        <is>
          <t>2268275370002656</t>
        </is>
      </c>
      <c r="AZ422" t="inlineStr">
        <is>
          <t>BOOK</t>
        </is>
      </c>
      <c r="BC422" t="inlineStr">
        <is>
          <t>32285002378676</t>
        </is>
      </c>
      <c r="BD422" t="inlineStr">
        <is>
          <t>893440398</t>
        </is>
      </c>
    </row>
    <row r="423">
      <c r="A423" t="inlineStr">
        <is>
          <t>No</t>
        </is>
      </c>
      <c r="B423" t="inlineStr">
        <is>
          <t>DC38 .H67 2005</t>
        </is>
      </c>
      <c r="C423" t="inlineStr">
        <is>
          <t>0                      DC 0038000H  67          2005</t>
        </is>
      </c>
      <c r="D423" t="inlineStr">
        <is>
          <t>La belle France : a short history / Alistair Horne.</t>
        </is>
      </c>
      <c r="F423" t="inlineStr">
        <is>
          <t>No</t>
        </is>
      </c>
      <c r="G423" t="inlineStr">
        <is>
          <t>1</t>
        </is>
      </c>
      <c r="H423" t="inlineStr">
        <is>
          <t>No</t>
        </is>
      </c>
      <c r="I423" t="inlineStr">
        <is>
          <t>No</t>
        </is>
      </c>
      <c r="J423" t="inlineStr">
        <is>
          <t>0</t>
        </is>
      </c>
      <c r="K423" t="inlineStr">
        <is>
          <t>Horne, Alistair.</t>
        </is>
      </c>
      <c r="L423" t="inlineStr">
        <is>
          <t>New York : Knopf, 2005.</t>
        </is>
      </c>
      <c r="M423" t="inlineStr">
        <is>
          <t>2005</t>
        </is>
      </c>
      <c r="N423" t="inlineStr">
        <is>
          <t>1st American ed.</t>
        </is>
      </c>
      <c r="O423" t="inlineStr">
        <is>
          <t>eng</t>
        </is>
      </c>
      <c r="P423" t="inlineStr">
        <is>
          <t>nyu</t>
        </is>
      </c>
      <c r="R423" t="inlineStr">
        <is>
          <t xml:space="preserve">DC </t>
        </is>
      </c>
      <c r="S423" t="n">
        <v>2</v>
      </c>
      <c r="T423" t="n">
        <v>2</v>
      </c>
      <c r="U423" t="inlineStr">
        <is>
          <t>2005-09-13</t>
        </is>
      </c>
      <c r="V423" t="inlineStr">
        <is>
          <t>2005-09-13</t>
        </is>
      </c>
      <c r="W423" t="inlineStr">
        <is>
          <t>2005-09-13</t>
        </is>
      </c>
      <c r="X423" t="inlineStr">
        <is>
          <t>2005-09-13</t>
        </is>
      </c>
      <c r="Y423" t="n">
        <v>870</v>
      </c>
      <c r="Z423" t="n">
        <v>836</v>
      </c>
      <c r="AA423" t="n">
        <v>941</v>
      </c>
      <c r="AB423" t="n">
        <v>8</v>
      </c>
      <c r="AC423" t="n">
        <v>8</v>
      </c>
      <c r="AD423" t="n">
        <v>18</v>
      </c>
      <c r="AE423" t="n">
        <v>20</v>
      </c>
      <c r="AF423" t="n">
        <v>8</v>
      </c>
      <c r="AG423" t="n">
        <v>9</v>
      </c>
      <c r="AH423" t="n">
        <v>4</v>
      </c>
      <c r="AI423" t="n">
        <v>5</v>
      </c>
      <c r="AJ423" t="n">
        <v>7</v>
      </c>
      <c r="AK423" t="n">
        <v>8</v>
      </c>
      <c r="AL423" t="n">
        <v>4</v>
      </c>
      <c r="AM423" t="n">
        <v>4</v>
      </c>
      <c r="AN423" t="n">
        <v>0</v>
      </c>
      <c r="AO423" t="n">
        <v>0</v>
      </c>
      <c r="AP423" t="inlineStr">
        <is>
          <t>No</t>
        </is>
      </c>
      <c r="AQ423" t="inlineStr">
        <is>
          <t>Yes</t>
        </is>
      </c>
      <c r="AR423">
        <f>HYPERLINK("http://catalog.hathitrust.org/Record/005095484","HathiTrust Record")</f>
        <v/>
      </c>
      <c r="AS423">
        <f>HYPERLINK("https://creighton-primo.hosted.exlibrisgroup.com/primo-explore/search?tab=default_tab&amp;search_scope=EVERYTHING&amp;vid=01CRU&amp;lang=en_US&amp;offset=0&amp;query=any,contains,991004635659702656","Catalog Record")</f>
        <v/>
      </c>
      <c r="AT423">
        <f>HYPERLINK("http://www.worldcat.org/oclc/56671886","WorldCat Record")</f>
        <v/>
      </c>
      <c r="AU423" t="inlineStr">
        <is>
          <t>1043831022:eng</t>
        </is>
      </c>
      <c r="AV423" t="inlineStr">
        <is>
          <t>56671886</t>
        </is>
      </c>
      <c r="AW423" t="inlineStr">
        <is>
          <t>991004635659702656</t>
        </is>
      </c>
      <c r="AX423" t="inlineStr">
        <is>
          <t>991004635659702656</t>
        </is>
      </c>
      <c r="AY423" t="inlineStr">
        <is>
          <t>2267531110002656</t>
        </is>
      </c>
      <c r="AZ423" t="inlineStr">
        <is>
          <t>BOOK</t>
        </is>
      </c>
      <c r="BB423" t="inlineStr">
        <is>
          <t>9781400041404</t>
        </is>
      </c>
      <c r="BC423" t="inlineStr">
        <is>
          <t>32285005083927</t>
        </is>
      </c>
      <c r="BD423" t="inlineStr">
        <is>
          <t>893331847</t>
        </is>
      </c>
    </row>
    <row r="424">
      <c r="A424" t="inlineStr">
        <is>
          <t>No</t>
        </is>
      </c>
      <c r="B424" t="inlineStr">
        <is>
          <t>DC38 .M38</t>
        </is>
      </c>
      <c r="C424" t="inlineStr">
        <is>
          <t>0                      DC 0038000M  38</t>
        </is>
      </c>
      <c r="D424" t="inlineStr">
        <is>
          <t>The making of France; the origins and development of the idea of national unity. Translated by Barbara and Robert North.</t>
        </is>
      </c>
      <c r="F424" t="inlineStr">
        <is>
          <t>No</t>
        </is>
      </c>
      <c r="G424" t="inlineStr">
        <is>
          <t>1</t>
        </is>
      </c>
      <c r="H424" t="inlineStr">
        <is>
          <t>No</t>
        </is>
      </c>
      <c r="I424" t="inlineStr">
        <is>
          <t>No</t>
        </is>
      </c>
      <c r="J424" t="inlineStr">
        <is>
          <t>0</t>
        </is>
      </c>
      <c r="K424" t="inlineStr">
        <is>
          <t>Martin, Marie-Madeleine, 1914-1998.</t>
        </is>
      </c>
      <c r="L424" t="inlineStr">
        <is>
          <t>London, Eyre &amp; Spottiswoode [1951]</t>
        </is>
      </c>
      <c r="M424" t="inlineStr">
        <is>
          <t>1951</t>
        </is>
      </c>
      <c r="O424" t="inlineStr">
        <is>
          <t>eng</t>
        </is>
      </c>
      <c r="P424" t="inlineStr">
        <is>
          <t>enk</t>
        </is>
      </c>
      <c r="R424" t="inlineStr">
        <is>
          <t xml:space="preserve">DC </t>
        </is>
      </c>
      <c r="S424" t="n">
        <v>1</v>
      </c>
      <c r="T424" t="n">
        <v>1</v>
      </c>
      <c r="U424" t="inlineStr">
        <is>
          <t>2002-12-02</t>
        </is>
      </c>
      <c r="V424" t="inlineStr">
        <is>
          <t>2002-12-02</t>
        </is>
      </c>
      <c r="W424" t="inlineStr">
        <is>
          <t>1996-10-28</t>
        </is>
      </c>
      <c r="X424" t="inlineStr">
        <is>
          <t>1996-10-28</t>
        </is>
      </c>
      <c r="Y424" t="n">
        <v>307</v>
      </c>
      <c r="Z424" t="n">
        <v>244</v>
      </c>
      <c r="AA424" t="n">
        <v>257</v>
      </c>
      <c r="AB424" t="n">
        <v>2</v>
      </c>
      <c r="AC424" t="n">
        <v>2</v>
      </c>
      <c r="AD424" t="n">
        <v>14</v>
      </c>
      <c r="AE424" t="n">
        <v>14</v>
      </c>
      <c r="AF424" t="n">
        <v>3</v>
      </c>
      <c r="AG424" t="n">
        <v>3</v>
      </c>
      <c r="AH424" t="n">
        <v>3</v>
      </c>
      <c r="AI424" t="n">
        <v>3</v>
      </c>
      <c r="AJ424" t="n">
        <v>10</v>
      </c>
      <c r="AK424" t="n">
        <v>10</v>
      </c>
      <c r="AL424" t="n">
        <v>1</v>
      </c>
      <c r="AM424" t="n">
        <v>1</v>
      </c>
      <c r="AN424" t="n">
        <v>0</v>
      </c>
      <c r="AO424" t="n">
        <v>0</v>
      </c>
      <c r="AP424" t="inlineStr">
        <is>
          <t>No</t>
        </is>
      </c>
      <c r="AQ424" t="inlineStr">
        <is>
          <t>Yes</t>
        </is>
      </c>
      <c r="AR424">
        <f>HYPERLINK("http://catalog.hathitrust.org/Record/000452425","HathiTrust Record")</f>
        <v/>
      </c>
      <c r="AS424">
        <f>HYPERLINK("https://creighton-primo.hosted.exlibrisgroup.com/primo-explore/search?tab=default_tab&amp;search_scope=EVERYTHING&amp;vid=01CRU&amp;lang=en_US&amp;offset=0&amp;query=any,contains,991002155279702656","Catalog Record")</f>
        <v/>
      </c>
      <c r="AT424">
        <f>HYPERLINK("http://www.worldcat.org/oclc/272584","WorldCat Record")</f>
        <v/>
      </c>
      <c r="AU424" t="inlineStr">
        <is>
          <t>3945660469:eng</t>
        </is>
      </c>
      <c r="AV424" t="inlineStr">
        <is>
          <t>272584</t>
        </is>
      </c>
      <c r="AW424" t="inlineStr">
        <is>
          <t>991002155279702656</t>
        </is>
      </c>
      <c r="AX424" t="inlineStr">
        <is>
          <t>991002155279702656</t>
        </is>
      </c>
      <c r="AY424" t="inlineStr">
        <is>
          <t>2262440860002656</t>
        </is>
      </c>
      <c r="AZ424" t="inlineStr">
        <is>
          <t>BOOK</t>
        </is>
      </c>
      <c r="BC424" t="inlineStr">
        <is>
          <t>32285002378692</t>
        </is>
      </c>
      <c r="BD424" t="inlineStr">
        <is>
          <t>893615758</t>
        </is>
      </c>
    </row>
    <row r="425">
      <c r="A425" t="inlineStr">
        <is>
          <t>No</t>
        </is>
      </c>
      <c r="B425" t="inlineStr">
        <is>
          <t>DC38 .S42 1974</t>
        </is>
      </c>
      <c r="C425" t="inlineStr">
        <is>
          <t>0                      DC 0038000S  42          1974</t>
        </is>
      </c>
      <c r="D425" t="inlineStr">
        <is>
          <t>The evolution of the French people. Translated from the French by Catherine Alison Phillips.</t>
        </is>
      </c>
      <c r="F425" t="inlineStr">
        <is>
          <t>No</t>
        </is>
      </c>
      <c r="G425" t="inlineStr">
        <is>
          <t>1</t>
        </is>
      </c>
      <c r="H425" t="inlineStr">
        <is>
          <t>No</t>
        </is>
      </c>
      <c r="I425" t="inlineStr">
        <is>
          <t>No</t>
        </is>
      </c>
      <c r="J425" t="inlineStr">
        <is>
          <t>0</t>
        </is>
      </c>
      <c r="K425" t="inlineStr">
        <is>
          <t>Seignobos, Charles, 1854-1942.</t>
        </is>
      </c>
      <c r="L425" t="inlineStr">
        <is>
          <t>New York, Octagon Books, 1974 [c1932]</t>
        </is>
      </c>
      <c r="M425" t="inlineStr">
        <is>
          <t>1974</t>
        </is>
      </c>
      <c r="O425" t="inlineStr">
        <is>
          <t>eng</t>
        </is>
      </c>
      <c r="P425" t="inlineStr">
        <is>
          <t>nyu</t>
        </is>
      </c>
      <c r="R425" t="inlineStr">
        <is>
          <t xml:space="preserve">DC </t>
        </is>
      </c>
      <c r="S425" t="n">
        <v>7</v>
      </c>
      <c r="T425" t="n">
        <v>7</v>
      </c>
      <c r="U425" t="inlineStr">
        <is>
          <t>1998-04-17</t>
        </is>
      </c>
      <c r="V425" t="inlineStr">
        <is>
          <t>1998-04-17</t>
        </is>
      </c>
      <c r="W425" t="inlineStr">
        <is>
          <t>1996-10-28</t>
        </is>
      </c>
      <c r="X425" t="inlineStr">
        <is>
          <t>1996-10-28</t>
        </is>
      </c>
      <c r="Y425" t="n">
        <v>96</v>
      </c>
      <c r="Z425" t="n">
        <v>83</v>
      </c>
      <c r="AA425" t="n">
        <v>535</v>
      </c>
      <c r="AB425" t="n">
        <v>1</v>
      </c>
      <c r="AC425" t="n">
        <v>5</v>
      </c>
      <c r="AD425" t="n">
        <v>1</v>
      </c>
      <c r="AE425" t="n">
        <v>24</v>
      </c>
      <c r="AF425" t="n">
        <v>0</v>
      </c>
      <c r="AG425" t="n">
        <v>8</v>
      </c>
      <c r="AH425" t="n">
        <v>1</v>
      </c>
      <c r="AI425" t="n">
        <v>6</v>
      </c>
      <c r="AJ425" t="n">
        <v>1</v>
      </c>
      <c r="AK425" t="n">
        <v>14</v>
      </c>
      <c r="AL425" t="n">
        <v>0</v>
      </c>
      <c r="AM425" t="n">
        <v>3</v>
      </c>
      <c r="AN425" t="n">
        <v>0</v>
      </c>
      <c r="AO425" t="n">
        <v>0</v>
      </c>
      <c r="AP425" t="inlineStr">
        <is>
          <t>No</t>
        </is>
      </c>
      <c r="AQ425" t="inlineStr">
        <is>
          <t>Yes</t>
        </is>
      </c>
      <c r="AR425">
        <f>HYPERLINK("http://catalog.hathitrust.org/Record/007041708","HathiTrust Record")</f>
        <v/>
      </c>
      <c r="AS425">
        <f>HYPERLINK("https://creighton-primo.hosted.exlibrisgroup.com/primo-explore/search?tab=default_tab&amp;search_scope=EVERYTHING&amp;vid=01CRU&amp;lang=en_US&amp;offset=0&amp;query=any,contains,991003438459702656","Catalog Record")</f>
        <v/>
      </c>
      <c r="AT425">
        <f>HYPERLINK("http://www.worldcat.org/oclc/974312","WorldCat Record")</f>
        <v/>
      </c>
      <c r="AU425" t="inlineStr">
        <is>
          <t>2908636630:eng</t>
        </is>
      </c>
      <c r="AV425" t="inlineStr">
        <is>
          <t>974312</t>
        </is>
      </c>
      <c r="AW425" t="inlineStr">
        <is>
          <t>991003438459702656</t>
        </is>
      </c>
      <c r="AX425" t="inlineStr">
        <is>
          <t>991003438459702656</t>
        </is>
      </c>
      <c r="AY425" t="inlineStr">
        <is>
          <t>2257734660002656</t>
        </is>
      </c>
      <c r="AZ425" t="inlineStr">
        <is>
          <t>BOOK</t>
        </is>
      </c>
      <c r="BB425" t="inlineStr">
        <is>
          <t>9780374972721</t>
        </is>
      </c>
      <c r="BC425" t="inlineStr">
        <is>
          <t>32285002378700</t>
        </is>
      </c>
      <c r="BD425" t="inlineStr">
        <is>
          <t>893505567</t>
        </is>
      </c>
    </row>
    <row r="426">
      <c r="A426" t="inlineStr">
        <is>
          <t>No</t>
        </is>
      </c>
      <c r="B426" t="inlineStr">
        <is>
          <t>DC385 .W7 1967</t>
        </is>
      </c>
      <c r="C426" t="inlineStr">
        <is>
          <t>0                      DC 0385000W  7           1967</t>
        </is>
      </c>
      <c r="D426" t="inlineStr">
        <is>
          <t>Raymond Poincaré and the French presidency.</t>
        </is>
      </c>
      <c r="F426" t="inlineStr">
        <is>
          <t>No</t>
        </is>
      </c>
      <c r="G426" t="inlineStr">
        <is>
          <t>1</t>
        </is>
      </c>
      <c r="H426" t="inlineStr">
        <is>
          <t>No</t>
        </is>
      </c>
      <c r="I426" t="inlineStr">
        <is>
          <t>No</t>
        </is>
      </c>
      <c r="J426" t="inlineStr">
        <is>
          <t>0</t>
        </is>
      </c>
      <c r="K426" t="inlineStr">
        <is>
          <t>Wright, Gordon, 1912-2000.</t>
        </is>
      </c>
      <c r="L426" t="inlineStr">
        <is>
          <t>New York, Octagon Books, 1967 [c1942]</t>
        </is>
      </c>
      <c r="M426" t="inlineStr">
        <is>
          <t>1967</t>
        </is>
      </c>
      <c r="O426" t="inlineStr">
        <is>
          <t>eng</t>
        </is>
      </c>
      <c r="P426" t="inlineStr">
        <is>
          <t>nyu</t>
        </is>
      </c>
      <c r="Q426" t="inlineStr">
        <is>
          <t>The Hoover Library on War, Revolution, and Peace. Publication no.19</t>
        </is>
      </c>
      <c r="R426" t="inlineStr">
        <is>
          <t xml:space="preserve">DC </t>
        </is>
      </c>
      <c r="S426" t="n">
        <v>3</v>
      </c>
      <c r="T426" t="n">
        <v>3</v>
      </c>
      <c r="U426" t="inlineStr">
        <is>
          <t>2003-04-22</t>
        </is>
      </c>
      <c r="V426" t="inlineStr">
        <is>
          <t>2003-04-22</t>
        </is>
      </c>
      <c r="W426" t="inlineStr">
        <is>
          <t>1996-05-08</t>
        </is>
      </c>
      <c r="X426" t="inlineStr">
        <is>
          <t>1996-05-08</t>
        </is>
      </c>
      <c r="Y426" t="n">
        <v>426</v>
      </c>
      <c r="Z426" t="n">
        <v>376</v>
      </c>
      <c r="AA426" t="n">
        <v>598</v>
      </c>
      <c r="AB426" t="n">
        <v>6</v>
      </c>
      <c r="AC426" t="n">
        <v>8</v>
      </c>
      <c r="AD426" t="n">
        <v>21</v>
      </c>
      <c r="AE426" t="n">
        <v>36</v>
      </c>
      <c r="AF426" t="n">
        <v>13</v>
      </c>
      <c r="AG426" t="n">
        <v>15</v>
      </c>
      <c r="AH426" t="n">
        <v>2</v>
      </c>
      <c r="AI426" t="n">
        <v>7</v>
      </c>
      <c r="AJ426" t="n">
        <v>6</v>
      </c>
      <c r="AK426" t="n">
        <v>14</v>
      </c>
      <c r="AL426" t="n">
        <v>5</v>
      </c>
      <c r="AM426" t="n">
        <v>7</v>
      </c>
      <c r="AN426" t="n">
        <v>0</v>
      </c>
      <c r="AO426" t="n">
        <v>0</v>
      </c>
      <c r="AP426" t="inlineStr">
        <is>
          <t>No</t>
        </is>
      </c>
      <c r="AQ426" t="inlineStr">
        <is>
          <t>Yes</t>
        </is>
      </c>
      <c r="AR426">
        <f>HYPERLINK("http://catalog.hathitrust.org/Record/001678826","HathiTrust Record")</f>
        <v/>
      </c>
      <c r="AS426">
        <f>HYPERLINK("https://creighton-primo.hosted.exlibrisgroup.com/primo-explore/search?tab=default_tab&amp;search_scope=EVERYTHING&amp;vid=01CRU&amp;lang=en_US&amp;offset=0&amp;query=any,contains,991002700009702656","Catalog Record")</f>
        <v/>
      </c>
      <c r="AT426">
        <f>HYPERLINK("http://www.worldcat.org/oclc/405223","WorldCat Record")</f>
        <v/>
      </c>
      <c r="AU426" t="inlineStr">
        <is>
          <t>42206638:eng</t>
        </is>
      </c>
      <c r="AV426" t="inlineStr">
        <is>
          <t>405223</t>
        </is>
      </c>
      <c r="AW426" t="inlineStr">
        <is>
          <t>991002700009702656</t>
        </is>
      </c>
      <c r="AX426" t="inlineStr">
        <is>
          <t>991002700009702656</t>
        </is>
      </c>
      <c r="AY426" t="inlineStr">
        <is>
          <t>2260575110002656</t>
        </is>
      </c>
      <c r="AZ426" t="inlineStr">
        <is>
          <t>BOOK</t>
        </is>
      </c>
      <c r="BC426" t="inlineStr">
        <is>
          <t>32285002121076</t>
        </is>
      </c>
      <c r="BD426" t="inlineStr">
        <is>
          <t>893498441</t>
        </is>
      </c>
    </row>
    <row r="427">
      <c r="A427" t="inlineStr">
        <is>
          <t>No</t>
        </is>
      </c>
      <c r="B427" t="inlineStr">
        <is>
          <t>DC389 .W35 1994</t>
        </is>
      </c>
      <c r="C427" t="inlineStr">
        <is>
          <t>0                      DC 0389000W  35          1994</t>
        </is>
      </c>
      <c r="D427" t="inlineStr">
        <is>
          <t>The hollow years : France in the 1930s / Eugen Weber.</t>
        </is>
      </c>
      <c r="F427" t="inlineStr">
        <is>
          <t>No</t>
        </is>
      </c>
      <c r="G427" t="inlineStr">
        <is>
          <t>1</t>
        </is>
      </c>
      <c r="H427" t="inlineStr">
        <is>
          <t>No</t>
        </is>
      </c>
      <c r="I427" t="inlineStr">
        <is>
          <t>No</t>
        </is>
      </c>
      <c r="J427" t="inlineStr">
        <is>
          <t>0</t>
        </is>
      </c>
      <c r="K427" t="inlineStr">
        <is>
          <t>Weber, Eugen, 1925-2007.</t>
        </is>
      </c>
      <c r="L427" t="inlineStr">
        <is>
          <t>New York : Norton, 1994.</t>
        </is>
      </c>
      <c r="M427" t="inlineStr">
        <is>
          <t>1994</t>
        </is>
      </c>
      <c r="N427" t="inlineStr">
        <is>
          <t>1st ed.</t>
        </is>
      </c>
      <c r="O427" t="inlineStr">
        <is>
          <t>eng</t>
        </is>
      </c>
      <c r="P427" t="inlineStr">
        <is>
          <t>nyu</t>
        </is>
      </c>
      <c r="R427" t="inlineStr">
        <is>
          <t xml:space="preserve">DC </t>
        </is>
      </c>
      <c r="S427" t="n">
        <v>2</v>
      </c>
      <c r="T427" t="n">
        <v>2</v>
      </c>
      <c r="U427" t="inlineStr">
        <is>
          <t>1997-10-30</t>
        </is>
      </c>
      <c r="V427" t="inlineStr">
        <is>
          <t>1997-10-30</t>
        </is>
      </c>
      <c r="W427" t="inlineStr">
        <is>
          <t>1995-03-10</t>
        </is>
      </c>
      <c r="X427" t="inlineStr">
        <is>
          <t>1995-03-10</t>
        </is>
      </c>
      <c r="Y427" t="n">
        <v>923</v>
      </c>
      <c r="Z427" t="n">
        <v>802</v>
      </c>
      <c r="AA427" t="n">
        <v>845</v>
      </c>
      <c r="AB427" t="n">
        <v>4</v>
      </c>
      <c r="AC427" t="n">
        <v>4</v>
      </c>
      <c r="AD427" t="n">
        <v>37</v>
      </c>
      <c r="AE427" t="n">
        <v>39</v>
      </c>
      <c r="AF427" t="n">
        <v>14</v>
      </c>
      <c r="AG427" t="n">
        <v>16</v>
      </c>
      <c r="AH427" t="n">
        <v>9</v>
      </c>
      <c r="AI427" t="n">
        <v>9</v>
      </c>
      <c r="AJ427" t="n">
        <v>20</v>
      </c>
      <c r="AK427" t="n">
        <v>20</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HYPERLINK("https://creighton-primo.hosted.exlibrisgroup.com/primo-explore/search?tab=default_tab&amp;search_scope=EVERYTHING&amp;vid=01CRU&amp;lang=en_US&amp;offset=0&amp;query=any,contains,991002340299702656","Catalog Record")</f>
        <v/>
      </c>
      <c r="AT427">
        <f>HYPERLINK("http://www.worldcat.org/oclc/30473512","WorldCat Record")</f>
        <v/>
      </c>
      <c r="AU427" t="inlineStr">
        <is>
          <t>836885376:eng</t>
        </is>
      </c>
      <c r="AV427" t="inlineStr">
        <is>
          <t>30473512</t>
        </is>
      </c>
      <c r="AW427" t="inlineStr">
        <is>
          <t>991002340299702656</t>
        </is>
      </c>
      <c r="AX427" t="inlineStr">
        <is>
          <t>991002340299702656</t>
        </is>
      </c>
      <c r="AY427" t="inlineStr">
        <is>
          <t>2262183460002656</t>
        </is>
      </c>
      <c r="AZ427" t="inlineStr">
        <is>
          <t>BOOK</t>
        </is>
      </c>
      <c r="BB427" t="inlineStr">
        <is>
          <t>9780393036718</t>
        </is>
      </c>
      <c r="BC427" t="inlineStr">
        <is>
          <t>32285002002136</t>
        </is>
      </c>
      <c r="BD427" t="inlineStr">
        <is>
          <t>893427490</t>
        </is>
      </c>
    </row>
    <row r="428">
      <c r="A428" t="inlineStr">
        <is>
          <t>No</t>
        </is>
      </c>
      <c r="B428" t="inlineStr">
        <is>
          <t>DC39 .B33</t>
        </is>
      </c>
      <c r="C428" t="inlineStr">
        <is>
          <t>0                      DC 0039000B  33</t>
        </is>
      </c>
      <c r="D428" t="inlineStr">
        <is>
          <t>History of France, by Jacques Bainville ... translated by Alice Gauss, A.M., and Christian Gauss ...</t>
        </is>
      </c>
      <c r="F428" t="inlineStr">
        <is>
          <t>No</t>
        </is>
      </c>
      <c r="G428" t="inlineStr">
        <is>
          <t>1</t>
        </is>
      </c>
      <c r="H428" t="inlineStr">
        <is>
          <t>No</t>
        </is>
      </c>
      <c r="I428" t="inlineStr">
        <is>
          <t>No</t>
        </is>
      </c>
      <c r="J428" t="inlineStr">
        <is>
          <t>0</t>
        </is>
      </c>
      <c r="K428" t="inlineStr">
        <is>
          <t>Bainville, Jacques, 1879-1936.</t>
        </is>
      </c>
      <c r="L428" t="inlineStr">
        <is>
          <t>New York [etc.] D. Appleton and Company, 1926.</t>
        </is>
      </c>
      <c r="M428" t="inlineStr">
        <is>
          <t>1926</t>
        </is>
      </c>
      <c r="O428" t="inlineStr">
        <is>
          <t>eng</t>
        </is>
      </c>
      <c r="P428" t="inlineStr">
        <is>
          <t>nyu</t>
        </is>
      </c>
      <c r="R428" t="inlineStr">
        <is>
          <t xml:space="preserve">DC </t>
        </is>
      </c>
      <c r="S428" t="n">
        <v>7</v>
      </c>
      <c r="T428" t="n">
        <v>7</v>
      </c>
      <c r="U428" t="inlineStr">
        <is>
          <t>1999-04-06</t>
        </is>
      </c>
      <c r="V428" t="inlineStr">
        <is>
          <t>1999-04-06</t>
        </is>
      </c>
      <c r="W428" t="inlineStr">
        <is>
          <t>1996-10-28</t>
        </is>
      </c>
      <c r="X428" t="inlineStr">
        <is>
          <t>1996-10-28</t>
        </is>
      </c>
      <c r="Y428" t="n">
        <v>279</v>
      </c>
      <c r="Z428" t="n">
        <v>247</v>
      </c>
      <c r="AA428" t="n">
        <v>261</v>
      </c>
      <c r="AB428" t="n">
        <v>1</v>
      </c>
      <c r="AC428" t="n">
        <v>1</v>
      </c>
      <c r="AD428" t="n">
        <v>18</v>
      </c>
      <c r="AE428" t="n">
        <v>18</v>
      </c>
      <c r="AF428" t="n">
        <v>9</v>
      </c>
      <c r="AG428" t="n">
        <v>9</v>
      </c>
      <c r="AH428" t="n">
        <v>4</v>
      </c>
      <c r="AI428" t="n">
        <v>4</v>
      </c>
      <c r="AJ428" t="n">
        <v>13</v>
      </c>
      <c r="AK428" t="n">
        <v>13</v>
      </c>
      <c r="AL428" t="n">
        <v>0</v>
      </c>
      <c r="AM428" t="n">
        <v>0</v>
      </c>
      <c r="AN428" t="n">
        <v>0</v>
      </c>
      <c r="AO428" t="n">
        <v>0</v>
      </c>
      <c r="AP428" t="inlineStr">
        <is>
          <t>No</t>
        </is>
      </c>
      <c r="AQ428" t="inlineStr">
        <is>
          <t>Yes</t>
        </is>
      </c>
      <c r="AR428">
        <f>HYPERLINK("http://catalog.hathitrust.org/Record/005405181","HathiTrust Record")</f>
        <v/>
      </c>
      <c r="AS428">
        <f>HYPERLINK("https://creighton-primo.hosted.exlibrisgroup.com/primo-explore/search?tab=default_tab&amp;search_scope=EVERYTHING&amp;vid=01CRU&amp;lang=en_US&amp;offset=0&amp;query=any,contains,991003375049702656","Catalog Record")</f>
        <v/>
      </c>
      <c r="AT428">
        <f>HYPERLINK("http://www.worldcat.org/oclc/1103578829","WorldCat Record")</f>
        <v/>
      </c>
      <c r="AU428" t="inlineStr">
        <is>
          <t>27087:eng</t>
        </is>
      </c>
      <c r="AV428" t="inlineStr">
        <is>
          <t>1103578829</t>
        </is>
      </c>
      <c r="AW428" t="inlineStr">
        <is>
          <t>991003375049702656</t>
        </is>
      </c>
      <c r="AX428" t="inlineStr">
        <is>
          <t>991003375049702656</t>
        </is>
      </c>
      <c r="AY428" t="inlineStr">
        <is>
          <t>2268619470002656</t>
        </is>
      </c>
      <c r="AZ428" t="inlineStr">
        <is>
          <t>BOOK</t>
        </is>
      </c>
      <c r="BC428" t="inlineStr">
        <is>
          <t>32285002378718</t>
        </is>
      </c>
      <c r="BD428" t="inlineStr">
        <is>
          <t>893774666</t>
        </is>
      </c>
    </row>
    <row r="429">
      <c r="A429" t="inlineStr">
        <is>
          <t>No</t>
        </is>
      </c>
      <c r="B429" t="inlineStr">
        <is>
          <t>DC39 .D4</t>
        </is>
      </c>
      <c r="C429" t="inlineStr">
        <is>
          <t>0                      DC 0039000D  4</t>
        </is>
      </c>
      <c r="D429" t="inlineStr">
        <is>
          <t>A history of France from the earliest times to the treaty of Versailles, by William Stearns Davis ...</t>
        </is>
      </c>
      <c r="F429" t="inlineStr">
        <is>
          <t>No</t>
        </is>
      </c>
      <c r="G429" t="inlineStr">
        <is>
          <t>1</t>
        </is>
      </c>
      <c r="H429" t="inlineStr">
        <is>
          <t>No</t>
        </is>
      </c>
      <c r="I429" t="inlineStr">
        <is>
          <t>No</t>
        </is>
      </c>
      <c r="J429" t="inlineStr">
        <is>
          <t>0</t>
        </is>
      </c>
      <c r="K429" t="inlineStr">
        <is>
          <t>Davis, William Stearns, 1877-1930.</t>
        </is>
      </c>
      <c r="L429" t="inlineStr">
        <is>
          <t>Boston and New York, Houghton Mifflin company, 1919.</t>
        </is>
      </c>
      <c r="M429" t="inlineStr">
        <is>
          <t>1919</t>
        </is>
      </c>
      <c r="O429" t="inlineStr">
        <is>
          <t>eng</t>
        </is>
      </c>
      <c r="P429" t="inlineStr">
        <is>
          <t xml:space="preserve">xx </t>
        </is>
      </c>
      <c r="R429" t="inlineStr">
        <is>
          <t xml:space="preserve">DC </t>
        </is>
      </c>
      <c r="S429" t="n">
        <v>3</v>
      </c>
      <c r="T429" t="n">
        <v>3</v>
      </c>
      <c r="U429" t="inlineStr">
        <is>
          <t>2002-12-02</t>
        </is>
      </c>
      <c r="V429" t="inlineStr">
        <is>
          <t>2002-12-02</t>
        </is>
      </c>
      <c r="W429" t="inlineStr">
        <is>
          <t>1996-10-28</t>
        </is>
      </c>
      <c r="X429" t="inlineStr">
        <is>
          <t>1996-10-28</t>
        </is>
      </c>
      <c r="Y429" t="n">
        <v>357</v>
      </c>
      <c r="Z429" t="n">
        <v>339</v>
      </c>
      <c r="AA429" t="n">
        <v>372</v>
      </c>
      <c r="AB429" t="n">
        <v>7</v>
      </c>
      <c r="AC429" t="n">
        <v>7</v>
      </c>
      <c r="AD429" t="n">
        <v>16</v>
      </c>
      <c r="AE429" t="n">
        <v>17</v>
      </c>
      <c r="AF429" t="n">
        <v>2</v>
      </c>
      <c r="AG429" t="n">
        <v>2</v>
      </c>
      <c r="AH429" t="n">
        <v>1</v>
      </c>
      <c r="AI429" t="n">
        <v>2</v>
      </c>
      <c r="AJ429" t="n">
        <v>8</v>
      </c>
      <c r="AK429" t="n">
        <v>8</v>
      </c>
      <c r="AL429" t="n">
        <v>6</v>
      </c>
      <c r="AM429" t="n">
        <v>6</v>
      </c>
      <c r="AN429" t="n">
        <v>0</v>
      </c>
      <c r="AO429" t="n">
        <v>0</v>
      </c>
      <c r="AP429" t="inlineStr">
        <is>
          <t>Yes</t>
        </is>
      </c>
      <c r="AQ429" t="inlineStr">
        <is>
          <t>No</t>
        </is>
      </c>
      <c r="AR429">
        <f>HYPERLINK("http://catalog.hathitrust.org/Record/000452599","HathiTrust Record")</f>
        <v/>
      </c>
      <c r="AS429">
        <f>HYPERLINK("https://creighton-primo.hosted.exlibrisgroup.com/primo-explore/search?tab=default_tab&amp;search_scope=EVERYTHING&amp;vid=01CRU&amp;lang=en_US&amp;offset=0&amp;query=any,contains,991003798489702656","Catalog Record")</f>
        <v/>
      </c>
      <c r="AT429">
        <f>HYPERLINK("http://www.worldcat.org/oclc/1523892","WorldCat Record")</f>
        <v/>
      </c>
      <c r="AU429" t="inlineStr">
        <is>
          <t>1586867:eng</t>
        </is>
      </c>
      <c r="AV429" t="inlineStr">
        <is>
          <t>1523892</t>
        </is>
      </c>
      <c r="AW429" t="inlineStr">
        <is>
          <t>991003798489702656</t>
        </is>
      </c>
      <c r="AX429" t="inlineStr">
        <is>
          <t>991003798489702656</t>
        </is>
      </c>
      <c r="AY429" t="inlineStr">
        <is>
          <t>2267848960002656</t>
        </is>
      </c>
      <c r="AZ429" t="inlineStr">
        <is>
          <t>BOOK</t>
        </is>
      </c>
      <c r="BC429" t="inlineStr">
        <is>
          <t>32285002378734</t>
        </is>
      </c>
      <c r="BD429" t="inlineStr">
        <is>
          <t>893518882</t>
        </is>
      </c>
    </row>
    <row r="430">
      <c r="A430" t="inlineStr">
        <is>
          <t>No</t>
        </is>
      </c>
      <c r="B430" t="inlineStr">
        <is>
          <t>DC39 .G97</t>
        </is>
      </c>
      <c r="C430" t="inlineStr">
        <is>
          <t>0                      DC 0039000G  97</t>
        </is>
      </c>
      <c r="D430" t="inlineStr">
        <is>
          <t>Outlines of the history of France from the earliest times to the outbreak of the revolution. An abridgment of M. Guizot's popular history of France by Gustave Masson.</t>
        </is>
      </c>
      <c r="F430" t="inlineStr">
        <is>
          <t>No</t>
        </is>
      </c>
      <c r="G430" t="inlineStr">
        <is>
          <t>1</t>
        </is>
      </c>
      <c r="H430" t="inlineStr">
        <is>
          <t>No</t>
        </is>
      </c>
      <c r="I430" t="inlineStr">
        <is>
          <t>No</t>
        </is>
      </c>
      <c r="J430" t="inlineStr">
        <is>
          <t>0</t>
        </is>
      </c>
      <c r="K430" t="inlineStr">
        <is>
          <t>Guizot, François, 1787-1874.</t>
        </is>
      </c>
      <c r="L430" t="inlineStr">
        <is>
          <t>Boston, Estes and Lauriat, 1886.</t>
        </is>
      </c>
      <c r="M430" t="inlineStr">
        <is>
          <t>1886</t>
        </is>
      </c>
      <c r="O430" t="inlineStr">
        <is>
          <t>eng</t>
        </is>
      </c>
      <c r="P430" t="inlineStr">
        <is>
          <t>mau</t>
        </is>
      </c>
      <c r="R430" t="inlineStr">
        <is>
          <t xml:space="preserve">DC </t>
        </is>
      </c>
      <c r="S430" t="n">
        <v>5</v>
      </c>
      <c r="T430" t="n">
        <v>5</v>
      </c>
      <c r="U430" t="inlineStr">
        <is>
          <t>2000-04-25</t>
        </is>
      </c>
      <c r="V430" t="inlineStr">
        <is>
          <t>2000-04-25</t>
        </is>
      </c>
      <c r="W430" t="inlineStr">
        <is>
          <t>1996-10-28</t>
        </is>
      </c>
      <c r="X430" t="inlineStr">
        <is>
          <t>1996-10-28</t>
        </is>
      </c>
      <c r="Y430" t="n">
        <v>7</v>
      </c>
      <c r="Z430" t="n">
        <v>7</v>
      </c>
      <c r="AA430" t="n">
        <v>117</v>
      </c>
      <c r="AB430" t="n">
        <v>1</v>
      </c>
      <c r="AC430" t="n">
        <v>3</v>
      </c>
      <c r="AD430" t="n">
        <v>0</v>
      </c>
      <c r="AE430" t="n">
        <v>6</v>
      </c>
      <c r="AF430" t="n">
        <v>0</v>
      </c>
      <c r="AG430" t="n">
        <v>0</v>
      </c>
      <c r="AH430" t="n">
        <v>0</v>
      </c>
      <c r="AI430" t="n">
        <v>1</v>
      </c>
      <c r="AJ430" t="n">
        <v>0</v>
      </c>
      <c r="AK430" t="n">
        <v>3</v>
      </c>
      <c r="AL430" t="n">
        <v>0</v>
      </c>
      <c r="AM430" t="n">
        <v>2</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HYPERLINK("https://creighton-primo.hosted.exlibrisgroup.com/primo-explore/search?tab=default_tab&amp;search_scope=EVERYTHING&amp;vid=01CRU&amp;lang=en_US&amp;offset=0&amp;query=any,contains,991001413149702656","Catalog Record")</f>
        <v/>
      </c>
      <c r="AT430">
        <f>HYPERLINK("http://www.worldcat.org/oclc/18911645","WorldCat Record")</f>
        <v/>
      </c>
      <c r="AU430" t="inlineStr">
        <is>
          <t>3855995458:eng</t>
        </is>
      </c>
      <c r="AV430" t="inlineStr">
        <is>
          <t>18911645</t>
        </is>
      </c>
      <c r="AW430" t="inlineStr">
        <is>
          <t>991001413149702656</t>
        </is>
      </c>
      <c r="AX430" t="inlineStr">
        <is>
          <t>991001413149702656</t>
        </is>
      </c>
      <c r="AY430" t="inlineStr">
        <is>
          <t>2260703010002656</t>
        </is>
      </c>
      <c r="AZ430" t="inlineStr">
        <is>
          <t>BOOK</t>
        </is>
      </c>
      <c r="BC430" t="inlineStr">
        <is>
          <t>32285002378742</t>
        </is>
      </c>
      <c r="BD430" t="inlineStr">
        <is>
          <t>893503403</t>
        </is>
      </c>
    </row>
    <row r="431">
      <c r="A431" t="inlineStr">
        <is>
          <t>No</t>
        </is>
      </c>
      <c r="B431" t="inlineStr">
        <is>
          <t>DC39 .K62</t>
        </is>
      </c>
      <c r="C431" t="inlineStr">
        <is>
          <t>0                      DC 0039000K  62</t>
        </is>
      </c>
      <c r="D431" t="inlineStr">
        <is>
          <t>A history of France.</t>
        </is>
      </c>
      <c r="E431" t="inlineStr">
        <is>
          <t>V.3</t>
        </is>
      </c>
      <c r="F431" t="inlineStr">
        <is>
          <t>Yes</t>
        </is>
      </c>
      <c r="G431" t="inlineStr">
        <is>
          <t>1</t>
        </is>
      </c>
      <c r="H431" t="inlineStr">
        <is>
          <t>No</t>
        </is>
      </c>
      <c r="I431" t="inlineStr">
        <is>
          <t>No</t>
        </is>
      </c>
      <c r="J431" t="inlineStr">
        <is>
          <t>0</t>
        </is>
      </c>
      <c r="K431" t="inlineStr">
        <is>
          <t>Kitchin, G. W. (George William), 1827-1912.</t>
        </is>
      </c>
      <c r="L431" t="inlineStr">
        <is>
          <t>Oxford : Clarendon Press, 1896-1903.</t>
        </is>
      </c>
      <c r="M431" t="inlineStr">
        <is>
          <t>1896</t>
        </is>
      </c>
      <c r="O431" t="inlineStr">
        <is>
          <t>eng</t>
        </is>
      </c>
      <c r="P431" t="inlineStr">
        <is>
          <t xml:space="preserve">xx </t>
        </is>
      </c>
      <c r="Q431" t="inlineStr">
        <is>
          <t>Clarendon Press series</t>
        </is>
      </c>
      <c r="R431" t="inlineStr">
        <is>
          <t xml:space="preserve">DC </t>
        </is>
      </c>
      <c r="S431" t="n">
        <v>3</v>
      </c>
      <c r="T431" t="n">
        <v>4</v>
      </c>
      <c r="U431" t="inlineStr">
        <is>
          <t>2002-12-02</t>
        </is>
      </c>
      <c r="V431" t="inlineStr">
        <is>
          <t>2010-04-15</t>
        </is>
      </c>
      <c r="W431" t="inlineStr">
        <is>
          <t>1995-09-18</t>
        </is>
      </c>
      <c r="X431" t="inlineStr">
        <is>
          <t>1995-09-18</t>
        </is>
      </c>
      <c r="Y431" t="n">
        <v>172</v>
      </c>
      <c r="Z431" t="n">
        <v>148</v>
      </c>
      <c r="AA431" t="n">
        <v>236</v>
      </c>
      <c r="AB431" t="n">
        <v>4</v>
      </c>
      <c r="AC431" t="n">
        <v>5</v>
      </c>
      <c r="AD431" t="n">
        <v>8</v>
      </c>
      <c r="AE431" t="n">
        <v>11</v>
      </c>
      <c r="AF431" t="n">
        <v>1</v>
      </c>
      <c r="AG431" t="n">
        <v>2</v>
      </c>
      <c r="AH431" t="n">
        <v>1</v>
      </c>
      <c r="AI431" t="n">
        <v>2</v>
      </c>
      <c r="AJ431" t="n">
        <v>5</v>
      </c>
      <c r="AK431" t="n">
        <v>6</v>
      </c>
      <c r="AL431" t="n">
        <v>3</v>
      </c>
      <c r="AM431" t="n">
        <v>4</v>
      </c>
      <c r="AN431" t="n">
        <v>0</v>
      </c>
      <c r="AO431" t="n">
        <v>0</v>
      </c>
      <c r="AP431" t="inlineStr">
        <is>
          <t>Yes</t>
        </is>
      </c>
      <c r="AQ431" t="inlineStr">
        <is>
          <t>No</t>
        </is>
      </c>
      <c r="AR431">
        <f>HYPERLINK("http://catalog.hathitrust.org/Record/000452387","HathiTrust Record")</f>
        <v/>
      </c>
      <c r="AS431">
        <f>HYPERLINK("https://creighton-primo.hosted.exlibrisgroup.com/primo-explore/search?tab=default_tab&amp;search_scope=EVERYTHING&amp;vid=01CRU&amp;lang=en_US&amp;offset=0&amp;query=any,contains,991003876999702656","Catalog Record")</f>
        <v/>
      </c>
      <c r="AT431">
        <f>HYPERLINK("http://www.worldcat.org/oclc/1709313","WorldCat Record")</f>
        <v/>
      </c>
      <c r="AU431" t="inlineStr">
        <is>
          <t>3374304937:eng</t>
        </is>
      </c>
      <c r="AV431" t="inlineStr">
        <is>
          <t>1709313</t>
        </is>
      </c>
      <c r="AW431" t="inlineStr">
        <is>
          <t>991003876999702656</t>
        </is>
      </c>
      <c r="AX431" t="inlineStr">
        <is>
          <t>991003876999702656</t>
        </is>
      </c>
      <c r="AY431" t="inlineStr">
        <is>
          <t>2267628500002656</t>
        </is>
      </c>
      <c r="AZ431" t="inlineStr">
        <is>
          <t>BOOK</t>
        </is>
      </c>
      <c r="BC431" t="inlineStr">
        <is>
          <t>32285002024072</t>
        </is>
      </c>
      <c r="BD431" t="inlineStr">
        <is>
          <t>893525365</t>
        </is>
      </c>
    </row>
    <row r="432">
      <c r="A432" t="inlineStr">
        <is>
          <t>No</t>
        </is>
      </c>
      <c r="B432" t="inlineStr">
        <is>
          <t>DC39 .K62</t>
        </is>
      </c>
      <c r="C432" t="inlineStr">
        <is>
          <t>0                      DC 0039000K  62</t>
        </is>
      </c>
      <c r="D432" t="inlineStr">
        <is>
          <t>A history of France.</t>
        </is>
      </c>
      <c r="E432" t="inlineStr">
        <is>
          <t>V.2</t>
        </is>
      </c>
      <c r="F432" t="inlineStr">
        <is>
          <t>Yes</t>
        </is>
      </c>
      <c r="G432" t="inlineStr">
        <is>
          <t>1</t>
        </is>
      </c>
      <c r="H432" t="inlineStr">
        <is>
          <t>No</t>
        </is>
      </c>
      <c r="I432" t="inlineStr">
        <is>
          <t>No</t>
        </is>
      </c>
      <c r="J432" t="inlineStr">
        <is>
          <t>0</t>
        </is>
      </c>
      <c r="K432" t="inlineStr">
        <is>
          <t>Kitchin, G. W. (George William), 1827-1912.</t>
        </is>
      </c>
      <c r="L432" t="inlineStr">
        <is>
          <t>Oxford : Clarendon Press, 1896-1903.</t>
        </is>
      </c>
      <c r="M432" t="inlineStr">
        <is>
          <t>1896</t>
        </is>
      </c>
      <c r="O432" t="inlineStr">
        <is>
          <t>eng</t>
        </is>
      </c>
      <c r="P432" t="inlineStr">
        <is>
          <t xml:space="preserve">xx </t>
        </is>
      </c>
      <c r="Q432" t="inlineStr">
        <is>
          <t>Clarendon Press series</t>
        </is>
      </c>
      <c r="R432" t="inlineStr">
        <is>
          <t xml:space="preserve">DC </t>
        </is>
      </c>
      <c r="S432" t="n">
        <v>0</v>
      </c>
      <c r="T432" t="n">
        <v>4</v>
      </c>
      <c r="V432" t="inlineStr">
        <is>
          <t>2010-04-15</t>
        </is>
      </c>
      <c r="W432" t="inlineStr">
        <is>
          <t>1995-09-18</t>
        </is>
      </c>
      <c r="X432" t="inlineStr">
        <is>
          <t>1995-09-18</t>
        </is>
      </c>
      <c r="Y432" t="n">
        <v>172</v>
      </c>
      <c r="Z432" t="n">
        <v>148</v>
      </c>
      <c r="AA432" t="n">
        <v>236</v>
      </c>
      <c r="AB432" t="n">
        <v>4</v>
      </c>
      <c r="AC432" t="n">
        <v>5</v>
      </c>
      <c r="AD432" t="n">
        <v>8</v>
      </c>
      <c r="AE432" t="n">
        <v>11</v>
      </c>
      <c r="AF432" t="n">
        <v>1</v>
      </c>
      <c r="AG432" t="n">
        <v>2</v>
      </c>
      <c r="AH432" t="n">
        <v>1</v>
      </c>
      <c r="AI432" t="n">
        <v>2</v>
      </c>
      <c r="AJ432" t="n">
        <v>5</v>
      </c>
      <c r="AK432" t="n">
        <v>6</v>
      </c>
      <c r="AL432" t="n">
        <v>3</v>
      </c>
      <c r="AM432" t="n">
        <v>4</v>
      </c>
      <c r="AN432" t="n">
        <v>0</v>
      </c>
      <c r="AO432" t="n">
        <v>0</v>
      </c>
      <c r="AP432" t="inlineStr">
        <is>
          <t>Yes</t>
        </is>
      </c>
      <c r="AQ432" t="inlineStr">
        <is>
          <t>No</t>
        </is>
      </c>
      <c r="AR432">
        <f>HYPERLINK("http://catalog.hathitrust.org/Record/000452387","HathiTrust Record")</f>
        <v/>
      </c>
      <c r="AS432">
        <f>HYPERLINK("https://creighton-primo.hosted.exlibrisgroup.com/primo-explore/search?tab=default_tab&amp;search_scope=EVERYTHING&amp;vid=01CRU&amp;lang=en_US&amp;offset=0&amp;query=any,contains,991003876999702656","Catalog Record")</f>
        <v/>
      </c>
      <c r="AT432">
        <f>HYPERLINK("http://www.worldcat.org/oclc/1709313","WorldCat Record")</f>
        <v/>
      </c>
      <c r="AU432" t="inlineStr">
        <is>
          <t>3374304937:eng</t>
        </is>
      </c>
      <c r="AV432" t="inlineStr">
        <is>
          <t>1709313</t>
        </is>
      </c>
      <c r="AW432" t="inlineStr">
        <is>
          <t>991003876999702656</t>
        </is>
      </c>
      <c r="AX432" t="inlineStr">
        <is>
          <t>991003876999702656</t>
        </is>
      </c>
      <c r="AY432" t="inlineStr">
        <is>
          <t>2267628500002656</t>
        </is>
      </c>
      <c r="AZ432" t="inlineStr">
        <is>
          <t>BOOK</t>
        </is>
      </c>
      <c r="BC432" t="inlineStr">
        <is>
          <t>32285002024064</t>
        </is>
      </c>
      <c r="BD432" t="inlineStr">
        <is>
          <t>893531721</t>
        </is>
      </c>
    </row>
    <row r="433">
      <c r="A433" t="inlineStr">
        <is>
          <t>No</t>
        </is>
      </c>
      <c r="B433" t="inlineStr">
        <is>
          <t>DC39 .K62</t>
        </is>
      </c>
      <c r="C433" t="inlineStr">
        <is>
          <t>0                      DC 0039000K  62</t>
        </is>
      </c>
      <c r="D433" t="inlineStr">
        <is>
          <t>A history of France.</t>
        </is>
      </c>
      <c r="E433" t="inlineStr">
        <is>
          <t>V.1</t>
        </is>
      </c>
      <c r="F433" t="inlineStr">
        <is>
          <t>Yes</t>
        </is>
      </c>
      <c r="G433" t="inlineStr">
        <is>
          <t>1</t>
        </is>
      </c>
      <c r="H433" t="inlineStr">
        <is>
          <t>No</t>
        </is>
      </c>
      <c r="I433" t="inlineStr">
        <is>
          <t>No</t>
        </is>
      </c>
      <c r="J433" t="inlineStr">
        <is>
          <t>0</t>
        </is>
      </c>
      <c r="K433" t="inlineStr">
        <is>
          <t>Kitchin, G. W. (George William), 1827-1912.</t>
        </is>
      </c>
      <c r="L433" t="inlineStr">
        <is>
          <t>Oxford : Clarendon Press, 1896-1903.</t>
        </is>
      </c>
      <c r="M433" t="inlineStr">
        <is>
          <t>1896</t>
        </is>
      </c>
      <c r="O433" t="inlineStr">
        <is>
          <t>eng</t>
        </is>
      </c>
      <c r="P433" t="inlineStr">
        <is>
          <t xml:space="preserve">xx </t>
        </is>
      </c>
      <c r="Q433" t="inlineStr">
        <is>
          <t>Clarendon Press series</t>
        </is>
      </c>
      <c r="R433" t="inlineStr">
        <is>
          <t xml:space="preserve">DC </t>
        </is>
      </c>
      <c r="S433" t="n">
        <v>1</v>
      </c>
      <c r="T433" t="n">
        <v>4</v>
      </c>
      <c r="U433" t="inlineStr">
        <is>
          <t>2010-04-15</t>
        </is>
      </c>
      <c r="V433" t="inlineStr">
        <is>
          <t>2010-04-15</t>
        </is>
      </c>
      <c r="W433" t="inlineStr">
        <is>
          <t>1991-12-23</t>
        </is>
      </c>
      <c r="X433" t="inlineStr">
        <is>
          <t>1995-09-18</t>
        </is>
      </c>
      <c r="Y433" t="n">
        <v>172</v>
      </c>
      <c r="Z433" t="n">
        <v>148</v>
      </c>
      <c r="AA433" t="n">
        <v>236</v>
      </c>
      <c r="AB433" t="n">
        <v>4</v>
      </c>
      <c r="AC433" t="n">
        <v>5</v>
      </c>
      <c r="AD433" t="n">
        <v>8</v>
      </c>
      <c r="AE433" t="n">
        <v>11</v>
      </c>
      <c r="AF433" t="n">
        <v>1</v>
      </c>
      <c r="AG433" t="n">
        <v>2</v>
      </c>
      <c r="AH433" t="n">
        <v>1</v>
      </c>
      <c r="AI433" t="n">
        <v>2</v>
      </c>
      <c r="AJ433" t="n">
        <v>5</v>
      </c>
      <c r="AK433" t="n">
        <v>6</v>
      </c>
      <c r="AL433" t="n">
        <v>3</v>
      </c>
      <c r="AM433" t="n">
        <v>4</v>
      </c>
      <c r="AN433" t="n">
        <v>0</v>
      </c>
      <c r="AO433" t="n">
        <v>0</v>
      </c>
      <c r="AP433" t="inlineStr">
        <is>
          <t>Yes</t>
        </is>
      </c>
      <c r="AQ433" t="inlineStr">
        <is>
          <t>No</t>
        </is>
      </c>
      <c r="AR433">
        <f>HYPERLINK("http://catalog.hathitrust.org/Record/000452387","HathiTrust Record")</f>
        <v/>
      </c>
      <c r="AS433">
        <f>HYPERLINK("https://creighton-primo.hosted.exlibrisgroup.com/primo-explore/search?tab=default_tab&amp;search_scope=EVERYTHING&amp;vid=01CRU&amp;lang=en_US&amp;offset=0&amp;query=any,contains,991003876999702656","Catalog Record")</f>
        <v/>
      </c>
      <c r="AT433">
        <f>HYPERLINK("http://www.worldcat.org/oclc/1709313","WorldCat Record")</f>
        <v/>
      </c>
      <c r="AU433" t="inlineStr">
        <is>
          <t>3374304937:eng</t>
        </is>
      </c>
      <c r="AV433" t="inlineStr">
        <is>
          <t>1709313</t>
        </is>
      </c>
      <c r="AW433" t="inlineStr">
        <is>
          <t>991003876999702656</t>
        </is>
      </c>
      <c r="AX433" t="inlineStr">
        <is>
          <t>991003876999702656</t>
        </is>
      </c>
      <c r="AY433" t="inlineStr">
        <is>
          <t>2267628500002656</t>
        </is>
      </c>
      <c r="AZ433" t="inlineStr">
        <is>
          <t>BOOK</t>
        </is>
      </c>
      <c r="BC433" t="inlineStr">
        <is>
          <t>32285000881283</t>
        </is>
      </c>
      <c r="BD433" t="inlineStr">
        <is>
          <t>893531722</t>
        </is>
      </c>
    </row>
    <row r="434">
      <c r="A434" t="inlineStr">
        <is>
          <t>No</t>
        </is>
      </c>
      <c r="B434" t="inlineStr">
        <is>
          <t>DC39 .M25</t>
        </is>
      </c>
      <c r="C434" t="inlineStr">
        <is>
          <t>0                      DC 0039000M  25</t>
        </is>
      </c>
      <c r="D434" t="inlineStr">
        <is>
          <t>The story of France told to boys and girls / by Mary MacGregor ; with twenty plates in color by William Rainey.</t>
        </is>
      </c>
      <c r="F434" t="inlineStr">
        <is>
          <t>No</t>
        </is>
      </c>
      <c r="G434" t="inlineStr">
        <is>
          <t>1</t>
        </is>
      </c>
      <c r="H434" t="inlineStr">
        <is>
          <t>No</t>
        </is>
      </c>
      <c r="I434" t="inlineStr">
        <is>
          <t>No</t>
        </is>
      </c>
      <c r="J434" t="inlineStr">
        <is>
          <t>0</t>
        </is>
      </c>
      <c r="K434" t="inlineStr">
        <is>
          <t>Macgregor, Mary.</t>
        </is>
      </c>
      <c r="L434" t="inlineStr">
        <is>
          <t>New York : F. A. Stokes Co., 1920.</t>
        </is>
      </c>
      <c r="M434" t="inlineStr">
        <is>
          <t>1920</t>
        </is>
      </c>
      <c r="O434" t="inlineStr">
        <is>
          <t>eng</t>
        </is>
      </c>
      <c r="P434" t="inlineStr">
        <is>
          <t xml:space="preserve">xx </t>
        </is>
      </c>
      <c r="R434" t="inlineStr">
        <is>
          <t xml:space="preserve">DC </t>
        </is>
      </c>
      <c r="S434" t="n">
        <v>9</v>
      </c>
      <c r="T434" t="n">
        <v>9</v>
      </c>
      <c r="U434" t="inlineStr">
        <is>
          <t>2006-11-15</t>
        </is>
      </c>
      <c r="V434" t="inlineStr">
        <is>
          <t>2006-11-15</t>
        </is>
      </c>
      <c r="W434" t="inlineStr">
        <is>
          <t>1991-12-23</t>
        </is>
      </c>
      <c r="X434" t="inlineStr">
        <is>
          <t>1991-12-23</t>
        </is>
      </c>
      <c r="Y434" t="n">
        <v>41</v>
      </c>
      <c r="Z434" t="n">
        <v>40</v>
      </c>
      <c r="AA434" t="n">
        <v>69</v>
      </c>
      <c r="AB434" t="n">
        <v>2</v>
      </c>
      <c r="AC434" t="n">
        <v>3</v>
      </c>
      <c r="AD434" t="n">
        <v>1</v>
      </c>
      <c r="AE434" t="n">
        <v>3</v>
      </c>
      <c r="AF434" t="n">
        <v>0</v>
      </c>
      <c r="AG434" t="n">
        <v>0</v>
      </c>
      <c r="AH434" t="n">
        <v>0</v>
      </c>
      <c r="AI434" t="n">
        <v>0</v>
      </c>
      <c r="AJ434" t="n">
        <v>0</v>
      </c>
      <c r="AK434" t="n">
        <v>1</v>
      </c>
      <c r="AL434" t="n">
        <v>1</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HYPERLINK("https://creighton-primo.hosted.exlibrisgroup.com/primo-explore/search?tab=default_tab&amp;search_scope=EVERYTHING&amp;vid=01CRU&amp;lang=en_US&amp;offset=0&amp;query=any,contains,991004111609702656","Catalog Record")</f>
        <v/>
      </c>
      <c r="AT434">
        <f>HYPERLINK("http://www.worldcat.org/oclc/2400001","WorldCat Record")</f>
        <v/>
      </c>
      <c r="AU434" t="inlineStr">
        <is>
          <t>3855270847:eng</t>
        </is>
      </c>
      <c r="AV434" t="inlineStr">
        <is>
          <t>2400001</t>
        </is>
      </c>
      <c r="AW434" t="inlineStr">
        <is>
          <t>991004111609702656</t>
        </is>
      </c>
      <c r="AX434" t="inlineStr">
        <is>
          <t>991004111609702656</t>
        </is>
      </c>
      <c r="AY434" t="inlineStr">
        <is>
          <t>2264886260002656</t>
        </is>
      </c>
      <c r="AZ434" t="inlineStr">
        <is>
          <t>BOOK</t>
        </is>
      </c>
      <c r="BC434" t="inlineStr">
        <is>
          <t>32285000881275</t>
        </is>
      </c>
      <c r="BD434" t="inlineStr">
        <is>
          <t>893624352</t>
        </is>
      </c>
    </row>
    <row r="435">
      <c r="A435" t="inlineStr">
        <is>
          <t>No</t>
        </is>
      </c>
      <c r="B435" t="inlineStr">
        <is>
          <t>DC396 .D26 1986</t>
        </is>
      </c>
      <c r="C435" t="inlineStr">
        <is>
          <t>0                      DC 0396000D  26          1986</t>
        </is>
      </c>
      <c r="D435" t="inlineStr">
        <is>
          <t>June '36 : class struggle and the Popular Front in France / by Jacques Danos and Marcel Gibelin ; translated by Peter Fysh and Christine Bourry. Edited by Peter Fysh and Peter Marsden. With an introduction for English-speaking readers by Peter Fysh.</t>
        </is>
      </c>
      <c r="F435" t="inlineStr">
        <is>
          <t>No</t>
        </is>
      </c>
      <c r="G435" t="inlineStr">
        <is>
          <t>1</t>
        </is>
      </c>
      <c r="H435" t="inlineStr">
        <is>
          <t>No</t>
        </is>
      </c>
      <c r="I435" t="inlineStr">
        <is>
          <t>No</t>
        </is>
      </c>
      <c r="J435" t="inlineStr">
        <is>
          <t>0</t>
        </is>
      </c>
      <c r="K435" t="inlineStr">
        <is>
          <t>Danos, Jacques.</t>
        </is>
      </c>
      <c r="L435" t="inlineStr">
        <is>
          <t>London ; Chicago : Bookmarks, 1986.</t>
        </is>
      </c>
      <c r="M435" t="inlineStr">
        <is>
          <t>1986</t>
        </is>
      </c>
      <c r="O435" t="inlineStr">
        <is>
          <t>eng</t>
        </is>
      </c>
      <c r="P435" t="inlineStr">
        <is>
          <t>enk</t>
        </is>
      </c>
      <c r="R435" t="inlineStr">
        <is>
          <t xml:space="preserve">DC </t>
        </is>
      </c>
      <c r="S435" t="n">
        <v>5</v>
      </c>
      <c r="T435" t="n">
        <v>5</v>
      </c>
      <c r="U435" t="inlineStr">
        <is>
          <t>2006-05-22</t>
        </is>
      </c>
      <c r="V435" t="inlineStr">
        <is>
          <t>2006-05-22</t>
        </is>
      </c>
      <c r="W435" t="inlineStr">
        <is>
          <t>1991-01-15</t>
        </is>
      </c>
      <c r="X435" t="inlineStr">
        <is>
          <t>1991-01-15</t>
        </is>
      </c>
      <c r="Y435" t="n">
        <v>120</v>
      </c>
      <c r="Z435" t="n">
        <v>68</v>
      </c>
      <c r="AA435" t="n">
        <v>70</v>
      </c>
      <c r="AB435" t="n">
        <v>2</v>
      </c>
      <c r="AC435" t="n">
        <v>2</v>
      </c>
      <c r="AD435" t="n">
        <v>2</v>
      </c>
      <c r="AE435" t="n">
        <v>2</v>
      </c>
      <c r="AF435" t="n">
        <v>0</v>
      </c>
      <c r="AG435" t="n">
        <v>0</v>
      </c>
      <c r="AH435" t="n">
        <v>1</v>
      </c>
      <c r="AI435" t="n">
        <v>1</v>
      </c>
      <c r="AJ435" t="n">
        <v>1</v>
      </c>
      <c r="AK435" t="n">
        <v>1</v>
      </c>
      <c r="AL435" t="n">
        <v>1</v>
      </c>
      <c r="AM435" t="n">
        <v>1</v>
      </c>
      <c r="AN435" t="n">
        <v>0</v>
      </c>
      <c r="AO435" t="n">
        <v>0</v>
      </c>
      <c r="AP435" t="inlineStr">
        <is>
          <t>No</t>
        </is>
      </c>
      <c r="AQ435" t="inlineStr">
        <is>
          <t>Yes</t>
        </is>
      </c>
      <c r="AR435">
        <f>HYPERLINK("http://catalog.hathitrust.org/Record/000436399","HathiTrust Record")</f>
        <v/>
      </c>
      <c r="AS435">
        <f>HYPERLINK("https://creighton-primo.hosted.exlibrisgroup.com/primo-explore/search?tab=default_tab&amp;search_scope=EVERYTHING&amp;vid=01CRU&amp;lang=en_US&amp;offset=0&amp;query=any,contains,991000913439702656","Catalog Record")</f>
        <v/>
      </c>
      <c r="AT435">
        <f>HYPERLINK("http://www.worldcat.org/oclc/17840536","WorldCat Record")</f>
        <v/>
      </c>
      <c r="AU435" t="inlineStr">
        <is>
          <t>4494935929:eng</t>
        </is>
      </c>
      <c r="AV435" t="inlineStr">
        <is>
          <t>17840536</t>
        </is>
      </c>
      <c r="AW435" t="inlineStr">
        <is>
          <t>991000913439702656</t>
        </is>
      </c>
      <c r="AX435" t="inlineStr">
        <is>
          <t>991000913439702656</t>
        </is>
      </c>
      <c r="AY435" t="inlineStr">
        <is>
          <t>2262490930002656</t>
        </is>
      </c>
      <c r="AZ435" t="inlineStr">
        <is>
          <t>BOOK</t>
        </is>
      </c>
      <c r="BB435" t="inlineStr">
        <is>
          <t>9780906224236</t>
        </is>
      </c>
      <c r="BC435" t="inlineStr">
        <is>
          <t>32285000455088</t>
        </is>
      </c>
      <c r="BD435" t="inlineStr">
        <is>
          <t>893321477</t>
        </is>
      </c>
    </row>
    <row r="436">
      <c r="A436" t="inlineStr">
        <is>
          <t>No</t>
        </is>
      </c>
      <c r="B436" t="inlineStr">
        <is>
          <t>DC396 .D87 2004</t>
        </is>
      </c>
      <c r="C436" t="inlineStr">
        <is>
          <t>0                      DC 0396000D  87          2004</t>
        </is>
      </c>
      <c r="D436" t="inlineStr">
        <is>
          <t>France and the Nazi threat : the collapse of French diplomacy 1932-1939 / Jean-Baptiste Duroselle ; introduction by Anthony Adamthwaite ; [translated by Catherine E. Dop and Robert L. Miller].</t>
        </is>
      </c>
      <c r="F436" t="inlineStr">
        <is>
          <t>No</t>
        </is>
      </c>
      <c r="G436" t="inlineStr">
        <is>
          <t>1</t>
        </is>
      </c>
      <c r="H436" t="inlineStr">
        <is>
          <t>No</t>
        </is>
      </c>
      <c r="I436" t="inlineStr">
        <is>
          <t>No</t>
        </is>
      </c>
      <c r="J436" t="inlineStr">
        <is>
          <t>0</t>
        </is>
      </c>
      <c r="K436" t="inlineStr">
        <is>
          <t>Duroselle, Jean-Baptiste, 1917-1994.</t>
        </is>
      </c>
      <c r="L436" t="inlineStr">
        <is>
          <t>New York : Enigma Books, 2004.</t>
        </is>
      </c>
      <c r="M436" t="inlineStr">
        <is>
          <t>2004</t>
        </is>
      </c>
      <c r="O436" t="inlineStr">
        <is>
          <t>eng</t>
        </is>
      </c>
      <c r="P436" t="inlineStr">
        <is>
          <t>nyu</t>
        </is>
      </c>
      <c r="R436" t="inlineStr">
        <is>
          <t xml:space="preserve">DC </t>
        </is>
      </c>
      <c r="S436" t="n">
        <v>2</v>
      </c>
      <c r="T436" t="n">
        <v>2</v>
      </c>
      <c r="U436" t="inlineStr">
        <is>
          <t>2005-02-23</t>
        </is>
      </c>
      <c r="V436" t="inlineStr">
        <is>
          <t>2005-02-23</t>
        </is>
      </c>
      <c r="W436" t="inlineStr">
        <is>
          <t>2005-02-23</t>
        </is>
      </c>
      <c r="X436" t="inlineStr">
        <is>
          <t>2005-02-23</t>
        </is>
      </c>
      <c r="Y436" t="n">
        <v>464</v>
      </c>
      <c r="Z436" t="n">
        <v>406</v>
      </c>
      <c r="AA436" t="n">
        <v>424</v>
      </c>
      <c r="AB436" t="n">
        <v>1</v>
      </c>
      <c r="AC436" t="n">
        <v>1</v>
      </c>
      <c r="AD436" t="n">
        <v>25</v>
      </c>
      <c r="AE436" t="n">
        <v>25</v>
      </c>
      <c r="AF436" t="n">
        <v>16</v>
      </c>
      <c r="AG436" t="n">
        <v>16</v>
      </c>
      <c r="AH436" t="n">
        <v>6</v>
      </c>
      <c r="AI436" t="n">
        <v>6</v>
      </c>
      <c r="AJ436" t="n">
        <v>12</v>
      </c>
      <c r="AK436" t="n">
        <v>12</v>
      </c>
      <c r="AL436" t="n">
        <v>0</v>
      </c>
      <c r="AM436" t="n">
        <v>0</v>
      </c>
      <c r="AN436" t="n">
        <v>0</v>
      </c>
      <c r="AO436" t="n">
        <v>0</v>
      </c>
      <c r="AP436" t="inlineStr">
        <is>
          <t>No</t>
        </is>
      </c>
      <c r="AQ436" t="inlineStr">
        <is>
          <t>Yes</t>
        </is>
      </c>
      <c r="AR436">
        <f>HYPERLINK("http://catalog.hathitrust.org/Record/004723006","HathiTrust Record")</f>
        <v/>
      </c>
      <c r="AS436">
        <f>HYPERLINK("https://creighton-primo.hosted.exlibrisgroup.com/primo-explore/search?tab=default_tab&amp;search_scope=EVERYTHING&amp;vid=01CRU&amp;lang=en_US&amp;offset=0&amp;query=any,contains,991004462999702656","Catalog Record")</f>
        <v/>
      </c>
      <c r="AT436">
        <f>HYPERLINK("http://www.worldcat.org/oclc/55589798","WorldCat Record")</f>
        <v/>
      </c>
      <c r="AU436" t="inlineStr">
        <is>
          <t>4495158704:eng</t>
        </is>
      </c>
      <c r="AV436" t="inlineStr">
        <is>
          <t>55589798</t>
        </is>
      </c>
      <c r="AW436" t="inlineStr">
        <is>
          <t>991004462999702656</t>
        </is>
      </c>
      <c r="AX436" t="inlineStr">
        <is>
          <t>991004462999702656</t>
        </is>
      </c>
      <c r="AY436" t="inlineStr">
        <is>
          <t>2261470240002656</t>
        </is>
      </c>
      <c r="AZ436" t="inlineStr">
        <is>
          <t>BOOK</t>
        </is>
      </c>
      <c r="BB436" t="inlineStr">
        <is>
          <t>9781929631155</t>
        </is>
      </c>
      <c r="BC436" t="inlineStr">
        <is>
          <t>32285005027155</t>
        </is>
      </c>
      <c r="BD436" t="inlineStr">
        <is>
          <t>893788721</t>
        </is>
      </c>
    </row>
    <row r="437">
      <c r="A437" t="inlineStr">
        <is>
          <t>No</t>
        </is>
      </c>
      <c r="B437" t="inlineStr">
        <is>
          <t>DC396 .J33 1985</t>
        </is>
      </c>
      <c r="C437" t="inlineStr">
        <is>
          <t>0                      DC 0396000J  33          1985</t>
        </is>
      </c>
      <c r="D437" t="inlineStr">
        <is>
          <t>The politics of depression in France, 1932-1936 / Julian Jackson.</t>
        </is>
      </c>
      <c r="F437" t="inlineStr">
        <is>
          <t>No</t>
        </is>
      </c>
      <c r="G437" t="inlineStr">
        <is>
          <t>1</t>
        </is>
      </c>
      <c r="H437" t="inlineStr">
        <is>
          <t>No</t>
        </is>
      </c>
      <c r="I437" t="inlineStr">
        <is>
          <t>No</t>
        </is>
      </c>
      <c r="J437" t="inlineStr">
        <is>
          <t>0</t>
        </is>
      </c>
      <c r="K437" t="inlineStr">
        <is>
          <t>Jackson, Julian, 1954-</t>
        </is>
      </c>
      <c r="L437" t="inlineStr">
        <is>
          <t>Cambridge ; New York : Cambridge University Press, 1985.</t>
        </is>
      </c>
      <c r="M437" t="inlineStr">
        <is>
          <t>1985</t>
        </is>
      </c>
      <c r="O437" t="inlineStr">
        <is>
          <t>eng</t>
        </is>
      </c>
      <c r="P437" t="inlineStr">
        <is>
          <t>enk</t>
        </is>
      </c>
      <c r="R437" t="inlineStr">
        <is>
          <t xml:space="preserve">DC </t>
        </is>
      </c>
      <c r="S437" t="n">
        <v>4</v>
      </c>
      <c r="T437" t="n">
        <v>4</v>
      </c>
      <c r="U437" t="inlineStr">
        <is>
          <t>1997-12-01</t>
        </is>
      </c>
      <c r="V437" t="inlineStr">
        <is>
          <t>1997-12-01</t>
        </is>
      </c>
      <c r="W437" t="inlineStr">
        <is>
          <t>1991-01-15</t>
        </is>
      </c>
      <c r="X437" t="inlineStr">
        <is>
          <t>1991-01-15</t>
        </is>
      </c>
      <c r="Y437" t="n">
        <v>470</v>
      </c>
      <c r="Z437" t="n">
        <v>317</v>
      </c>
      <c r="AA437" t="n">
        <v>331</v>
      </c>
      <c r="AB437" t="n">
        <v>3</v>
      </c>
      <c r="AC437" t="n">
        <v>3</v>
      </c>
      <c r="AD437" t="n">
        <v>13</v>
      </c>
      <c r="AE437" t="n">
        <v>14</v>
      </c>
      <c r="AF437" t="n">
        <v>4</v>
      </c>
      <c r="AG437" t="n">
        <v>4</v>
      </c>
      <c r="AH437" t="n">
        <v>4</v>
      </c>
      <c r="AI437" t="n">
        <v>4</v>
      </c>
      <c r="AJ437" t="n">
        <v>9</v>
      </c>
      <c r="AK437" t="n">
        <v>10</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HYPERLINK("https://creighton-primo.hosted.exlibrisgroup.com/primo-explore/search?tab=default_tab&amp;search_scope=EVERYTHING&amp;vid=01CRU&amp;lang=en_US&amp;offset=0&amp;query=any,contains,991000584549702656","Catalog Record")</f>
        <v/>
      </c>
      <c r="AT437">
        <f>HYPERLINK("http://www.worldcat.org/oclc/11755922","WorldCat Record")</f>
        <v/>
      </c>
      <c r="AU437" t="inlineStr">
        <is>
          <t>117888249:eng</t>
        </is>
      </c>
      <c r="AV437" t="inlineStr">
        <is>
          <t>11755922</t>
        </is>
      </c>
      <c r="AW437" t="inlineStr">
        <is>
          <t>991000584549702656</t>
        </is>
      </c>
      <c r="AX437" t="inlineStr">
        <is>
          <t>991000584549702656</t>
        </is>
      </c>
      <c r="AY437" t="inlineStr">
        <is>
          <t>2270721660002656</t>
        </is>
      </c>
      <c r="AZ437" t="inlineStr">
        <is>
          <t>BOOK</t>
        </is>
      </c>
      <c r="BB437" t="inlineStr">
        <is>
          <t>9780521265591</t>
        </is>
      </c>
      <c r="BC437" t="inlineStr">
        <is>
          <t>32285000455096</t>
        </is>
      </c>
      <c r="BD437" t="inlineStr">
        <is>
          <t>893620617</t>
        </is>
      </c>
    </row>
    <row r="438">
      <c r="A438" t="inlineStr">
        <is>
          <t>No</t>
        </is>
      </c>
      <c r="B438" t="inlineStr">
        <is>
          <t>DC397 .C87 2002</t>
        </is>
      </c>
      <c r="C438" t="inlineStr">
        <is>
          <t>0                      DC 0397000C  87          2002</t>
        </is>
      </c>
      <c r="D438" t="inlineStr">
        <is>
          <t>Verdict on Vichy : power and prejudice in the Vichy France regime / Michael Curtis.</t>
        </is>
      </c>
      <c r="F438" t="inlineStr">
        <is>
          <t>No</t>
        </is>
      </c>
      <c r="G438" t="inlineStr">
        <is>
          <t>1</t>
        </is>
      </c>
      <c r="H438" t="inlineStr">
        <is>
          <t>No</t>
        </is>
      </c>
      <c r="I438" t="inlineStr">
        <is>
          <t>No</t>
        </is>
      </c>
      <c r="J438" t="inlineStr">
        <is>
          <t>0</t>
        </is>
      </c>
      <c r="K438" t="inlineStr">
        <is>
          <t>Curtis, Michael, 1923-</t>
        </is>
      </c>
      <c r="L438" t="inlineStr">
        <is>
          <t>New York : Arcade Pub. : Distributed by AOL Time Warner Book Group, c2002.</t>
        </is>
      </c>
      <c r="M438" t="inlineStr">
        <is>
          <t>2002</t>
        </is>
      </c>
      <c r="N438" t="inlineStr">
        <is>
          <t>1st U.S. ed.</t>
        </is>
      </c>
      <c r="O438" t="inlineStr">
        <is>
          <t>eng</t>
        </is>
      </c>
      <c r="P438" t="inlineStr">
        <is>
          <t>nyu</t>
        </is>
      </c>
      <c r="R438" t="inlineStr">
        <is>
          <t xml:space="preserve">DC </t>
        </is>
      </c>
      <c r="S438" t="n">
        <v>2</v>
      </c>
      <c r="T438" t="n">
        <v>2</v>
      </c>
      <c r="U438" t="inlineStr">
        <is>
          <t>2004-10-10</t>
        </is>
      </c>
      <c r="V438" t="inlineStr">
        <is>
          <t>2004-10-10</t>
        </is>
      </c>
      <c r="W438" t="inlineStr">
        <is>
          <t>2004-09-13</t>
        </is>
      </c>
      <c r="X438" t="inlineStr">
        <is>
          <t>2004-09-13</t>
        </is>
      </c>
      <c r="Y438" t="n">
        <v>647</v>
      </c>
      <c r="Z438" t="n">
        <v>604</v>
      </c>
      <c r="AA438" t="n">
        <v>685</v>
      </c>
      <c r="AB438" t="n">
        <v>5</v>
      </c>
      <c r="AC438" t="n">
        <v>5</v>
      </c>
      <c r="AD438" t="n">
        <v>27</v>
      </c>
      <c r="AE438" t="n">
        <v>28</v>
      </c>
      <c r="AF438" t="n">
        <v>11</v>
      </c>
      <c r="AG438" t="n">
        <v>11</v>
      </c>
      <c r="AH438" t="n">
        <v>8</v>
      </c>
      <c r="AI438" t="n">
        <v>9</v>
      </c>
      <c r="AJ438" t="n">
        <v>10</v>
      </c>
      <c r="AK438" t="n">
        <v>11</v>
      </c>
      <c r="AL438" t="n">
        <v>4</v>
      </c>
      <c r="AM438" t="n">
        <v>4</v>
      </c>
      <c r="AN438" t="n">
        <v>0</v>
      </c>
      <c r="AO438" t="n">
        <v>0</v>
      </c>
      <c r="AP438" t="inlineStr">
        <is>
          <t>No</t>
        </is>
      </c>
      <c r="AQ438" t="inlineStr">
        <is>
          <t>Yes</t>
        </is>
      </c>
      <c r="AR438">
        <f>HYPERLINK("http://catalog.hathitrust.org/Record/004324134","HathiTrust Record")</f>
        <v/>
      </c>
      <c r="AS438">
        <f>HYPERLINK("https://creighton-primo.hosted.exlibrisgroup.com/primo-explore/search?tab=default_tab&amp;search_scope=EVERYTHING&amp;vid=01CRU&amp;lang=en_US&amp;offset=0&amp;query=any,contains,991004359499702656","Catalog Record")</f>
        <v/>
      </c>
      <c r="AT438">
        <f>HYPERLINK("http://www.worldcat.org/oclc/51389154","WorldCat Record")</f>
        <v/>
      </c>
      <c r="AU438" t="inlineStr">
        <is>
          <t>774465:eng</t>
        </is>
      </c>
      <c r="AV438" t="inlineStr">
        <is>
          <t>51389154</t>
        </is>
      </c>
      <c r="AW438" t="inlineStr">
        <is>
          <t>991004359499702656</t>
        </is>
      </c>
      <c r="AX438" t="inlineStr">
        <is>
          <t>991004359499702656</t>
        </is>
      </c>
      <c r="AY438" t="inlineStr">
        <is>
          <t>2261363740002656</t>
        </is>
      </c>
      <c r="AZ438" t="inlineStr">
        <is>
          <t>BOOK</t>
        </is>
      </c>
      <c r="BB438" t="inlineStr">
        <is>
          <t>9781559706896</t>
        </is>
      </c>
      <c r="BC438" t="inlineStr">
        <is>
          <t>32285004986559</t>
        </is>
      </c>
      <c r="BD438" t="inlineStr">
        <is>
          <t>893513130</t>
        </is>
      </c>
    </row>
    <row r="439">
      <c r="A439" t="inlineStr">
        <is>
          <t>No</t>
        </is>
      </c>
      <c r="B439" t="inlineStr">
        <is>
          <t>DC397 .H32 1995</t>
        </is>
      </c>
      <c r="C439" t="inlineStr">
        <is>
          <t>0                      DC 0397000H  32          1995</t>
        </is>
      </c>
      <c r="D439" t="inlineStr">
        <is>
          <t>Politics, society and Christianity in Vichy France / W.D. Halls.</t>
        </is>
      </c>
      <c r="F439" t="inlineStr">
        <is>
          <t>No</t>
        </is>
      </c>
      <c r="G439" t="inlineStr">
        <is>
          <t>1</t>
        </is>
      </c>
      <c r="H439" t="inlineStr">
        <is>
          <t>No</t>
        </is>
      </c>
      <c r="I439" t="inlineStr">
        <is>
          <t>No</t>
        </is>
      </c>
      <c r="J439" t="inlineStr">
        <is>
          <t>0</t>
        </is>
      </c>
      <c r="K439" t="inlineStr">
        <is>
          <t>Halls, W. D.</t>
        </is>
      </c>
      <c r="L439" t="inlineStr">
        <is>
          <t>Oxford ; Providence, USA : Berg, 1995.</t>
        </is>
      </c>
      <c r="M439" t="inlineStr">
        <is>
          <t>1995</t>
        </is>
      </c>
      <c r="O439" t="inlineStr">
        <is>
          <t>eng</t>
        </is>
      </c>
      <c r="P439" t="inlineStr">
        <is>
          <t>enk</t>
        </is>
      </c>
      <c r="Q439" t="inlineStr">
        <is>
          <t>Berg French studies</t>
        </is>
      </c>
      <c r="R439" t="inlineStr">
        <is>
          <t xml:space="preserve">DC </t>
        </is>
      </c>
      <c r="S439" t="n">
        <v>4</v>
      </c>
      <c r="T439" t="n">
        <v>4</v>
      </c>
      <c r="U439" t="inlineStr">
        <is>
          <t>1996-06-02</t>
        </is>
      </c>
      <c r="V439" t="inlineStr">
        <is>
          <t>1996-06-02</t>
        </is>
      </c>
      <c r="W439" t="inlineStr">
        <is>
          <t>1996-01-16</t>
        </is>
      </c>
      <c r="X439" t="inlineStr">
        <is>
          <t>1996-01-16</t>
        </is>
      </c>
      <c r="Y439" t="n">
        <v>540</v>
      </c>
      <c r="Z439" t="n">
        <v>393</v>
      </c>
      <c r="AA439" t="n">
        <v>398</v>
      </c>
      <c r="AB439" t="n">
        <v>3</v>
      </c>
      <c r="AC439" t="n">
        <v>3</v>
      </c>
      <c r="AD439" t="n">
        <v>27</v>
      </c>
      <c r="AE439" t="n">
        <v>27</v>
      </c>
      <c r="AF439" t="n">
        <v>10</v>
      </c>
      <c r="AG439" t="n">
        <v>10</v>
      </c>
      <c r="AH439" t="n">
        <v>8</v>
      </c>
      <c r="AI439" t="n">
        <v>8</v>
      </c>
      <c r="AJ439" t="n">
        <v>16</v>
      </c>
      <c r="AK439" t="n">
        <v>16</v>
      </c>
      <c r="AL439" t="n">
        <v>2</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HYPERLINK("https://creighton-primo.hosted.exlibrisgroup.com/primo-explore/search?tab=default_tab&amp;search_scope=EVERYTHING&amp;vid=01CRU&amp;lang=en_US&amp;offset=0&amp;query=any,contains,991002467289702656","Catalog Record")</f>
        <v/>
      </c>
      <c r="AT439">
        <f>HYPERLINK("http://www.worldcat.org/oclc/32133296","WorldCat Record")</f>
        <v/>
      </c>
      <c r="AU439" t="inlineStr">
        <is>
          <t>25509599:eng</t>
        </is>
      </c>
      <c r="AV439" t="inlineStr">
        <is>
          <t>32133296</t>
        </is>
      </c>
      <c r="AW439" t="inlineStr">
        <is>
          <t>991002467289702656</t>
        </is>
      </c>
      <c r="AX439" t="inlineStr">
        <is>
          <t>991002467289702656</t>
        </is>
      </c>
      <c r="AY439" t="inlineStr">
        <is>
          <t>2264266790002656</t>
        </is>
      </c>
      <c r="AZ439" t="inlineStr">
        <is>
          <t>BOOK</t>
        </is>
      </c>
      <c r="BB439" t="inlineStr">
        <is>
          <t>9781859730713</t>
        </is>
      </c>
      <c r="BC439" t="inlineStr">
        <is>
          <t>32285002117306</t>
        </is>
      </c>
      <c r="BD439" t="inlineStr">
        <is>
          <t>893710324</t>
        </is>
      </c>
    </row>
    <row r="440">
      <c r="A440" t="inlineStr">
        <is>
          <t>No</t>
        </is>
      </c>
      <c r="B440" t="inlineStr">
        <is>
          <t>DC397 .J18 2001</t>
        </is>
      </c>
      <c r="C440" t="inlineStr">
        <is>
          <t>0                      DC 0397000J  18          2001</t>
        </is>
      </c>
      <c r="D440" t="inlineStr">
        <is>
          <t>France : the dark years, 1940-1944 / Julian Jackson.</t>
        </is>
      </c>
      <c r="F440" t="inlineStr">
        <is>
          <t>No</t>
        </is>
      </c>
      <c r="G440" t="inlineStr">
        <is>
          <t>1</t>
        </is>
      </c>
      <c r="H440" t="inlineStr">
        <is>
          <t>No</t>
        </is>
      </c>
      <c r="I440" t="inlineStr">
        <is>
          <t>No</t>
        </is>
      </c>
      <c r="J440" t="inlineStr">
        <is>
          <t>0</t>
        </is>
      </c>
      <c r="K440" t="inlineStr">
        <is>
          <t>Jackson, Julian, 1954-</t>
        </is>
      </c>
      <c r="L440" t="inlineStr">
        <is>
          <t>Oxford ; New York: Oxford University Press, 2001.</t>
        </is>
      </c>
      <c r="M440" t="inlineStr">
        <is>
          <t>2001</t>
        </is>
      </c>
      <c r="O440" t="inlineStr">
        <is>
          <t>eng</t>
        </is>
      </c>
      <c r="P440" t="inlineStr">
        <is>
          <t>enk</t>
        </is>
      </c>
      <c r="R440" t="inlineStr">
        <is>
          <t xml:space="preserve">DC </t>
        </is>
      </c>
      <c r="S440" t="n">
        <v>2</v>
      </c>
      <c r="T440" t="n">
        <v>2</v>
      </c>
      <c r="U440" t="inlineStr">
        <is>
          <t>2002-01-30</t>
        </is>
      </c>
      <c r="V440" t="inlineStr">
        <is>
          <t>2002-01-30</t>
        </is>
      </c>
      <c r="W440" t="inlineStr">
        <is>
          <t>2002-01-30</t>
        </is>
      </c>
      <c r="X440" t="inlineStr">
        <is>
          <t>2002-01-30</t>
        </is>
      </c>
      <c r="Y440" t="n">
        <v>1140</v>
      </c>
      <c r="Z440" t="n">
        <v>908</v>
      </c>
      <c r="AA440" t="n">
        <v>1029</v>
      </c>
      <c r="AB440" t="n">
        <v>5</v>
      </c>
      <c r="AC440" t="n">
        <v>7</v>
      </c>
      <c r="AD440" t="n">
        <v>44</v>
      </c>
      <c r="AE440" t="n">
        <v>46</v>
      </c>
      <c r="AF440" t="n">
        <v>21</v>
      </c>
      <c r="AG440" t="n">
        <v>21</v>
      </c>
      <c r="AH440" t="n">
        <v>9</v>
      </c>
      <c r="AI440" t="n">
        <v>9</v>
      </c>
      <c r="AJ440" t="n">
        <v>21</v>
      </c>
      <c r="AK440" t="n">
        <v>21</v>
      </c>
      <c r="AL440" t="n">
        <v>4</v>
      </c>
      <c r="AM440" t="n">
        <v>6</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HYPERLINK("https://creighton-primo.hosted.exlibrisgroup.com/primo-explore/search?tab=default_tab&amp;search_scope=EVERYTHING&amp;vid=01CRU&amp;lang=en_US&amp;offset=0&amp;query=any,contains,991003616059702656","Catalog Record")</f>
        <v/>
      </c>
      <c r="AT440">
        <f>HYPERLINK("http://www.worldcat.org/oclc/45406461","WorldCat Record")</f>
        <v/>
      </c>
      <c r="AU440" t="inlineStr">
        <is>
          <t>840428318:eng</t>
        </is>
      </c>
      <c r="AV440" t="inlineStr">
        <is>
          <t>45406461</t>
        </is>
      </c>
      <c r="AW440" t="inlineStr">
        <is>
          <t>991003616059702656</t>
        </is>
      </c>
      <c r="AX440" t="inlineStr">
        <is>
          <t>991003616059702656</t>
        </is>
      </c>
      <c r="AY440" t="inlineStr">
        <is>
          <t>2268280840002656</t>
        </is>
      </c>
      <c r="AZ440" t="inlineStr">
        <is>
          <t>BOOK</t>
        </is>
      </c>
      <c r="BB440" t="inlineStr">
        <is>
          <t>9780198207061</t>
        </is>
      </c>
      <c r="BC440" t="inlineStr">
        <is>
          <t>32285004451398</t>
        </is>
      </c>
      <c r="BD440" t="inlineStr">
        <is>
          <t>893781193</t>
        </is>
      </c>
    </row>
    <row r="441">
      <c r="A441" t="inlineStr">
        <is>
          <t>No</t>
        </is>
      </c>
      <c r="B441" t="inlineStr">
        <is>
          <t>DC397 .J45 2001</t>
        </is>
      </c>
      <c r="C441" t="inlineStr">
        <is>
          <t>0                      DC 0397000J  45          2001</t>
        </is>
      </c>
      <c r="D441" t="inlineStr">
        <is>
          <t>Vichy in the tropics : Pétain's national revolution in Madagascar, Guadeloupe, and Indochina, 1940-1944 / Eric T. Jennings.</t>
        </is>
      </c>
      <c r="F441" t="inlineStr">
        <is>
          <t>No</t>
        </is>
      </c>
      <c r="G441" t="inlineStr">
        <is>
          <t>1</t>
        </is>
      </c>
      <c r="H441" t="inlineStr">
        <is>
          <t>No</t>
        </is>
      </c>
      <c r="I441" t="inlineStr">
        <is>
          <t>No</t>
        </is>
      </c>
      <c r="J441" t="inlineStr">
        <is>
          <t>0</t>
        </is>
      </c>
      <c r="K441" t="inlineStr">
        <is>
          <t>Jennings, Eric T. (Eric Thomas), 1970-</t>
        </is>
      </c>
      <c r="L441" t="inlineStr">
        <is>
          <t>Stanford, Calif. : Stanford University Press, 2001.</t>
        </is>
      </c>
      <c r="M441" t="inlineStr">
        <is>
          <t>2001</t>
        </is>
      </c>
      <c r="O441" t="inlineStr">
        <is>
          <t>eng</t>
        </is>
      </c>
      <c r="P441" t="inlineStr">
        <is>
          <t>cau</t>
        </is>
      </c>
      <c r="R441" t="inlineStr">
        <is>
          <t xml:space="preserve">DC </t>
        </is>
      </c>
      <c r="S441" t="n">
        <v>2</v>
      </c>
      <c r="T441" t="n">
        <v>2</v>
      </c>
      <c r="U441" t="inlineStr">
        <is>
          <t>2007-10-05</t>
        </is>
      </c>
      <c r="V441" t="inlineStr">
        <is>
          <t>2007-10-05</t>
        </is>
      </c>
      <c r="W441" t="inlineStr">
        <is>
          <t>2007-10-01</t>
        </is>
      </c>
      <c r="X441" t="inlineStr">
        <is>
          <t>2007-10-01</t>
        </is>
      </c>
      <c r="Y441" t="n">
        <v>343</v>
      </c>
      <c r="Z441" t="n">
        <v>256</v>
      </c>
      <c r="AA441" t="n">
        <v>284</v>
      </c>
      <c r="AB441" t="n">
        <v>3</v>
      </c>
      <c r="AC441" t="n">
        <v>5</v>
      </c>
      <c r="AD441" t="n">
        <v>17</v>
      </c>
      <c r="AE441" t="n">
        <v>20</v>
      </c>
      <c r="AF441" t="n">
        <v>4</v>
      </c>
      <c r="AG441" t="n">
        <v>5</v>
      </c>
      <c r="AH441" t="n">
        <v>5</v>
      </c>
      <c r="AI441" t="n">
        <v>5</v>
      </c>
      <c r="AJ441" t="n">
        <v>11</v>
      </c>
      <c r="AK441" t="n">
        <v>11</v>
      </c>
      <c r="AL441" t="n">
        <v>2</v>
      </c>
      <c r="AM441" t="n">
        <v>4</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HYPERLINK("https://creighton-primo.hosted.exlibrisgroup.com/primo-explore/search?tab=default_tab&amp;search_scope=EVERYTHING&amp;vid=01CRU&amp;lang=en_US&amp;offset=0&amp;query=any,contains,991005110089702656","Catalog Record")</f>
        <v/>
      </c>
      <c r="AT441">
        <f>HYPERLINK("http://www.worldcat.org/oclc/47216325","WorldCat Record")</f>
        <v/>
      </c>
      <c r="AU441" t="inlineStr">
        <is>
          <t>793904181:eng</t>
        </is>
      </c>
      <c r="AV441" t="inlineStr">
        <is>
          <t>47216325</t>
        </is>
      </c>
      <c r="AW441" t="inlineStr">
        <is>
          <t>991005110089702656</t>
        </is>
      </c>
      <c r="AX441" t="inlineStr">
        <is>
          <t>991005110089702656</t>
        </is>
      </c>
      <c r="AY441" t="inlineStr">
        <is>
          <t>2255696800002656</t>
        </is>
      </c>
      <c r="AZ441" t="inlineStr">
        <is>
          <t>BOOK</t>
        </is>
      </c>
      <c r="BB441" t="inlineStr">
        <is>
          <t>9780804741798</t>
        </is>
      </c>
      <c r="BC441" t="inlineStr">
        <is>
          <t>32285005327456</t>
        </is>
      </c>
      <c r="BD441" t="inlineStr">
        <is>
          <t>893619462</t>
        </is>
      </c>
    </row>
    <row r="442">
      <c r="A442" t="inlineStr">
        <is>
          <t>No</t>
        </is>
      </c>
      <c r="B442" t="inlineStr">
        <is>
          <t>DC397 .O87 1998</t>
        </is>
      </c>
      <c r="C442" t="inlineStr">
        <is>
          <t>0                      DC 0397000O  87          1998</t>
        </is>
      </c>
      <c r="D442" t="inlineStr">
        <is>
          <t>Occupation : the ordeal of France, 1940-1944 / Ian Ousby.</t>
        </is>
      </c>
      <c r="F442" t="inlineStr">
        <is>
          <t>No</t>
        </is>
      </c>
      <c r="G442" t="inlineStr">
        <is>
          <t>1</t>
        </is>
      </c>
      <c r="H442" t="inlineStr">
        <is>
          <t>No</t>
        </is>
      </c>
      <c r="I442" t="inlineStr">
        <is>
          <t>No</t>
        </is>
      </c>
      <c r="J442" t="inlineStr">
        <is>
          <t>0</t>
        </is>
      </c>
      <c r="K442" t="inlineStr">
        <is>
          <t>Ousby, Ian, 1947-</t>
        </is>
      </c>
      <c r="L442" t="inlineStr">
        <is>
          <t>New York : St. Martin's Press, 1998.</t>
        </is>
      </c>
      <c r="M442" t="inlineStr">
        <is>
          <t>1998</t>
        </is>
      </c>
      <c r="N442" t="inlineStr">
        <is>
          <t>1st U.S. ed.</t>
        </is>
      </c>
      <c r="O442" t="inlineStr">
        <is>
          <t>eng</t>
        </is>
      </c>
      <c r="P442" t="inlineStr">
        <is>
          <t>nyu</t>
        </is>
      </c>
      <c r="R442" t="inlineStr">
        <is>
          <t xml:space="preserve">DC </t>
        </is>
      </c>
      <c r="S442" t="n">
        <v>3</v>
      </c>
      <c r="T442" t="n">
        <v>3</v>
      </c>
      <c r="U442" t="inlineStr">
        <is>
          <t>2007-04-16</t>
        </is>
      </c>
      <c r="V442" t="inlineStr">
        <is>
          <t>2007-04-16</t>
        </is>
      </c>
      <c r="W442" t="inlineStr">
        <is>
          <t>2001-01-04</t>
        </is>
      </c>
      <c r="X442" t="inlineStr">
        <is>
          <t>2001-01-04</t>
        </is>
      </c>
      <c r="Y442" t="n">
        <v>707</v>
      </c>
      <c r="Z442" t="n">
        <v>656</v>
      </c>
      <c r="AA442" t="n">
        <v>661</v>
      </c>
      <c r="AB442" t="n">
        <v>8</v>
      </c>
      <c r="AC442" t="n">
        <v>8</v>
      </c>
      <c r="AD442" t="n">
        <v>23</v>
      </c>
      <c r="AE442" t="n">
        <v>23</v>
      </c>
      <c r="AF442" t="n">
        <v>6</v>
      </c>
      <c r="AG442" t="n">
        <v>6</v>
      </c>
      <c r="AH442" t="n">
        <v>5</v>
      </c>
      <c r="AI442" t="n">
        <v>5</v>
      </c>
      <c r="AJ442" t="n">
        <v>10</v>
      </c>
      <c r="AK442" t="n">
        <v>10</v>
      </c>
      <c r="AL442" t="n">
        <v>5</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HYPERLINK("https://creighton-primo.hosted.exlibrisgroup.com/primo-explore/search?tab=default_tab&amp;search_scope=EVERYTHING&amp;vid=01CRU&amp;lang=en_US&amp;offset=0&amp;query=any,contains,991003352949702656","Catalog Record")</f>
        <v/>
      </c>
      <c r="AT442">
        <f>HYPERLINK("http://www.worldcat.org/oclc/38304548","WorldCat Record")</f>
        <v/>
      </c>
      <c r="AU442" t="inlineStr">
        <is>
          <t>8908972090:eng</t>
        </is>
      </c>
      <c r="AV442" t="inlineStr">
        <is>
          <t>38304548</t>
        </is>
      </c>
      <c r="AW442" t="inlineStr">
        <is>
          <t>991003352949702656</t>
        </is>
      </c>
      <c r="AX442" t="inlineStr">
        <is>
          <t>991003352949702656</t>
        </is>
      </c>
      <c r="AY442" t="inlineStr">
        <is>
          <t>2258579330002656</t>
        </is>
      </c>
      <c r="AZ442" t="inlineStr">
        <is>
          <t>BOOK</t>
        </is>
      </c>
      <c r="BB442" t="inlineStr">
        <is>
          <t>9780312181482</t>
        </is>
      </c>
      <c r="BC442" t="inlineStr">
        <is>
          <t>32285004279773</t>
        </is>
      </c>
      <c r="BD442" t="inlineStr">
        <is>
          <t>893227994</t>
        </is>
      </c>
    </row>
    <row r="443">
      <c r="A443" t="inlineStr">
        <is>
          <t>No</t>
        </is>
      </c>
      <c r="B443" t="inlineStr">
        <is>
          <t>DC397 .P37</t>
        </is>
      </c>
      <c r="C443" t="inlineStr">
        <is>
          <t>0                      DC 0397000P  37</t>
        </is>
      </c>
      <c r="D443" t="inlineStr">
        <is>
          <t>Vichy France: old guard and new order, 1940-1944 [by] Robert O. Paxton.</t>
        </is>
      </c>
      <c r="F443" t="inlineStr">
        <is>
          <t>No</t>
        </is>
      </c>
      <c r="G443" t="inlineStr">
        <is>
          <t>1</t>
        </is>
      </c>
      <c r="H443" t="inlineStr">
        <is>
          <t>No</t>
        </is>
      </c>
      <c r="I443" t="inlineStr">
        <is>
          <t>Yes</t>
        </is>
      </c>
      <c r="J443" t="inlineStr">
        <is>
          <t>0</t>
        </is>
      </c>
      <c r="K443" t="inlineStr">
        <is>
          <t>Paxton, Robert O.</t>
        </is>
      </c>
      <c r="L443" t="inlineStr">
        <is>
          <t>New York, Knopf; distributed by Random House, 1972.</t>
        </is>
      </c>
      <c r="M443" t="inlineStr">
        <is>
          <t>1972</t>
        </is>
      </c>
      <c r="N443" t="inlineStr">
        <is>
          <t>[1st ed.]</t>
        </is>
      </c>
      <c r="O443" t="inlineStr">
        <is>
          <t>eng</t>
        </is>
      </c>
      <c r="P443" t="inlineStr">
        <is>
          <t>nyu</t>
        </is>
      </c>
      <c r="R443" t="inlineStr">
        <is>
          <t xml:space="preserve">DC </t>
        </is>
      </c>
      <c r="S443" t="n">
        <v>1</v>
      </c>
      <c r="T443" t="n">
        <v>1</v>
      </c>
      <c r="U443" t="inlineStr">
        <is>
          <t>1999-04-05</t>
        </is>
      </c>
      <c r="V443" t="inlineStr">
        <is>
          <t>1999-04-05</t>
        </is>
      </c>
      <c r="W443" t="inlineStr">
        <is>
          <t>1996-11-20</t>
        </is>
      </c>
      <c r="X443" t="inlineStr">
        <is>
          <t>1996-11-20</t>
        </is>
      </c>
      <c r="Y443" t="n">
        <v>1081</v>
      </c>
      <c r="Z443" t="n">
        <v>985</v>
      </c>
      <c r="AA443" t="n">
        <v>1304</v>
      </c>
      <c r="AB443" t="n">
        <v>7</v>
      </c>
      <c r="AC443" t="n">
        <v>11</v>
      </c>
      <c r="AD443" t="n">
        <v>39</v>
      </c>
      <c r="AE443" t="n">
        <v>52</v>
      </c>
      <c r="AF443" t="n">
        <v>17</v>
      </c>
      <c r="AG443" t="n">
        <v>22</v>
      </c>
      <c r="AH443" t="n">
        <v>8</v>
      </c>
      <c r="AI443" t="n">
        <v>11</v>
      </c>
      <c r="AJ443" t="n">
        <v>20</v>
      </c>
      <c r="AK443" t="n">
        <v>23</v>
      </c>
      <c r="AL443" t="n">
        <v>5</v>
      </c>
      <c r="AM443" t="n">
        <v>9</v>
      </c>
      <c r="AN443" t="n">
        <v>0</v>
      </c>
      <c r="AO443" t="n">
        <v>1</v>
      </c>
      <c r="AP443" t="inlineStr">
        <is>
          <t>No</t>
        </is>
      </c>
      <c r="AQ443" t="inlineStr">
        <is>
          <t>Yes</t>
        </is>
      </c>
      <c r="AR443">
        <f>HYPERLINK("http://catalog.hathitrust.org/Record/000003573","HathiTrust Record")</f>
        <v/>
      </c>
      <c r="AS443">
        <f>HYPERLINK("https://creighton-primo.hosted.exlibrisgroup.com/primo-explore/search?tab=default_tab&amp;search_scope=EVERYTHING&amp;vid=01CRU&amp;lang=en_US&amp;offset=0&amp;query=any,contains,991001927179702656","Catalog Record")</f>
        <v/>
      </c>
      <c r="AT443">
        <f>HYPERLINK("http://www.worldcat.org/oclc/247184","WorldCat Record")</f>
        <v/>
      </c>
      <c r="AU443" t="inlineStr">
        <is>
          <t>5579754402:eng</t>
        </is>
      </c>
      <c r="AV443" t="inlineStr">
        <is>
          <t>247184</t>
        </is>
      </c>
      <c r="AW443" t="inlineStr">
        <is>
          <t>991001927179702656</t>
        </is>
      </c>
      <c r="AX443" t="inlineStr">
        <is>
          <t>991001927179702656</t>
        </is>
      </c>
      <c r="AY443" t="inlineStr">
        <is>
          <t>2257225280002656</t>
        </is>
      </c>
      <c r="AZ443" t="inlineStr">
        <is>
          <t>BOOK</t>
        </is>
      </c>
      <c r="BB443" t="inlineStr">
        <is>
          <t>9780394473604</t>
        </is>
      </c>
      <c r="BC443" t="inlineStr">
        <is>
          <t>32285002380391</t>
        </is>
      </c>
      <c r="BD443" t="inlineStr">
        <is>
          <t>893316172</t>
        </is>
      </c>
    </row>
    <row r="444">
      <c r="A444" t="inlineStr">
        <is>
          <t>No</t>
        </is>
      </c>
      <c r="B444" t="inlineStr">
        <is>
          <t>DC397 .R7314 1991</t>
        </is>
      </c>
      <c r="C444" t="inlineStr">
        <is>
          <t>0                      DC 0397000R  7314        1991</t>
        </is>
      </c>
      <c r="D444" t="inlineStr">
        <is>
          <t>The Vichy syndrome : history and memory in France since 1944 / Henry Rousso ; translated by Arthur Goldhammer.</t>
        </is>
      </c>
      <c r="F444" t="inlineStr">
        <is>
          <t>No</t>
        </is>
      </c>
      <c r="G444" t="inlineStr">
        <is>
          <t>1</t>
        </is>
      </c>
      <c r="H444" t="inlineStr">
        <is>
          <t>No</t>
        </is>
      </c>
      <c r="I444" t="inlineStr">
        <is>
          <t>No</t>
        </is>
      </c>
      <c r="J444" t="inlineStr">
        <is>
          <t>0</t>
        </is>
      </c>
      <c r="K444" t="inlineStr">
        <is>
          <t>Rousso, Henry, 1954-</t>
        </is>
      </c>
      <c r="L444" t="inlineStr">
        <is>
          <t>Cambridge, Mass. : Harvard University Press, 1991.</t>
        </is>
      </c>
      <c r="M444" t="inlineStr">
        <is>
          <t>1991</t>
        </is>
      </c>
      <c r="O444" t="inlineStr">
        <is>
          <t>eng</t>
        </is>
      </c>
      <c r="P444" t="inlineStr">
        <is>
          <t>mau</t>
        </is>
      </c>
      <c r="R444" t="inlineStr">
        <is>
          <t xml:space="preserve">DC </t>
        </is>
      </c>
      <c r="S444" t="n">
        <v>7</v>
      </c>
      <c r="T444" t="n">
        <v>7</v>
      </c>
      <c r="U444" t="inlineStr">
        <is>
          <t>1997-04-22</t>
        </is>
      </c>
      <c r="V444" t="inlineStr">
        <is>
          <t>1997-04-22</t>
        </is>
      </c>
      <c r="W444" t="inlineStr">
        <is>
          <t>1995-07-23</t>
        </is>
      </c>
      <c r="X444" t="inlineStr">
        <is>
          <t>1995-07-23</t>
        </is>
      </c>
      <c r="Y444" t="n">
        <v>783</v>
      </c>
      <c r="Z444" t="n">
        <v>586</v>
      </c>
      <c r="AA444" t="n">
        <v>609</v>
      </c>
      <c r="AB444" t="n">
        <v>5</v>
      </c>
      <c r="AC444" t="n">
        <v>5</v>
      </c>
      <c r="AD444" t="n">
        <v>34</v>
      </c>
      <c r="AE444" t="n">
        <v>35</v>
      </c>
      <c r="AF444" t="n">
        <v>15</v>
      </c>
      <c r="AG444" t="n">
        <v>15</v>
      </c>
      <c r="AH444" t="n">
        <v>7</v>
      </c>
      <c r="AI444" t="n">
        <v>7</v>
      </c>
      <c r="AJ444" t="n">
        <v>19</v>
      </c>
      <c r="AK444" t="n">
        <v>20</v>
      </c>
      <c r="AL444" t="n">
        <v>4</v>
      </c>
      <c r="AM444" t="n">
        <v>4</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HYPERLINK("https://creighton-primo.hosted.exlibrisgroup.com/primo-explore/search?tab=default_tab&amp;search_scope=EVERYTHING&amp;vid=01CRU&amp;lang=en_US&amp;offset=0&amp;query=any,contains,991001800439702656","Catalog Record")</f>
        <v/>
      </c>
      <c r="AT444">
        <f>HYPERLINK("http://www.worldcat.org/oclc/22629771","WorldCat Record")</f>
        <v/>
      </c>
      <c r="AU444" t="inlineStr">
        <is>
          <t>1151386727:eng</t>
        </is>
      </c>
      <c r="AV444" t="inlineStr">
        <is>
          <t>22629771</t>
        </is>
      </c>
      <c r="AW444" t="inlineStr">
        <is>
          <t>991001800439702656</t>
        </is>
      </c>
      <c r="AX444" t="inlineStr">
        <is>
          <t>991001800439702656</t>
        </is>
      </c>
      <c r="AY444" t="inlineStr">
        <is>
          <t>2269053920002656</t>
        </is>
      </c>
      <c r="AZ444" t="inlineStr">
        <is>
          <t>BOOK</t>
        </is>
      </c>
      <c r="BB444" t="inlineStr">
        <is>
          <t>9780674935389</t>
        </is>
      </c>
      <c r="BC444" t="inlineStr">
        <is>
          <t>32285002075991</t>
        </is>
      </c>
      <c r="BD444" t="inlineStr">
        <is>
          <t>893433149</t>
        </is>
      </c>
    </row>
    <row r="445">
      <c r="A445" t="inlineStr">
        <is>
          <t>No</t>
        </is>
      </c>
      <c r="B445" t="inlineStr">
        <is>
          <t>DC397 .V56 2006</t>
        </is>
      </c>
      <c r="C445" t="inlineStr">
        <is>
          <t>0                      DC 0397000V  56          2006</t>
        </is>
      </c>
      <c r="D445" t="inlineStr">
        <is>
          <t>The unfree French : life under the occupation / Richard Vinen.</t>
        </is>
      </c>
      <c r="F445" t="inlineStr">
        <is>
          <t>No</t>
        </is>
      </c>
      <c r="G445" t="inlineStr">
        <is>
          <t>1</t>
        </is>
      </c>
      <c r="H445" t="inlineStr">
        <is>
          <t>No</t>
        </is>
      </c>
      <c r="I445" t="inlineStr">
        <is>
          <t>No</t>
        </is>
      </c>
      <c r="J445" t="inlineStr">
        <is>
          <t>0</t>
        </is>
      </c>
      <c r="K445" t="inlineStr">
        <is>
          <t>Vinen, Richard.</t>
        </is>
      </c>
      <c r="L445" t="inlineStr">
        <is>
          <t>New Haven : Yale University Press, 2006.</t>
        </is>
      </c>
      <c r="M445" t="inlineStr">
        <is>
          <t>2006</t>
        </is>
      </c>
      <c r="O445" t="inlineStr">
        <is>
          <t>eng</t>
        </is>
      </c>
      <c r="P445" t="inlineStr">
        <is>
          <t>ctu</t>
        </is>
      </c>
      <c r="R445" t="inlineStr">
        <is>
          <t xml:space="preserve">DC </t>
        </is>
      </c>
      <c r="S445" t="n">
        <v>2</v>
      </c>
      <c r="T445" t="n">
        <v>2</v>
      </c>
      <c r="U445" t="inlineStr">
        <is>
          <t>2006-12-08</t>
        </is>
      </c>
      <c r="V445" t="inlineStr">
        <is>
          <t>2006-12-08</t>
        </is>
      </c>
      <c r="W445" t="inlineStr">
        <is>
          <t>2006-11-07</t>
        </is>
      </c>
      <c r="X445" t="inlineStr">
        <is>
          <t>2006-11-07</t>
        </is>
      </c>
      <c r="Y445" t="n">
        <v>756</v>
      </c>
      <c r="Z445" t="n">
        <v>691</v>
      </c>
      <c r="AA445" t="n">
        <v>758</v>
      </c>
      <c r="AB445" t="n">
        <v>5</v>
      </c>
      <c r="AC445" t="n">
        <v>6</v>
      </c>
      <c r="AD445" t="n">
        <v>32</v>
      </c>
      <c r="AE445" t="n">
        <v>34</v>
      </c>
      <c r="AF445" t="n">
        <v>15</v>
      </c>
      <c r="AG445" t="n">
        <v>16</v>
      </c>
      <c r="AH445" t="n">
        <v>7</v>
      </c>
      <c r="AI445" t="n">
        <v>8</v>
      </c>
      <c r="AJ445" t="n">
        <v>16</v>
      </c>
      <c r="AK445" t="n">
        <v>17</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HYPERLINK("https://creighton-primo.hosted.exlibrisgroup.com/primo-explore/search?tab=default_tab&amp;search_scope=EVERYTHING&amp;vid=01CRU&amp;lang=en_US&amp;offset=0&amp;query=any,contains,991004956699702656","Catalog Record")</f>
        <v/>
      </c>
      <c r="AT445">
        <f>HYPERLINK("http://www.worldcat.org/oclc/74284719","WorldCat Record")</f>
        <v/>
      </c>
      <c r="AU445" t="inlineStr">
        <is>
          <t>198139034:eng</t>
        </is>
      </c>
      <c r="AV445" t="inlineStr">
        <is>
          <t>74284719</t>
        </is>
      </c>
      <c r="AW445" t="inlineStr">
        <is>
          <t>991004956699702656</t>
        </is>
      </c>
      <c r="AX445" t="inlineStr">
        <is>
          <t>991004956699702656</t>
        </is>
      </c>
      <c r="AY445" t="inlineStr">
        <is>
          <t>2271928970002656</t>
        </is>
      </c>
      <c r="AZ445" t="inlineStr">
        <is>
          <t>BOOK</t>
        </is>
      </c>
      <c r="BB445" t="inlineStr">
        <is>
          <t>9780300121322</t>
        </is>
      </c>
      <c r="BC445" t="inlineStr">
        <is>
          <t>32285005236475</t>
        </is>
      </c>
      <c r="BD445" t="inlineStr">
        <is>
          <t>893443234</t>
        </is>
      </c>
    </row>
    <row r="446">
      <c r="A446" t="inlineStr">
        <is>
          <t>No</t>
        </is>
      </c>
      <c r="B446" t="inlineStr">
        <is>
          <t>DC40 .F73 1969</t>
        </is>
      </c>
      <c r="C446" t="inlineStr">
        <is>
          <t>0                      DC 0040000F  73          1969</t>
        </is>
      </c>
      <c r="D446" t="inlineStr">
        <is>
          <t>The shaping of modern France : writings on French history since 1715 / edited by James Friguglietti and Emmet Kennedy. Introd. by Crane Brinton.</t>
        </is>
      </c>
      <c r="F446" t="inlineStr">
        <is>
          <t>No</t>
        </is>
      </c>
      <c r="G446" t="inlineStr">
        <is>
          <t>1</t>
        </is>
      </c>
      <c r="H446" t="inlineStr">
        <is>
          <t>No</t>
        </is>
      </c>
      <c r="I446" t="inlineStr">
        <is>
          <t>No</t>
        </is>
      </c>
      <c r="J446" t="inlineStr">
        <is>
          <t>0</t>
        </is>
      </c>
      <c r="K446" t="inlineStr">
        <is>
          <t>Friguglietti, James, compiler.</t>
        </is>
      </c>
      <c r="L446" t="inlineStr">
        <is>
          <t>[New York] : Macmillan, [1969]</t>
        </is>
      </c>
      <c r="M446" t="inlineStr">
        <is>
          <t>1969</t>
        </is>
      </c>
      <c r="O446" t="inlineStr">
        <is>
          <t>eng</t>
        </is>
      </c>
      <c r="P446" t="inlineStr">
        <is>
          <t>nyu</t>
        </is>
      </c>
      <c r="R446" t="inlineStr">
        <is>
          <t xml:space="preserve">DC </t>
        </is>
      </c>
      <c r="S446" t="n">
        <v>1</v>
      </c>
      <c r="T446" t="n">
        <v>1</v>
      </c>
      <c r="U446" t="inlineStr">
        <is>
          <t>2001-07-24</t>
        </is>
      </c>
      <c r="V446" t="inlineStr">
        <is>
          <t>2001-07-24</t>
        </is>
      </c>
      <c r="W446" t="inlineStr">
        <is>
          <t>2001-07-23</t>
        </is>
      </c>
      <c r="X446" t="inlineStr">
        <is>
          <t>2001-07-23</t>
        </is>
      </c>
      <c r="Y446" t="n">
        <v>805</v>
      </c>
      <c r="Z446" t="n">
        <v>689</v>
      </c>
      <c r="AA446" t="n">
        <v>695</v>
      </c>
      <c r="AB446" t="n">
        <v>6</v>
      </c>
      <c r="AC446" t="n">
        <v>6</v>
      </c>
      <c r="AD446" t="n">
        <v>37</v>
      </c>
      <c r="AE446" t="n">
        <v>37</v>
      </c>
      <c r="AF446" t="n">
        <v>15</v>
      </c>
      <c r="AG446" t="n">
        <v>15</v>
      </c>
      <c r="AH446" t="n">
        <v>8</v>
      </c>
      <c r="AI446" t="n">
        <v>8</v>
      </c>
      <c r="AJ446" t="n">
        <v>19</v>
      </c>
      <c r="AK446" t="n">
        <v>19</v>
      </c>
      <c r="AL446" t="n">
        <v>5</v>
      </c>
      <c r="AM446" t="n">
        <v>5</v>
      </c>
      <c r="AN446" t="n">
        <v>0</v>
      </c>
      <c r="AO446" t="n">
        <v>0</v>
      </c>
      <c r="AP446" t="inlineStr">
        <is>
          <t>No</t>
        </is>
      </c>
      <c r="AQ446" t="inlineStr">
        <is>
          <t>Yes</t>
        </is>
      </c>
      <c r="AR446">
        <f>HYPERLINK("http://catalog.hathitrust.org/Record/000453294","HathiTrust Record")</f>
        <v/>
      </c>
      <c r="AS446">
        <f>HYPERLINK("https://creighton-primo.hosted.exlibrisgroup.com/primo-explore/search?tab=default_tab&amp;search_scope=EVERYTHING&amp;vid=01CRU&amp;lang=en_US&amp;offset=0&amp;query=any,contains,991003583929702656","Catalog Record")</f>
        <v/>
      </c>
      <c r="AT446">
        <f>HYPERLINK("http://www.worldcat.org/oclc/218418","WorldCat Record")</f>
        <v/>
      </c>
      <c r="AU446" t="inlineStr">
        <is>
          <t>346145829:eng</t>
        </is>
      </c>
      <c r="AV446" t="inlineStr">
        <is>
          <t>218418</t>
        </is>
      </c>
      <c r="AW446" t="inlineStr">
        <is>
          <t>991003583929702656</t>
        </is>
      </c>
      <c r="AX446" t="inlineStr">
        <is>
          <t>991003583929702656</t>
        </is>
      </c>
      <c r="AY446" t="inlineStr">
        <is>
          <t>2258741180002656</t>
        </is>
      </c>
      <c r="AZ446" t="inlineStr">
        <is>
          <t>BOOK</t>
        </is>
      </c>
      <c r="BC446" t="inlineStr">
        <is>
          <t>32285004334248</t>
        </is>
      </c>
      <c r="BD446" t="inlineStr">
        <is>
          <t>893318128</t>
        </is>
      </c>
    </row>
    <row r="447">
      <c r="A447" t="inlineStr">
        <is>
          <t>No</t>
        </is>
      </c>
      <c r="B447" t="inlineStr">
        <is>
          <t>DC404 .S47</t>
        </is>
      </c>
      <c r="C447" t="inlineStr">
        <is>
          <t>0                      DC 0404000S  47</t>
        </is>
      </c>
      <c r="D447" t="inlineStr">
        <is>
          <t>France, De Gaulle, and Europe : the policy of the Fourth and Fifth Republics toward the Continent.</t>
        </is>
      </c>
      <c r="F447" t="inlineStr">
        <is>
          <t>No</t>
        </is>
      </c>
      <c r="G447" t="inlineStr">
        <is>
          <t>1</t>
        </is>
      </c>
      <c r="H447" t="inlineStr">
        <is>
          <t>No</t>
        </is>
      </c>
      <c r="I447" t="inlineStr">
        <is>
          <t>No</t>
        </is>
      </c>
      <c r="J447" t="inlineStr">
        <is>
          <t>0</t>
        </is>
      </c>
      <c r="K447" t="inlineStr">
        <is>
          <t>Serfaty, Simon.</t>
        </is>
      </c>
      <c r="L447" t="inlineStr">
        <is>
          <t>Baltimore : Johns Hopkins Press, [1968]</t>
        </is>
      </c>
      <c r="M447" t="inlineStr">
        <is>
          <t>1968</t>
        </is>
      </c>
      <c r="O447" t="inlineStr">
        <is>
          <t>eng</t>
        </is>
      </c>
      <c r="P447" t="inlineStr">
        <is>
          <t>mdu</t>
        </is>
      </c>
      <c r="R447" t="inlineStr">
        <is>
          <t xml:space="preserve">DC </t>
        </is>
      </c>
      <c r="S447" t="n">
        <v>1</v>
      </c>
      <c r="T447" t="n">
        <v>1</v>
      </c>
      <c r="U447" t="inlineStr">
        <is>
          <t>1992-06-13</t>
        </is>
      </c>
      <c r="V447" t="inlineStr">
        <is>
          <t>1992-06-13</t>
        </is>
      </c>
      <c r="W447" t="inlineStr">
        <is>
          <t>1992-04-15</t>
        </is>
      </c>
      <c r="X447" t="inlineStr">
        <is>
          <t>1992-04-15</t>
        </is>
      </c>
      <c r="Y447" t="n">
        <v>731</v>
      </c>
      <c r="Z447" t="n">
        <v>584</v>
      </c>
      <c r="AA447" t="n">
        <v>588</v>
      </c>
      <c r="AB447" t="n">
        <v>6</v>
      </c>
      <c r="AC447" t="n">
        <v>6</v>
      </c>
      <c r="AD447" t="n">
        <v>33</v>
      </c>
      <c r="AE447" t="n">
        <v>33</v>
      </c>
      <c r="AF447" t="n">
        <v>13</v>
      </c>
      <c r="AG447" t="n">
        <v>13</v>
      </c>
      <c r="AH447" t="n">
        <v>9</v>
      </c>
      <c r="AI447" t="n">
        <v>9</v>
      </c>
      <c r="AJ447" t="n">
        <v>17</v>
      </c>
      <c r="AK447" t="n">
        <v>17</v>
      </c>
      <c r="AL447" t="n">
        <v>5</v>
      </c>
      <c r="AM447" t="n">
        <v>5</v>
      </c>
      <c r="AN447" t="n">
        <v>0</v>
      </c>
      <c r="AO447" t="n">
        <v>0</v>
      </c>
      <c r="AP447" t="inlineStr">
        <is>
          <t>No</t>
        </is>
      </c>
      <c r="AQ447" t="inlineStr">
        <is>
          <t>Yes</t>
        </is>
      </c>
      <c r="AR447">
        <f>HYPERLINK("http://catalog.hathitrust.org/Record/000368946","HathiTrust Record")</f>
        <v/>
      </c>
      <c r="AS447">
        <f>HYPERLINK("https://creighton-primo.hosted.exlibrisgroup.com/primo-explore/search?tab=default_tab&amp;search_scope=EVERYTHING&amp;vid=01CRU&amp;lang=en_US&amp;offset=0&amp;query=any,contains,991002689399702656","Catalog Record")</f>
        <v/>
      </c>
      <c r="AT447">
        <f>HYPERLINK("http://www.worldcat.org/oclc/401090","WorldCat Record")</f>
        <v/>
      </c>
      <c r="AU447" t="inlineStr">
        <is>
          <t>290823:eng</t>
        </is>
      </c>
      <c r="AV447" t="inlineStr">
        <is>
          <t>401090</t>
        </is>
      </c>
      <c r="AW447" t="inlineStr">
        <is>
          <t>991002689399702656</t>
        </is>
      </c>
      <c r="AX447" t="inlineStr">
        <is>
          <t>991002689399702656</t>
        </is>
      </c>
      <c r="AY447" t="inlineStr">
        <is>
          <t>2268074360002656</t>
        </is>
      </c>
      <c r="AZ447" t="inlineStr">
        <is>
          <t>BOOK</t>
        </is>
      </c>
      <c r="BC447" t="inlineStr">
        <is>
          <t>32285001062230</t>
        </is>
      </c>
      <c r="BD447" t="inlineStr">
        <is>
          <t>893352466</t>
        </is>
      </c>
    </row>
    <row r="448">
      <c r="A448" t="inlineStr">
        <is>
          <t>No</t>
        </is>
      </c>
      <c r="B448" t="inlineStr">
        <is>
          <t>DC404 .Y68 1990b</t>
        </is>
      </c>
      <c r="C448" t="inlineStr">
        <is>
          <t>0                      DC 0404000Y  68          1990b</t>
        </is>
      </c>
      <c r="D448" t="inlineStr">
        <is>
          <t>France, the Cold War and the Western Alliance, 1944-49 : French foreign policy and post-war Europe / John W. Young.</t>
        </is>
      </c>
      <c r="F448" t="inlineStr">
        <is>
          <t>No</t>
        </is>
      </c>
      <c r="G448" t="inlineStr">
        <is>
          <t>1</t>
        </is>
      </c>
      <c r="H448" t="inlineStr">
        <is>
          <t>No</t>
        </is>
      </c>
      <c r="I448" t="inlineStr">
        <is>
          <t>No</t>
        </is>
      </c>
      <c r="J448" t="inlineStr">
        <is>
          <t>0</t>
        </is>
      </c>
      <c r="K448" t="inlineStr">
        <is>
          <t>Young, John W. (John Wilson)</t>
        </is>
      </c>
      <c r="L448" t="inlineStr">
        <is>
          <t>Leicester : Leicester University Press, 1990.</t>
        </is>
      </c>
      <c r="M448" t="inlineStr">
        <is>
          <t>1990</t>
        </is>
      </c>
      <c r="O448" t="inlineStr">
        <is>
          <t>eng</t>
        </is>
      </c>
      <c r="P448" t="inlineStr">
        <is>
          <t>enk</t>
        </is>
      </c>
      <c r="R448" t="inlineStr">
        <is>
          <t xml:space="preserve">DC </t>
        </is>
      </c>
      <c r="S448" t="n">
        <v>3</v>
      </c>
      <c r="T448" t="n">
        <v>3</v>
      </c>
      <c r="U448" t="inlineStr">
        <is>
          <t>2006-04-13</t>
        </is>
      </c>
      <c r="V448" t="inlineStr">
        <is>
          <t>2006-04-13</t>
        </is>
      </c>
      <c r="W448" t="inlineStr">
        <is>
          <t>1990-10-03</t>
        </is>
      </c>
      <c r="X448" t="inlineStr">
        <is>
          <t>1990-10-03</t>
        </is>
      </c>
      <c r="Y448" t="n">
        <v>152</v>
      </c>
      <c r="Z448" t="n">
        <v>56</v>
      </c>
      <c r="AA448" t="n">
        <v>347</v>
      </c>
      <c r="AB448" t="n">
        <v>2</v>
      </c>
      <c r="AC448" t="n">
        <v>2</v>
      </c>
      <c r="AD448" t="n">
        <v>3</v>
      </c>
      <c r="AE448" t="n">
        <v>21</v>
      </c>
      <c r="AF448" t="n">
        <v>0</v>
      </c>
      <c r="AG448" t="n">
        <v>8</v>
      </c>
      <c r="AH448" t="n">
        <v>1</v>
      </c>
      <c r="AI448" t="n">
        <v>6</v>
      </c>
      <c r="AJ448" t="n">
        <v>2</v>
      </c>
      <c r="AK448" t="n">
        <v>13</v>
      </c>
      <c r="AL448" t="n">
        <v>1</v>
      </c>
      <c r="AM448" t="n">
        <v>1</v>
      </c>
      <c r="AN448" t="n">
        <v>0</v>
      </c>
      <c r="AO448" t="n">
        <v>0</v>
      </c>
      <c r="AP448" t="inlineStr">
        <is>
          <t>No</t>
        </is>
      </c>
      <c r="AQ448" t="inlineStr">
        <is>
          <t>Yes</t>
        </is>
      </c>
      <c r="AR448">
        <f>HYPERLINK("http://catalog.hathitrust.org/Record/001947039","HathiTrust Record")</f>
        <v/>
      </c>
      <c r="AS448">
        <f>HYPERLINK("https://creighton-primo.hosted.exlibrisgroup.com/primo-explore/search?tab=default_tab&amp;search_scope=EVERYTHING&amp;vid=01CRU&amp;lang=en_US&amp;offset=0&amp;query=any,contains,991001639759702656","Catalog Record")</f>
        <v/>
      </c>
      <c r="AT448">
        <f>HYPERLINK("http://www.worldcat.org/oclc/22544782","WorldCat Record")</f>
        <v/>
      </c>
      <c r="AU448" t="inlineStr">
        <is>
          <t>22447806:eng</t>
        </is>
      </c>
      <c r="AV448" t="inlineStr">
        <is>
          <t>22544782</t>
        </is>
      </c>
      <c r="AW448" t="inlineStr">
        <is>
          <t>991001639759702656</t>
        </is>
      </c>
      <c r="AX448" t="inlineStr">
        <is>
          <t>991001639759702656</t>
        </is>
      </c>
      <c r="AY448" t="inlineStr">
        <is>
          <t>2272304160002656</t>
        </is>
      </c>
      <c r="AZ448" t="inlineStr">
        <is>
          <t>BOOK</t>
        </is>
      </c>
      <c r="BB448" t="inlineStr">
        <is>
          <t>9780718512729</t>
        </is>
      </c>
      <c r="BC448" t="inlineStr">
        <is>
          <t>32285000278985</t>
        </is>
      </c>
      <c r="BD448" t="inlineStr">
        <is>
          <t>893615248</t>
        </is>
      </c>
    </row>
    <row r="449">
      <c r="A449" t="inlineStr">
        <is>
          <t>No</t>
        </is>
      </c>
      <c r="B449" t="inlineStr">
        <is>
          <t>DC407.M5 M32 1983</t>
        </is>
      </c>
      <c r="C449" t="inlineStr">
        <is>
          <t>0                      DC 0407000M  5                  M  32          1983</t>
        </is>
      </c>
      <c r="D449" t="inlineStr">
        <is>
          <t>François Mitterrand, a political odyssey / Denis MacShane.</t>
        </is>
      </c>
      <c r="F449" t="inlineStr">
        <is>
          <t>No</t>
        </is>
      </c>
      <c r="G449" t="inlineStr">
        <is>
          <t>1</t>
        </is>
      </c>
      <c r="H449" t="inlineStr">
        <is>
          <t>No</t>
        </is>
      </c>
      <c r="I449" t="inlineStr">
        <is>
          <t>No</t>
        </is>
      </c>
      <c r="J449" t="inlineStr">
        <is>
          <t>0</t>
        </is>
      </c>
      <c r="K449" t="inlineStr">
        <is>
          <t>MacShane, Denis.</t>
        </is>
      </c>
      <c r="L449" t="inlineStr">
        <is>
          <t>New York : Universe Books, 1983, c1982.</t>
        </is>
      </c>
      <c r="M449" t="inlineStr">
        <is>
          <t>1983</t>
        </is>
      </c>
      <c r="O449" t="inlineStr">
        <is>
          <t>eng</t>
        </is>
      </c>
      <c r="P449" t="inlineStr">
        <is>
          <t>nyu</t>
        </is>
      </c>
      <c r="R449" t="inlineStr">
        <is>
          <t xml:space="preserve">DC </t>
        </is>
      </c>
      <c r="S449" t="n">
        <v>1</v>
      </c>
      <c r="T449" t="n">
        <v>1</v>
      </c>
      <c r="U449" t="inlineStr">
        <is>
          <t>1992-04-02</t>
        </is>
      </c>
      <c r="V449" t="inlineStr">
        <is>
          <t>1992-04-02</t>
        </is>
      </c>
      <c r="W449" t="inlineStr">
        <is>
          <t>1991-01-15</t>
        </is>
      </c>
      <c r="X449" t="inlineStr">
        <is>
          <t>1991-01-15</t>
        </is>
      </c>
      <c r="Y449" t="n">
        <v>476</v>
      </c>
      <c r="Z449" t="n">
        <v>444</v>
      </c>
      <c r="AA449" t="n">
        <v>519</v>
      </c>
      <c r="AB449" t="n">
        <v>1</v>
      </c>
      <c r="AC449" t="n">
        <v>3</v>
      </c>
      <c r="AD449" t="n">
        <v>19</v>
      </c>
      <c r="AE449" t="n">
        <v>23</v>
      </c>
      <c r="AF449" t="n">
        <v>7</v>
      </c>
      <c r="AG449" t="n">
        <v>7</v>
      </c>
      <c r="AH449" t="n">
        <v>8</v>
      </c>
      <c r="AI449" t="n">
        <v>8</v>
      </c>
      <c r="AJ449" t="n">
        <v>12</v>
      </c>
      <c r="AK449" t="n">
        <v>14</v>
      </c>
      <c r="AL449" t="n">
        <v>0</v>
      </c>
      <c r="AM449" t="n">
        <v>2</v>
      </c>
      <c r="AN449" t="n">
        <v>0</v>
      </c>
      <c r="AO449" t="n">
        <v>0</v>
      </c>
      <c r="AP449" t="inlineStr">
        <is>
          <t>No</t>
        </is>
      </c>
      <c r="AQ449" t="inlineStr">
        <is>
          <t>Yes</t>
        </is>
      </c>
      <c r="AR449">
        <f>HYPERLINK("http://catalog.hathitrust.org/Record/000158863","HathiTrust Record")</f>
        <v/>
      </c>
      <c r="AS449">
        <f>HYPERLINK("https://creighton-primo.hosted.exlibrisgroup.com/primo-explore/search?tab=default_tab&amp;search_scope=EVERYTHING&amp;vid=01CRU&amp;lang=en_US&amp;offset=0&amp;query=any,contains,991000125589702656","Catalog Record")</f>
        <v/>
      </c>
      <c r="AT449">
        <f>HYPERLINK("http://www.worldcat.org/oclc/9082835","WorldCat Record")</f>
        <v/>
      </c>
      <c r="AU449" t="inlineStr">
        <is>
          <t>42770883:eng</t>
        </is>
      </c>
      <c r="AV449" t="inlineStr">
        <is>
          <t>9082835</t>
        </is>
      </c>
      <c r="AW449" t="inlineStr">
        <is>
          <t>991000125589702656</t>
        </is>
      </c>
      <c r="AX449" t="inlineStr">
        <is>
          <t>991000125589702656</t>
        </is>
      </c>
      <c r="AY449" t="inlineStr">
        <is>
          <t>2255075880002656</t>
        </is>
      </c>
      <c r="AZ449" t="inlineStr">
        <is>
          <t>BOOK</t>
        </is>
      </c>
      <c r="BB449" t="inlineStr">
        <is>
          <t>9780876634189</t>
        </is>
      </c>
      <c r="BC449" t="inlineStr">
        <is>
          <t>32285000455146</t>
        </is>
      </c>
      <c r="BD449" t="inlineStr">
        <is>
          <t>893502257</t>
        </is>
      </c>
    </row>
    <row r="450">
      <c r="A450" t="inlineStr">
        <is>
          <t>No</t>
        </is>
      </c>
      <c r="B450" t="inlineStr">
        <is>
          <t>DC412 .B75 1974</t>
        </is>
      </c>
      <c r="C450" t="inlineStr">
        <is>
          <t>0                      DC 0412000B  75          1974</t>
        </is>
      </c>
      <c r="D450" t="inlineStr">
        <is>
          <t>Protest in Paris; anatomy of a revolt [by] Bernard E. Brown.</t>
        </is>
      </c>
      <c r="F450" t="inlineStr">
        <is>
          <t>No</t>
        </is>
      </c>
      <c r="G450" t="inlineStr">
        <is>
          <t>1</t>
        </is>
      </c>
      <c r="H450" t="inlineStr">
        <is>
          <t>No</t>
        </is>
      </c>
      <c r="I450" t="inlineStr">
        <is>
          <t>No</t>
        </is>
      </c>
      <c r="J450" t="inlineStr">
        <is>
          <t>0</t>
        </is>
      </c>
      <c r="K450" t="inlineStr">
        <is>
          <t>Brown, Bernard Edward, 1925-</t>
        </is>
      </c>
      <c r="L450" t="inlineStr">
        <is>
          <t>Morristown, N.J., General Learning Press [1974]</t>
        </is>
      </c>
      <c r="M450" t="inlineStr">
        <is>
          <t>1974</t>
        </is>
      </c>
      <c r="O450" t="inlineStr">
        <is>
          <t>eng</t>
        </is>
      </c>
      <c r="P450" t="inlineStr">
        <is>
          <t>nju</t>
        </is>
      </c>
      <c r="R450" t="inlineStr">
        <is>
          <t xml:space="preserve">DC </t>
        </is>
      </c>
      <c r="S450" t="n">
        <v>1</v>
      </c>
      <c r="T450" t="n">
        <v>1</v>
      </c>
      <c r="U450" t="inlineStr">
        <is>
          <t>2005-11-08</t>
        </is>
      </c>
      <c r="V450" t="inlineStr">
        <is>
          <t>2005-11-08</t>
        </is>
      </c>
      <c r="W450" t="inlineStr">
        <is>
          <t>1996-11-20</t>
        </is>
      </c>
      <c r="X450" t="inlineStr">
        <is>
          <t>1996-11-20</t>
        </is>
      </c>
      <c r="Y450" t="n">
        <v>471</v>
      </c>
      <c r="Z450" t="n">
        <v>341</v>
      </c>
      <c r="AA450" t="n">
        <v>343</v>
      </c>
      <c r="AB450" t="n">
        <v>3</v>
      </c>
      <c r="AC450" t="n">
        <v>3</v>
      </c>
      <c r="AD450" t="n">
        <v>17</v>
      </c>
      <c r="AE450" t="n">
        <v>17</v>
      </c>
      <c r="AF450" t="n">
        <v>4</v>
      </c>
      <c r="AG450" t="n">
        <v>4</v>
      </c>
      <c r="AH450" t="n">
        <v>5</v>
      </c>
      <c r="AI450" t="n">
        <v>5</v>
      </c>
      <c r="AJ450" t="n">
        <v>10</v>
      </c>
      <c r="AK450" t="n">
        <v>10</v>
      </c>
      <c r="AL450" t="n">
        <v>2</v>
      </c>
      <c r="AM450" t="n">
        <v>2</v>
      </c>
      <c r="AN450" t="n">
        <v>0</v>
      </c>
      <c r="AO450" t="n">
        <v>0</v>
      </c>
      <c r="AP450" t="inlineStr">
        <is>
          <t>No</t>
        </is>
      </c>
      <c r="AQ450" t="inlineStr">
        <is>
          <t>Yes</t>
        </is>
      </c>
      <c r="AR450">
        <f>HYPERLINK("http://catalog.hathitrust.org/Record/000343201","HathiTrust Record")</f>
        <v/>
      </c>
      <c r="AS450">
        <f>HYPERLINK("https://creighton-primo.hosted.exlibrisgroup.com/primo-explore/search?tab=default_tab&amp;search_scope=EVERYTHING&amp;vid=01CRU&amp;lang=en_US&amp;offset=0&amp;query=any,contains,991003434419702656","Catalog Record")</f>
        <v/>
      </c>
      <c r="AT450">
        <f>HYPERLINK("http://www.worldcat.org/oclc/969522","WorldCat Record")</f>
        <v/>
      </c>
      <c r="AU450" t="inlineStr">
        <is>
          <t>1926292:eng</t>
        </is>
      </c>
      <c r="AV450" t="inlineStr">
        <is>
          <t>969522</t>
        </is>
      </c>
      <c r="AW450" t="inlineStr">
        <is>
          <t>991003434419702656</t>
        </is>
      </c>
      <c r="AX450" t="inlineStr">
        <is>
          <t>991003434419702656</t>
        </is>
      </c>
      <c r="AY450" t="inlineStr">
        <is>
          <t>2260761510002656</t>
        </is>
      </c>
      <c r="AZ450" t="inlineStr">
        <is>
          <t>BOOK</t>
        </is>
      </c>
      <c r="BC450" t="inlineStr">
        <is>
          <t>32285002380599</t>
        </is>
      </c>
      <c r="BD450" t="inlineStr">
        <is>
          <t>893499283</t>
        </is>
      </c>
    </row>
    <row r="451">
      <c r="A451" t="inlineStr">
        <is>
          <t>No</t>
        </is>
      </c>
      <c r="B451" t="inlineStr">
        <is>
          <t>DC412 .E53 2003</t>
        </is>
      </c>
      <c r="C451" t="inlineStr">
        <is>
          <t>0                      DC 0412000E  53          2003</t>
        </is>
      </c>
      <c r="D451" t="inlineStr">
        <is>
          <t>Political institutions in contemporary France / Robert Elgie.</t>
        </is>
      </c>
      <c r="F451" t="inlineStr">
        <is>
          <t>No</t>
        </is>
      </c>
      <c r="G451" t="inlineStr">
        <is>
          <t>1</t>
        </is>
      </c>
      <c r="H451" t="inlineStr">
        <is>
          <t>No</t>
        </is>
      </c>
      <c r="I451" t="inlineStr">
        <is>
          <t>No</t>
        </is>
      </c>
      <c r="J451" t="inlineStr">
        <is>
          <t>0</t>
        </is>
      </c>
      <c r="K451" t="inlineStr">
        <is>
          <t>Elgie, Robert.</t>
        </is>
      </c>
      <c r="L451" t="inlineStr">
        <is>
          <t>Oxford ; New York : Oxford University Press, 2003.</t>
        </is>
      </c>
      <c r="M451" t="inlineStr">
        <is>
          <t>2003</t>
        </is>
      </c>
      <c r="O451" t="inlineStr">
        <is>
          <t>eng</t>
        </is>
      </c>
      <c r="P451" t="inlineStr">
        <is>
          <t>enk</t>
        </is>
      </c>
      <c r="Q451" t="inlineStr">
        <is>
          <t>Comparative political institutions</t>
        </is>
      </c>
      <c r="R451" t="inlineStr">
        <is>
          <t xml:space="preserve">DC </t>
        </is>
      </c>
      <c r="S451" t="n">
        <v>2</v>
      </c>
      <c r="T451" t="n">
        <v>2</v>
      </c>
      <c r="U451" t="inlineStr">
        <is>
          <t>2007-04-27</t>
        </is>
      </c>
      <c r="V451" t="inlineStr">
        <is>
          <t>2007-04-27</t>
        </is>
      </c>
      <c r="W451" t="inlineStr">
        <is>
          <t>2006-09-26</t>
        </is>
      </c>
      <c r="X451" t="inlineStr">
        <is>
          <t>2006-09-26</t>
        </is>
      </c>
      <c r="Y451" t="n">
        <v>198</v>
      </c>
      <c r="Z451" t="n">
        <v>89</v>
      </c>
      <c r="AA451" t="n">
        <v>89</v>
      </c>
      <c r="AB451" t="n">
        <v>2</v>
      </c>
      <c r="AC451" t="n">
        <v>2</v>
      </c>
      <c r="AD451" t="n">
        <v>6</v>
      </c>
      <c r="AE451" t="n">
        <v>6</v>
      </c>
      <c r="AF451" t="n">
        <v>2</v>
      </c>
      <c r="AG451" t="n">
        <v>2</v>
      </c>
      <c r="AH451" t="n">
        <v>1</v>
      </c>
      <c r="AI451" t="n">
        <v>1</v>
      </c>
      <c r="AJ451" t="n">
        <v>3</v>
      </c>
      <c r="AK451" t="n">
        <v>3</v>
      </c>
      <c r="AL451" t="n">
        <v>1</v>
      </c>
      <c r="AM451" t="n">
        <v>1</v>
      </c>
      <c r="AN451" t="n">
        <v>1</v>
      </c>
      <c r="AO451" t="n">
        <v>1</v>
      </c>
      <c r="AP451" t="inlineStr">
        <is>
          <t>No</t>
        </is>
      </c>
      <c r="AQ451" t="inlineStr">
        <is>
          <t>No</t>
        </is>
      </c>
      <c r="AS451">
        <f>HYPERLINK("https://creighton-primo.hosted.exlibrisgroup.com/primo-explore/search?tab=default_tab&amp;search_scope=EVERYTHING&amp;vid=01CRU&amp;lang=en_US&amp;offset=0&amp;query=any,contains,991004922099702656","Catalog Record")</f>
        <v/>
      </c>
      <c r="AT451">
        <f>HYPERLINK("http://www.worldcat.org/oclc/50999791","WorldCat Record")</f>
        <v/>
      </c>
      <c r="AU451" t="inlineStr">
        <is>
          <t>664516:eng</t>
        </is>
      </c>
      <c r="AV451" t="inlineStr">
        <is>
          <t>50999791</t>
        </is>
      </c>
      <c r="AW451" t="inlineStr">
        <is>
          <t>991004922099702656</t>
        </is>
      </c>
      <c r="AX451" t="inlineStr">
        <is>
          <t>991004922099702656</t>
        </is>
      </c>
      <c r="AY451" t="inlineStr">
        <is>
          <t>2270027600002656</t>
        </is>
      </c>
      <c r="AZ451" t="inlineStr">
        <is>
          <t>BOOK</t>
        </is>
      </c>
      <c r="BB451" t="inlineStr">
        <is>
          <t>9780198782667</t>
        </is>
      </c>
      <c r="BC451" t="inlineStr">
        <is>
          <t>32285005225551</t>
        </is>
      </c>
      <c r="BD451" t="inlineStr">
        <is>
          <t>893801505</t>
        </is>
      </c>
    </row>
    <row r="452">
      <c r="A452" t="inlineStr">
        <is>
          <t>No</t>
        </is>
      </c>
      <c r="B452" t="inlineStr">
        <is>
          <t>DC412 .G753</t>
        </is>
      </c>
      <c r="C452" t="inlineStr">
        <is>
          <t>0                      DC 0412000G  753</t>
        </is>
      </c>
      <c r="D452" t="inlineStr">
        <is>
          <t>French foreign policy under De Gaulle / translated by Lois Ames Pattison.</t>
        </is>
      </c>
      <c r="F452" t="inlineStr">
        <is>
          <t>No</t>
        </is>
      </c>
      <c r="G452" t="inlineStr">
        <is>
          <t>1</t>
        </is>
      </c>
      <c r="H452" t="inlineStr">
        <is>
          <t>No</t>
        </is>
      </c>
      <c r="I452" t="inlineStr">
        <is>
          <t>No</t>
        </is>
      </c>
      <c r="J452" t="inlineStr">
        <is>
          <t>0</t>
        </is>
      </c>
      <c r="K452" t="inlineStr">
        <is>
          <t>Grosser, Alfred, 1925-</t>
        </is>
      </c>
      <c r="L452" t="inlineStr">
        <is>
          <t>Boston : Little, Brown, [1967]</t>
        </is>
      </c>
      <c r="M452" t="inlineStr">
        <is>
          <t>1967</t>
        </is>
      </c>
      <c r="O452" t="inlineStr">
        <is>
          <t>eng</t>
        </is>
      </c>
      <c r="P452" t="inlineStr">
        <is>
          <t>mau</t>
        </is>
      </c>
      <c r="R452" t="inlineStr">
        <is>
          <t xml:space="preserve">DC </t>
        </is>
      </c>
      <c r="S452" t="n">
        <v>2</v>
      </c>
      <c r="T452" t="n">
        <v>2</v>
      </c>
      <c r="U452" t="inlineStr">
        <is>
          <t>1992-06-12</t>
        </is>
      </c>
      <c r="V452" t="inlineStr">
        <is>
          <t>1992-06-12</t>
        </is>
      </c>
      <c r="W452" t="inlineStr">
        <is>
          <t>1991-09-11</t>
        </is>
      </c>
      <c r="X452" t="inlineStr">
        <is>
          <t>1991-09-11</t>
        </is>
      </c>
      <c r="Y452" t="n">
        <v>744</v>
      </c>
      <c r="Z452" t="n">
        <v>649</v>
      </c>
      <c r="AA452" t="n">
        <v>710</v>
      </c>
      <c r="AB452" t="n">
        <v>4</v>
      </c>
      <c r="AC452" t="n">
        <v>4</v>
      </c>
      <c r="AD452" t="n">
        <v>30</v>
      </c>
      <c r="AE452" t="n">
        <v>31</v>
      </c>
      <c r="AF452" t="n">
        <v>11</v>
      </c>
      <c r="AG452" t="n">
        <v>11</v>
      </c>
      <c r="AH452" t="n">
        <v>7</v>
      </c>
      <c r="AI452" t="n">
        <v>8</v>
      </c>
      <c r="AJ452" t="n">
        <v>17</v>
      </c>
      <c r="AK452" t="n">
        <v>18</v>
      </c>
      <c r="AL452" t="n">
        <v>3</v>
      </c>
      <c r="AM452" t="n">
        <v>3</v>
      </c>
      <c r="AN452" t="n">
        <v>0</v>
      </c>
      <c r="AO452" t="n">
        <v>0</v>
      </c>
      <c r="AP452" t="inlineStr">
        <is>
          <t>No</t>
        </is>
      </c>
      <c r="AQ452" t="inlineStr">
        <is>
          <t>Yes</t>
        </is>
      </c>
      <c r="AR452">
        <f>HYPERLINK("http://catalog.hathitrust.org/Record/000346308","HathiTrust Record")</f>
        <v/>
      </c>
      <c r="AS452">
        <f>HYPERLINK("https://creighton-primo.hosted.exlibrisgroup.com/primo-explore/search?tab=default_tab&amp;search_scope=EVERYTHING&amp;vid=01CRU&amp;lang=en_US&amp;offset=0&amp;query=any,contains,991001808959702656","Catalog Record")</f>
        <v/>
      </c>
      <c r="AT452">
        <f>HYPERLINK("http://www.worldcat.org/oclc/237000","WorldCat Record")</f>
        <v/>
      </c>
      <c r="AU452" t="inlineStr">
        <is>
          <t>1372030:eng</t>
        </is>
      </c>
      <c r="AV452" t="inlineStr">
        <is>
          <t>237000</t>
        </is>
      </c>
      <c r="AW452" t="inlineStr">
        <is>
          <t>991001808959702656</t>
        </is>
      </c>
      <c r="AX452" t="inlineStr">
        <is>
          <t>991001808959702656</t>
        </is>
      </c>
      <c r="AY452" t="inlineStr">
        <is>
          <t>2255026110002656</t>
        </is>
      </c>
      <c r="AZ452" t="inlineStr">
        <is>
          <t>BOOK</t>
        </is>
      </c>
      <c r="BC452" t="inlineStr">
        <is>
          <t>32285000737519</t>
        </is>
      </c>
      <c r="BD452" t="inlineStr">
        <is>
          <t>893534685</t>
        </is>
      </c>
    </row>
    <row r="453">
      <c r="A453" t="inlineStr">
        <is>
          <t>No</t>
        </is>
      </c>
      <c r="B453" t="inlineStr">
        <is>
          <t>DC412 .H47 1975</t>
        </is>
      </c>
      <c r="C453" t="inlineStr">
        <is>
          <t>0                      DC 0412000H  47          1975</t>
        </is>
      </c>
      <c r="D453" t="inlineStr">
        <is>
          <t>Vanishing France / John L. Hess ; photos. by Harold Chapman.</t>
        </is>
      </c>
      <c r="F453" t="inlineStr">
        <is>
          <t>No</t>
        </is>
      </c>
      <c r="G453" t="inlineStr">
        <is>
          <t>1</t>
        </is>
      </c>
      <c r="H453" t="inlineStr">
        <is>
          <t>No</t>
        </is>
      </c>
      <c r="I453" t="inlineStr">
        <is>
          <t>No</t>
        </is>
      </c>
      <c r="J453" t="inlineStr">
        <is>
          <t>0</t>
        </is>
      </c>
      <c r="K453" t="inlineStr">
        <is>
          <t>Hess, John L.</t>
        </is>
      </c>
      <c r="L453" t="inlineStr">
        <is>
          <t>New York : Quadrangle, [1975]</t>
        </is>
      </c>
      <c r="M453" t="inlineStr">
        <is>
          <t>1975</t>
        </is>
      </c>
      <c r="O453" t="inlineStr">
        <is>
          <t>eng</t>
        </is>
      </c>
      <c r="P453" t="inlineStr">
        <is>
          <t>nyu</t>
        </is>
      </c>
      <c r="R453" t="inlineStr">
        <is>
          <t xml:space="preserve">DC </t>
        </is>
      </c>
      <c r="S453" t="n">
        <v>2</v>
      </c>
      <c r="T453" t="n">
        <v>2</v>
      </c>
      <c r="U453" t="inlineStr">
        <is>
          <t>1998-05-13</t>
        </is>
      </c>
      <c r="V453" t="inlineStr">
        <is>
          <t>1998-05-13</t>
        </is>
      </c>
      <c r="W453" t="inlineStr">
        <is>
          <t>1995-10-03</t>
        </is>
      </c>
      <c r="X453" t="inlineStr">
        <is>
          <t>1995-10-03</t>
        </is>
      </c>
      <c r="Y453" t="n">
        <v>253</v>
      </c>
      <c r="Z453" t="n">
        <v>231</v>
      </c>
      <c r="AA453" t="n">
        <v>239</v>
      </c>
      <c r="AB453" t="n">
        <v>3</v>
      </c>
      <c r="AC453" t="n">
        <v>3</v>
      </c>
      <c r="AD453" t="n">
        <v>5</v>
      </c>
      <c r="AE453" t="n">
        <v>5</v>
      </c>
      <c r="AF453" t="n">
        <v>3</v>
      </c>
      <c r="AG453" t="n">
        <v>3</v>
      </c>
      <c r="AH453" t="n">
        <v>1</v>
      </c>
      <c r="AI453" t="n">
        <v>1</v>
      </c>
      <c r="AJ453" t="n">
        <v>3</v>
      </c>
      <c r="AK453" t="n">
        <v>3</v>
      </c>
      <c r="AL453" t="n">
        <v>1</v>
      </c>
      <c r="AM453" t="n">
        <v>1</v>
      </c>
      <c r="AN453" t="n">
        <v>0</v>
      </c>
      <c r="AO453" t="n">
        <v>0</v>
      </c>
      <c r="AP453" t="inlineStr">
        <is>
          <t>No</t>
        </is>
      </c>
      <c r="AQ453" t="inlineStr">
        <is>
          <t>Yes</t>
        </is>
      </c>
      <c r="AR453">
        <f>HYPERLINK("http://catalog.hathitrust.org/Record/006032857","HathiTrust Record")</f>
        <v/>
      </c>
      <c r="AS453">
        <f>HYPERLINK("https://creighton-primo.hosted.exlibrisgroup.com/primo-explore/search?tab=default_tab&amp;search_scope=EVERYTHING&amp;vid=01CRU&amp;lang=en_US&amp;offset=0&amp;query=any,contains,991003600239702656","Catalog Record")</f>
        <v/>
      </c>
      <c r="AT453">
        <f>HYPERLINK("http://www.worldcat.org/oclc/1177174","WorldCat Record")</f>
        <v/>
      </c>
      <c r="AU453" t="inlineStr">
        <is>
          <t>2124316:eng</t>
        </is>
      </c>
      <c r="AV453" t="inlineStr">
        <is>
          <t>1177174</t>
        </is>
      </c>
      <c r="AW453" t="inlineStr">
        <is>
          <t>991003600239702656</t>
        </is>
      </c>
      <c r="AX453" t="inlineStr">
        <is>
          <t>991003600239702656</t>
        </is>
      </c>
      <c r="AY453" t="inlineStr">
        <is>
          <t>2264647870002656</t>
        </is>
      </c>
      <c r="AZ453" t="inlineStr">
        <is>
          <t>BOOK</t>
        </is>
      </c>
      <c r="BB453" t="inlineStr">
        <is>
          <t>9780812904833</t>
        </is>
      </c>
      <c r="BC453" t="inlineStr">
        <is>
          <t>32285002094976</t>
        </is>
      </c>
      <c r="BD453" t="inlineStr">
        <is>
          <t>893810062</t>
        </is>
      </c>
    </row>
    <row r="454">
      <c r="A454" t="inlineStr">
        <is>
          <t>No</t>
        </is>
      </c>
      <c r="B454" t="inlineStr">
        <is>
          <t>DC412 .K654</t>
        </is>
      </c>
      <c r="C454" t="inlineStr">
        <is>
          <t>0                      DC 0412000K  654</t>
        </is>
      </c>
      <c r="D454" t="inlineStr">
        <is>
          <t>French international policy under De Gaulle and Pompidou : the politics of grandeur / Edward A. Kolodziej.</t>
        </is>
      </c>
      <c r="F454" t="inlineStr">
        <is>
          <t>No</t>
        </is>
      </c>
      <c r="G454" t="inlineStr">
        <is>
          <t>1</t>
        </is>
      </c>
      <c r="H454" t="inlineStr">
        <is>
          <t>No</t>
        </is>
      </c>
      <c r="I454" t="inlineStr">
        <is>
          <t>No</t>
        </is>
      </c>
      <c r="J454" t="inlineStr">
        <is>
          <t>0</t>
        </is>
      </c>
      <c r="K454" t="inlineStr">
        <is>
          <t>Kolodziej, Edward A.</t>
        </is>
      </c>
      <c r="L454" t="inlineStr">
        <is>
          <t>Ithaca : Cornell University Press, 1974.</t>
        </is>
      </c>
      <c r="M454" t="inlineStr">
        <is>
          <t>1974</t>
        </is>
      </c>
      <c r="O454" t="inlineStr">
        <is>
          <t>eng</t>
        </is>
      </c>
      <c r="P454" t="inlineStr">
        <is>
          <t>nyu</t>
        </is>
      </c>
      <c r="R454" t="inlineStr">
        <is>
          <t xml:space="preserve">DC </t>
        </is>
      </c>
      <c r="S454" t="n">
        <v>1</v>
      </c>
      <c r="T454" t="n">
        <v>1</v>
      </c>
      <c r="U454" t="inlineStr">
        <is>
          <t>1992-04-15</t>
        </is>
      </c>
      <c r="V454" t="inlineStr">
        <is>
          <t>1992-04-15</t>
        </is>
      </c>
      <c r="W454" t="inlineStr">
        <is>
          <t>1991-09-11</t>
        </is>
      </c>
      <c r="X454" t="inlineStr">
        <is>
          <t>1991-09-11</t>
        </is>
      </c>
      <c r="Y454" t="n">
        <v>706</v>
      </c>
      <c r="Z454" t="n">
        <v>542</v>
      </c>
      <c r="AA454" t="n">
        <v>545</v>
      </c>
      <c r="AB454" t="n">
        <v>4</v>
      </c>
      <c r="AC454" t="n">
        <v>4</v>
      </c>
      <c r="AD454" t="n">
        <v>29</v>
      </c>
      <c r="AE454" t="n">
        <v>29</v>
      </c>
      <c r="AF454" t="n">
        <v>9</v>
      </c>
      <c r="AG454" t="n">
        <v>9</v>
      </c>
      <c r="AH454" t="n">
        <v>9</v>
      </c>
      <c r="AI454" t="n">
        <v>9</v>
      </c>
      <c r="AJ454" t="n">
        <v>15</v>
      </c>
      <c r="AK454" t="n">
        <v>15</v>
      </c>
      <c r="AL454" t="n">
        <v>3</v>
      </c>
      <c r="AM454" t="n">
        <v>3</v>
      </c>
      <c r="AN454" t="n">
        <v>0</v>
      </c>
      <c r="AO454" t="n">
        <v>0</v>
      </c>
      <c r="AP454" t="inlineStr">
        <is>
          <t>No</t>
        </is>
      </c>
      <c r="AQ454" t="inlineStr">
        <is>
          <t>Yes</t>
        </is>
      </c>
      <c r="AR454">
        <f>HYPERLINK("http://catalog.hathitrust.org/Record/000343804","HathiTrust Record")</f>
        <v/>
      </c>
      <c r="AS454">
        <f>HYPERLINK("https://creighton-primo.hosted.exlibrisgroup.com/primo-explore/search?tab=default_tab&amp;search_scope=EVERYTHING&amp;vid=01CRU&amp;lang=en_US&amp;offset=0&amp;query=any,contains,991003517639702656","Catalog Record")</f>
        <v/>
      </c>
      <c r="AT454">
        <f>HYPERLINK("http://www.worldcat.org/oclc/1075873","WorldCat Record")</f>
        <v/>
      </c>
      <c r="AU454" t="inlineStr">
        <is>
          <t>309061375:eng</t>
        </is>
      </c>
      <c r="AV454" t="inlineStr">
        <is>
          <t>1075873</t>
        </is>
      </c>
      <c r="AW454" t="inlineStr">
        <is>
          <t>991003517639702656</t>
        </is>
      </c>
      <c r="AX454" t="inlineStr">
        <is>
          <t>991003517639702656</t>
        </is>
      </c>
      <c r="AY454" t="inlineStr">
        <is>
          <t>2257990350002656</t>
        </is>
      </c>
      <c r="AZ454" t="inlineStr">
        <is>
          <t>BOOK</t>
        </is>
      </c>
      <c r="BB454" t="inlineStr">
        <is>
          <t>9780801408298</t>
        </is>
      </c>
      <c r="BC454" t="inlineStr">
        <is>
          <t>32285000737527</t>
        </is>
      </c>
      <c r="BD454" t="inlineStr">
        <is>
          <t>893717749</t>
        </is>
      </c>
    </row>
    <row r="455">
      <c r="A455" t="inlineStr">
        <is>
          <t>No</t>
        </is>
      </c>
      <c r="B455" t="inlineStr">
        <is>
          <t>DC412 .K8</t>
        </is>
      </c>
      <c r="C455" t="inlineStr">
        <is>
          <t>0                      DC 0412000K  8</t>
        </is>
      </c>
      <c r="D455" t="inlineStr">
        <is>
          <t>De Gaulle and the world : the foreign policy of the Fifth French Republic / [by] W.W. Kulski.</t>
        </is>
      </c>
      <c r="F455" t="inlineStr">
        <is>
          <t>No</t>
        </is>
      </c>
      <c r="G455" t="inlineStr">
        <is>
          <t>1</t>
        </is>
      </c>
      <c r="H455" t="inlineStr">
        <is>
          <t>No</t>
        </is>
      </c>
      <c r="I455" t="inlineStr">
        <is>
          <t>No</t>
        </is>
      </c>
      <c r="J455" t="inlineStr">
        <is>
          <t>0</t>
        </is>
      </c>
      <c r="K455" t="inlineStr">
        <is>
          <t>Kulski, W. W. (Władysław Wszebór), 1903-1989.</t>
        </is>
      </c>
      <c r="L455" t="inlineStr">
        <is>
          <t>Syracuse, N.Y.] : Syracuse University Press, [1966]</t>
        </is>
      </c>
      <c r="M455" t="inlineStr">
        <is>
          <t>1966</t>
        </is>
      </c>
      <c r="N455" t="inlineStr">
        <is>
          <t>[1st ed.</t>
        </is>
      </c>
      <c r="O455" t="inlineStr">
        <is>
          <t>eng</t>
        </is>
      </c>
      <c r="P455" t="inlineStr">
        <is>
          <t>nyu</t>
        </is>
      </c>
      <c r="R455" t="inlineStr">
        <is>
          <t xml:space="preserve">DC </t>
        </is>
      </c>
      <c r="S455" t="n">
        <v>2</v>
      </c>
      <c r="T455" t="n">
        <v>2</v>
      </c>
      <c r="U455" t="inlineStr">
        <is>
          <t>1992-04-13</t>
        </is>
      </c>
      <c r="V455" t="inlineStr">
        <is>
          <t>1992-04-13</t>
        </is>
      </c>
      <c r="W455" t="inlineStr">
        <is>
          <t>1991-09-11</t>
        </is>
      </c>
      <c r="X455" t="inlineStr">
        <is>
          <t>1991-09-11</t>
        </is>
      </c>
      <c r="Y455" t="n">
        <v>853</v>
      </c>
      <c r="Z455" t="n">
        <v>739</v>
      </c>
      <c r="AA455" t="n">
        <v>748</v>
      </c>
      <c r="AB455" t="n">
        <v>5</v>
      </c>
      <c r="AC455" t="n">
        <v>5</v>
      </c>
      <c r="AD455" t="n">
        <v>35</v>
      </c>
      <c r="AE455" t="n">
        <v>35</v>
      </c>
      <c r="AF455" t="n">
        <v>13</v>
      </c>
      <c r="AG455" t="n">
        <v>13</v>
      </c>
      <c r="AH455" t="n">
        <v>9</v>
      </c>
      <c r="AI455" t="n">
        <v>9</v>
      </c>
      <c r="AJ455" t="n">
        <v>19</v>
      </c>
      <c r="AK455" t="n">
        <v>19</v>
      </c>
      <c r="AL455" t="n">
        <v>4</v>
      </c>
      <c r="AM455" t="n">
        <v>4</v>
      </c>
      <c r="AN455" t="n">
        <v>0</v>
      </c>
      <c r="AO455" t="n">
        <v>0</v>
      </c>
      <c r="AP455" t="inlineStr">
        <is>
          <t>No</t>
        </is>
      </c>
      <c r="AQ455" t="inlineStr">
        <is>
          <t>Yes</t>
        </is>
      </c>
      <c r="AR455">
        <f>HYPERLINK("http://catalog.hathitrust.org/Record/000343748","HathiTrust Record")</f>
        <v/>
      </c>
      <c r="AS455">
        <f>HYPERLINK("https://creighton-primo.hosted.exlibrisgroup.com/primo-explore/search?tab=default_tab&amp;search_scope=EVERYTHING&amp;vid=01CRU&amp;lang=en_US&amp;offset=0&amp;query=any,contains,991002689439702656","Catalog Record")</f>
        <v/>
      </c>
      <c r="AT455">
        <f>HYPERLINK("http://www.worldcat.org/oclc/401099","WorldCat Record")</f>
        <v/>
      </c>
      <c r="AU455" t="inlineStr">
        <is>
          <t>862837734:eng</t>
        </is>
      </c>
      <c r="AV455" t="inlineStr">
        <is>
          <t>401099</t>
        </is>
      </c>
      <c r="AW455" t="inlineStr">
        <is>
          <t>991002689439702656</t>
        </is>
      </c>
      <c r="AX455" t="inlineStr">
        <is>
          <t>991002689439702656</t>
        </is>
      </c>
      <c r="AY455" t="inlineStr">
        <is>
          <t>2268073770002656</t>
        </is>
      </c>
      <c r="AZ455" t="inlineStr">
        <is>
          <t>BOOK</t>
        </is>
      </c>
      <c r="BC455" t="inlineStr">
        <is>
          <t>32285000737535</t>
        </is>
      </c>
      <c r="BD455" t="inlineStr">
        <is>
          <t>893530330</t>
        </is>
      </c>
    </row>
    <row r="456">
      <c r="A456" t="inlineStr">
        <is>
          <t>No</t>
        </is>
      </c>
      <c r="B456" t="inlineStr">
        <is>
          <t>DC412 .M588</t>
        </is>
      </c>
      <c r="C456" t="inlineStr">
        <is>
          <t>0                      DC 0412000M  588</t>
        </is>
      </c>
      <c r="D456" t="inlineStr">
        <is>
          <t>Foreign policy and interdependence in Gaullist France / [by] Edward L. Morse.</t>
        </is>
      </c>
      <c r="F456" t="inlineStr">
        <is>
          <t>No</t>
        </is>
      </c>
      <c r="G456" t="inlineStr">
        <is>
          <t>1</t>
        </is>
      </c>
      <c r="H456" t="inlineStr">
        <is>
          <t>No</t>
        </is>
      </c>
      <c r="I456" t="inlineStr">
        <is>
          <t>No</t>
        </is>
      </c>
      <c r="J456" t="inlineStr">
        <is>
          <t>0</t>
        </is>
      </c>
      <c r="K456" t="inlineStr">
        <is>
          <t>Morse, Edward L.</t>
        </is>
      </c>
      <c r="L456" t="inlineStr">
        <is>
          <t>Princeton, N.J. : Princeton University Press, [1973]</t>
        </is>
      </c>
      <c r="M456" t="inlineStr">
        <is>
          <t>1973</t>
        </is>
      </c>
      <c r="O456" t="inlineStr">
        <is>
          <t>eng</t>
        </is>
      </c>
      <c r="P456" t="inlineStr">
        <is>
          <t>nju</t>
        </is>
      </c>
      <c r="R456" t="inlineStr">
        <is>
          <t xml:space="preserve">DC </t>
        </is>
      </c>
      <c r="S456" t="n">
        <v>3</v>
      </c>
      <c r="T456" t="n">
        <v>3</v>
      </c>
      <c r="U456" t="inlineStr">
        <is>
          <t>1993-04-18</t>
        </is>
      </c>
      <c r="V456" t="inlineStr">
        <is>
          <t>1993-04-18</t>
        </is>
      </c>
      <c r="W456" t="inlineStr">
        <is>
          <t>1990-12-18</t>
        </is>
      </c>
      <c r="X456" t="inlineStr">
        <is>
          <t>1990-12-18</t>
        </is>
      </c>
      <c r="Y456" t="n">
        <v>575</v>
      </c>
      <c r="Z456" t="n">
        <v>437</v>
      </c>
      <c r="AA456" t="n">
        <v>655</v>
      </c>
      <c r="AB456" t="n">
        <v>4</v>
      </c>
      <c r="AC456" t="n">
        <v>6</v>
      </c>
      <c r="AD456" t="n">
        <v>20</v>
      </c>
      <c r="AE456" t="n">
        <v>31</v>
      </c>
      <c r="AF456" t="n">
        <v>4</v>
      </c>
      <c r="AG456" t="n">
        <v>12</v>
      </c>
      <c r="AH456" t="n">
        <v>6</v>
      </c>
      <c r="AI456" t="n">
        <v>9</v>
      </c>
      <c r="AJ456" t="n">
        <v>11</v>
      </c>
      <c r="AK456" t="n">
        <v>14</v>
      </c>
      <c r="AL456" t="n">
        <v>3</v>
      </c>
      <c r="AM456" t="n">
        <v>4</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HYPERLINK("https://creighton-primo.hosted.exlibrisgroup.com/primo-explore/search?tab=default_tab&amp;search_scope=EVERYTHING&amp;vid=01CRU&amp;lang=en_US&amp;offset=0&amp;query=any,contains,991003073759702656","Catalog Record")</f>
        <v/>
      </c>
      <c r="AT456">
        <f>HYPERLINK("http://www.worldcat.org/oclc/627811","WorldCat Record")</f>
        <v/>
      </c>
      <c r="AU456" t="inlineStr">
        <is>
          <t>441371:eng</t>
        </is>
      </c>
      <c r="AV456" t="inlineStr">
        <is>
          <t>627811</t>
        </is>
      </c>
      <c r="AW456" t="inlineStr">
        <is>
          <t>991003073759702656</t>
        </is>
      </c>
      <c r="AX456" t="inlineStr">
        <is>
          <t>991003073759702656</t>
        </is>
      </c>
      <c r="AY456" t="inlineStr">
        <is>
          <t>2257936600002656</t>
        </is>
      </c>
      <c r="AZ456" t="inlineStr">
        <is>
          <t>BOOK</t>
        </is>
      </c>
      <c r="BB456" t="inlineStr">
        <is>
          <t>9780691052090</t>
        </is>
      </c>
      <c r="BC456" t="inlineStr">
        <is>
          <t>32285000425784</t>
        </is>
      </c>
      <c r="BD456" t="inlineStr">
        <is>
          <t>893623121</t>
        </is>
      </c>
    </row>
    <row r="457">
      <c r="A457" t="inlineStr">
        <is>
          <t>No</t>
        </is>
      </c>
      <c r="B457" t="inlineStr">
        <is>
          <t>DC412 .S2813</t>
        </is>
      </c>
      <c r="C457" t="inlineStr">
        <is>
          <t>0                      DC 0412000S  2813</t>
        </is>
      </c>
      <c r="D457" t="inlineStr">
        <is>
          <t>The French student uprising, November 1967 - June 1968; an analytical record, by Alain Schnapp and Pierre Vidal-Naquet. Translated by Maria Jolas.</t>
        </is>
      </c>
      <c r="F457" t="inlineStr">
        <is>
          <t>No</t>
        </is>
      </c>
      <c r="G457" t="inlineStr">
        <is>
          <t>1</t>
        </is>
      </c>
      <c r="H457" t="inlineStr">
        <is>
          <t>No</t>
        </is>
      </c>
      <c r="I457" t="inlineStr">
        <is>
          <t>No</t>
        </is>
      </c>
      <c r="J457" t="inlineStr">
        <is>
          <t>0</t>
        </is>
      </c>
      <c r="K457" t="inlineStr">
        <is>
          <t>Schnapp, Alain, 1946-</t>
        </is>
      </c>
      <c r="L457" t="inlineStr">
        <is>
          <t>Boston, Beacon Press [1971]</t>
        </is>
      </c>
      <c r="M457" t="inlineStr">
        <is>
          <t>1971</t>
        </is>
      </c>
      <c r="O457" t="inlineStr">
        <is>
          <t>eng</t>
        </is>
      </c>
      <c r="P457" t="inlineStr">
        <is>
          <t>mau</t>
        </is>
      </c>
      <c r="R457" t="inlineStr">
        <is>
          <t xml:space="preserve">DC </t>
        </is>
      </c>
      <c r="S457" t="n">
        <v>2</v>
      </c>
      <c r="T457" t="n">
        <v>2</v>
      </c>
      <c r="U457" t="inlineStr">
        <is>
          <t>1997-04-15</t>
        </is>
      </c>
      <c r="V457" t="inlineStr">
        <is>
          <t>1997-04-15</t>
        </is>
      </c>
      <c r="W457" t="inlineStr">
        <is>
          <t>1996-11-20</t>
        </is>
      </c>
      <c r="X457" t="inlineStr">
        <is>
          <t>1996-11-20</t>
        </is>
      </c>
      <c r="Y457" t="n">
        <v>476</v>
      </c>
      <c r="Z457" t="n">
        <v>411</v>
      </c>
      <c r="AA457" t="n">
        <v>417</v>
      </c>
      <c r="AB457" t="n">
        <v>3</v>
      </c>
      <c r="AC457" t="n">
        <v>3</v>
      </c>
      <c r="AD457" t="n">
        <v>17</v>
      </c>
      <c r="AE457" t="n">
        <v>17</v>
      </c>
      <c r="AF457" t="n">
        <v>4</v>
      </c>
      <c r="AG457" t="n">
        <v>4</v>
      </c>
      <c r="AH457" t="n">
        <v>7</v>
      </c>
      <c r="AI457" t="n">
        <v>7</v>
      </c>
      <c r="AJ457" t="n">
        <v>9</v>
      </c>
      <c r="AK457" t="n">
        <v>9</v>
      </c>
      <c r="AL457" t="n">
        <v>2</v>
      </c>
      <c r="AM457" t="n">
        <v>2</v>
      </c>
      <c r="AN457" t="n">
        <v>0</v>
      </c>
      <c r="AO457" t="n">
        <v>0</v>
      </c>
      <c r="AP457" t="inlineStr">
        <is>
          <t>No</t>
        </is>
      </c>
      <c r="AQ457" t="inlineStr">
        <is>
          <t>Yes</t>
        </is>
      </c>
      <c r="AR457">
        <f>HYPERLINK("http://catalog.hathitrust.org/Record/000344255","HathiTrust Record")</f>
        <v/>
      </c>
      <c r="AS457">
        <f>HYPERLINK("https://creighton-primo.hosted.exlibrisgroup.com/primo-explore/search?tab=default_tab&amp;search_scope=EVERYTHING&amp;vid=01CRU&amp;lang=en_US&amp;offset=0&amp;query=any,contains,991001274119702656","Catalog Record")</f>
        <v/>
      </c>
      <c r="AT457">
        <f>HYPERLINK("http://www.worldcat.org/oclc/213517","WorldCat Record")</f>
        <v/>
      </c>
      <c r="AU457" t="inlineStr">
        <is>
          <t>1295448:eng</t>
        </is>
      </c>
      <c r="AV457" t="inlineStr">
        <is>
          <t>213517</t>
        </is>
      </c>
      <c r="AW457" t="inlineStr">
        <is>
          <t>991001274119702656</t>
        </is>
      </c>
      <c r="AX457" t="inlineStr">
        <is>
          <t>991001274119702656</t>
        </is>
      </c>
      <c r="AY457" t="inlineStr">
        <is>
          <t>2255352590002656</t>
        </is>
      </c>
      <c r="AZ457" t="inlineStr">
        <is>
          <t>BOOK</t>
        </is>
      </c>
      <c r="BB457" t="inlineStr">
        <is>
          <t>9780807043882</t>
        </is>
      </c>
      <c r="BC457" t="inlineStr">
        <is>
          <t>32285002380664</t>
        </is>
      </c>
      <c r="BD457" t="inlineStr">
        <is>
          <t>893420216</t>
        </is>
      </c>
    </row>
    <row r="458">
      <c r="A458" t="inlineStr">
        <is>
          <t>No</t>
        </is>
      </c>
      <c r="B458" t="inlineStr">
        <is>
          <t>DC412 .V47 2005</t>
        </is>
      </c>
      <c r="C458" t="inlineStr">
        <is>
          <t>0                      DC 0412000V  47          2005</t>
        </is>
      </c>
      <c r="D458" t="inlineStr">
        <is>
          <t>Mémoires de la traite négrière, de l'esclavage et de leurs abolitions : rapport à monsieur le premier ministre / Comité pour la mémoire de l'esclavage ; rapporteur général Françoise Vergès ; préface de Maryse Condé.</t>
        </is>
      </c>
      <c r="F458" t="inlineStr">
        <is>
          <t>No</t>
        </is>
      </c>
      <c r="G458" t="inlineStr">
        <is>
          <t>1</t>
        </is>
      </c>
      <c r="H458" t="inlineStr">
        <is>
          <t>No</t>
        </is>
      </c>
      <c r="I458" t="inlineStr">
        <is>
          <t>No</t>
        </is>
      </c>
      <c r="J458" t="inlineStr">
        <is>
          <t>0</t>
        </is>
      </c>
      <c r="K458" t="inlineStr">
        <is>
          <t>Vergès, Françoise, 1952-</t>
        </is>
      </c>
      <c r="L458" t="inlineStr">
        <is>
          <t>Paris : Découverte, 2005.</t>
        </is>
      </c>
      <c r="M458" t="inlineStr">
        <is>
          <t>2005</t>
        </is>
      </c>
      <c r="O458" t="inlineStr">
        <is>
          <t>fre</t>
        </is>
      </c>
      <c r="P458" t="inlineStr">
        <is>
          <t xml:space="preserve">fr </t>
        </is>
      </c>
      <c r="Q458" t="inlineStr">
        <is>
          <t>Sur le vif (Editions La Découverte)</t>
        </is>
      </c>
      <c r="R458" t="inlineStr">
        <is>
          <t xml:space="preserve">DC </t>
        </is>
      </c>
      <c r="S458" t="n">
        <v>1</v>
      </c>
      <c r="T458" t="n">
        <v>1</v>
      </c>
      <c r="U458" t="inlineStr">
        <is>
          <t>2008-07-01</t>
        </is>
      </c>
      <c r="V458" t="inlineStr">
        <is>
          <t>2008-07-01</t>
        </is>
      </c>
      <c r="W458" t="inlineStr">
        <is>
          <t>2008-07-01</t>
        </is>
      </c>
      <c r="X458" t="inlineStr">
        <is>
          <t>2008-07-01</t>
        </is>
      </c>
      <c r="Y458" t="n">
        <v>36</v>
      </c>
      <c r="Z458" t="n">
        <v>19</v>
      </c>
      <c r="AA458" t="n">
        <v>20</v>
      </c>
      <c r="AB458" t="n">
        <v>1</v>
      </c>
      <c r="AC458" t="n">
        <v>1</v>
      </c>
      <c r="AD458" t="n">
        <v>0</v>
      </c>
      <c r="AE458" t="n">
        <v>0</v>
      </c>
      <c r="AF458" t="n">
        <v>0</v>
      </c>
      <c r="AG458" t="n">
        <v>0</v>
      </c>
      <c r="AH458" t="n">
        <v>0</v>
      </c>
      <c r="AI458" t="n">
        <v>0</v>
      </c>
      <c r="AJ458" t="n">
        <v>0</v>
      </c>
      <c r="AK458" t="n">
        <v>0</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HYPERLINK("https://creighton-primo.hosted.exlibrisgroup.com/primo-explore/search?tab=default_tab&amp;search_scope=EVERYTHING&amp;vid=01CRU&amp;lang=en_US&amp;offset=0&amp;query=any,contains,991005199289702656","Catalog Record")</f>
        <v/>
      </c>
      <c r="AT458">
        <f>HYPERLINK("http://www.worldcat.org/oclc/62305800","WorldCat Record")</f>
        <v/>
      </c>
      <c r="AU458" t="inlineStr">
        <is>
          <t>479591722:fre</t>
        </is>
      </c>
      <c r="AV458" t="inlineStr">
        <is>
          <t>62305800</t>
        </is>
      </c>
      <c r="AW458" t="inlineStr">
        <is>
          <t>991005199289702656</t>
        </is>
      </c>
      <c r="AX458" t="inlineStr">
        <is>
          <t>991005199289702656</t>
        </is>
      </c>
      <c r="AY458" t="inlineStr">
        <is>
          <t>2261717110002656</t>
        </is>
      </c>
      <c r="AZ458" t="inlineStr">
        <is>
          <t>BOOK</t>
        </is>
      </c>
      <c r="BB458" t="inlineStr">
        <is>
          <t>9782707147639</t>
        </is>
      </c>
      <c r="BC458" t="inlineStr">
        <is>
          <t>32285005447494</t>
        </is>
      </c>
      <c r="BD458" t="inlineStr">
        <is>
          <t>893260715</t>
        </is>
      </c>
    </row>
    <row r="459">
      <c r="A459" t="inlineStr">
        <is>
          <t>No</t>
        </is>
      </c>
      <c r="B459" t="inlineStr">
        <is>
          <t>DC417 .C44</t>
        </is>
      </c>
      <c r="C459" t="inlineStr">
        <is>
          <t>0                      DC 0417000C  44</t>
        </is>
      </c>
      <c r="D459" t="inlineStr">
        <is>
          <t>The politics of grandeur : ideological aspects of De Gaulle's foreign policy / Philip G. Cerny.</t>
        </is>
      </c>
      <c r="F459" t="inlineStr">
        <is>
          <t>No</t>
        </is>
      </c>
      <c r="G459" t="inlineStr">
        <is>
          <t>1</t>
        </is>
      </c>
      <c r="H459" t="inlineStr">
        <is>
          <t>No</t>
        </is>
      </c>
      <c r="I459" t="inlineStr">
        <is>
          <t>No</t>
        </is>
      </c>
      <c r="J459" t="inlineStr">
        <is>
          <t>0</t>
        </is>
      </c>
      <c r="K459" t="inlineStr">
        <is>
          <t>Cerny, Philip G., 1946-</t>
        </is>
      </c>
      <c r="L459" t="inlineStr">
        <is>
          <t>Cambridge [Eng.] ; New York : Cambridge University Press, 1980.</t>
        </is>
      </c>
      <c r="M459" t="inlineStr">
        <is>
          <t>1980</t>
        </is>
      </c>
      <c r="O459" t="inlineStr">
        <is>
          <t>eng</t>
        </is>
      </c>
      <c r="P459" t="inlineStr">
        <is>
          <t>enk</t>
        </is>
      </c>
      <c r="R459" t="inlineStr">
        <is>
          <t xml:space="preserve">DC </t>
        </is>
      </c>
      <c r="S459" t="n">
        <v>3</v>
      </c>
      <c r="T459" t="n">
        <v>3</v>
      </c>
      <c r="U459" t="inlineStr">
        <is>
          <t>1992-03-21</t>
        </is>
      </c>
      <c r="V459" t="inlineStr">
        <is>
          <t>1992-03-21</t>
        </is>
      </c>
      <c r="W459" t="inlineStr">
        <is>
          <t>1991-01-16</t>
        </is>
      </c>
      <c r="X459" t="inlineStr">
        <is>
          <t>1991-01-16</t>
        </is>
      </c>
      <c r="Y459" t="n">
        <v>564</v>
      </c>
      <c r="Z459" t="n">
        <v>397</v>
      </c>
      <c r="AA459" t="n">
        <v>407</v>
      </c>
      <c r="AB459" t="n">
        <v>3</v>
      </c>
      <c r="AC459" t="n">
        <v>3</v>
      </c>
      <c r="AD459" t="n">
        <v>14</v>
      </c>
      <c r="AE459" t="n">
        <v>15</v>
      </c>
      <c r="AF459" t="n">
        <v>1</v>
      </c>
      <c r="AG459" t="n">
        <v>2</v>
      </c>
      <c r="AH459" t="n">
        <v>5</v>
      </c>
      <c r="AI459" t="n">
        <v>5</v>
      </c>
      <c r="AJ459" t="n">
        <v>10</v>
      </c>
      <c r="AK459" t="n">
        <v>10</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HYPERLINK("https://creighton-primo.hosted.exlibrisgroup.com/primo-explore/search?tab=default_tab&amp;search_scope=EVERYTHING&amp;vid=01CRU&amp;lang=en_US&amp;offset=0&amp;query=any,contains,991004939829702656","Catalog Record")</f>
        <v/>
      </c>
      <c r="AT459">
        <f>HYPERLINK("http://www.worldcat.org/oclc/6174334","WorldCat Record")</f>
        <v/>
      </c>
      <c r="AU459" t="inlineStr">
        <is>
          <t>808804545:eng</t>
        </is>
      </c>
      <c r="AV459" t="inlineStr">
        <is>
          <t>6174334</t>
        </is>
      </c>
      <c r="AW459" t="inlineStr">
        <is>
          <t>991004939829702656</t>
        </is>
      </c>
      <c r="AX459" t="inlineStr">
        <is>
          <t>991004939829702656</t>
        </is>
      </c>
      <c r="AY459" t="inlineStr">
        <is>
          <t>2256765940002656</t>
        </is>
      </c>
      <c r="AZ459" t="inlineStr">
        <is>
          <t>BOOK</t>
        </is>
      </c>
      <c r="BB459" t="inlineStr">
        <is>
          <t>9780521228633</t>
        </is>
      </c>
      <c r="BC459" t="inlineStr">
        <is>
          <t>32285000455203</t>
        </is>
      </c>
      <c r="BD459" t="inlineStr">
        <is>
          <t>893895654</t>
        </is>
      </c>
    </row>
    <row r="460">
      <c r="A460" t="inlineStr">
        <is>
          <t>No</t>
        </is>
      </c>
      <c r="B460" t="inlineStr">
        <is>
          <t>DC417 .H38 1991</t>
        </is>
      </c>
      <c r="C460" t="inlineStr">
        <is>
          <t>0                      DC 0417000H  38          1991</t>
        </is>
      </c>
      <c r="D460" t="inlineStr">
        <is>
          <t>Politics in Gaullist France : coping with chaos / Charles Hauss.</t>
        </is>
      </c>
      <c r="F460" t="inlineStr">
        <is>
          <t>No</t>
        </is>
      </c>
      <c r="G460" t="inlineStr">
        <is>
          <t>1</t>
        </is>
      </c>
      <c r="H460" t="inlineStr">
        <is>
          <t>No</t>
        </is>
      </c>
      <c r="I460" t="inlineStr">
        <is>
          <t>No</t>
        </is>
      </c>
      <c r="J460" t="inlineStr">
        <is>
          <t>0</t>
        </is>
      </c>
      <c r="K460" t="inlineStr">
        <is>
          <t>Hauss, Charles.</t>
        </is>
      </c>
      <c r="L460" t="inlineStr">
        <is>
          <t>New York : Praeger, 1991.</t>
        </is>
      </c>
      <c r="M460" t="inlineStr">
        <is>
          <t>1991</t>
        </is>
      </c>
      <c r="O460" t="inlineStr">
        <is>
          <t>eng</t>
        </is>
      </c>
      <c r="P460" t="inlineStr">
        <is>
          <t>nyu</t>
        </is>
      </c>
      <c r="R460" t="inlineStr">
        <is>
          <t xml:space="preserve">DC </t>
        </is>
      </c>
      <c r="S460" t="n">
        <v>1</v>
      </c>
      <c r="T460" t="n">
        <v>1</v>
      </c>
      <c r="U460" t="inlineStr">
        <is>
          <t>1993-02-22</t>
        </is>
      </c>
      <c r="V460" t="inlineStr">
        <is>
          <t>1993-02-22</t>
        </is>
      </c>
      <c r="W460" t="inlineStr">
        <is>
          <t>1992-03-25</t>
        </is>
      </c>
      <c r="X460" t="inlineStr">
        <is>
          <t>1992-03-25</t>
        </is>
      </c>
      <c r="Y460" t="n">
        <v>277</v>
      </c>
      <c r="Z460" t="n">
        <v>218</v>
      </c>
      <c r="AA460" t="n">
        <v>220</v>
      </c>
      <c r="AB460" t="n">
        <v>2</v>
      </c>
      <c r="AC460" t="n">
        <v>2</v>
      </c>
      <c r="AD460" t="n">
        <v>10</v>
      </c>
      <c r="AE460" t="n">
        <v>10</v>
      </c>
      <c r="AF460" t="n">
        <v>3</v>
      </c>
      <c r="AG460" t="n">
        <v>3</v>
      </c>
      <c r="AH460" t="n">
        <v>3</v>
      </c>
      <c r="AI460" t="n">
        <v>3</v>
      </c>
      <c r="AJ460" t="n">
        <v>8</v>
      </c>
      <c r="AK460" t="n">
        <v>8</v>
      </c>
      <c r="AL460" t="n">
        <v>1</v>
      </c>
      <c r="AM460" t="n">
        <v>1</v>
      </c>
      <c r="AN460" t="n">
        <v>0</v>
      </c>
      <c r="AO460" t="n">
        <v>0</v>
      </c>
      <c r="AP460" t="inlineStr">
        <is>
          <t>No</t>
        </is>
      </c>
      <c r="AQ460" t="inlineStr">
        <is>
          <t>Yes</t>
        </is>
      </c>
      <c r="AR460">
        <f>HYPERLINK("http://catalog.hathitrust.org/Record/002370994","HathiTrust Record")</f>
        <v/>
      </c>
      <c r="AS460">
        <f>HYPERLINK("https://creighton-primo.hosted.exlibrisgroup.com/primo-explore/search?tab=default_tab&amp;search_scope=EVERYTHING&amp;vid=01CRU&amp;lang=en_US&amp;offset=0&amp;query=any,contains,991001715019702656","Catalog Record")</f>
        <v/>
      </c>
      <c r="AT460">
        <f>HYPERLINK("http://www.worldcat.org/oclc/21674546","WorldCat Record")</f>
        <v/>
      </c>
      <c r="AU460" t="inlineStr">
        <is>
          <t>368558335:eng</t>
        </is>
      </c>
      <c r="AV460" t="inlineStr">
        <is>
          <t>21674546</t>
        </is>
      </c>
      <c r="AW460" t="inlineStr">
        <is>
          <t>991001715019702656</t>
        </is>
      </c>
      <c r="AX460" t="inlineStr">
        <is>
          <t>991001715019702656</t>
        </is>
      </c>
      <c r="AY460" t="inlineStr">
        <is>
          <t>2263365650002656</t>
        </is>
      </c>
      <c r="AZ460" t="inlineStr">
        <is>
          <t>BOOK</t>
        </is>
      </c>
      <c r="BB460" t="inlineStr">
        <is>
          <t>9780275937348</t>
        </is>
      </c>
      <c r="BC460" t="inlineStr">
        <is>
          <t>32285001005270</t>
        </is>
      </c>
      <c r="BD460" t="inlineStr">
        <is>
          <t>893232194</t>
        </is>
      </c>
    </row>
    <row r="461">
      <c r="A461" t="inlineStr">
        <is>
          <t>No</t>
        </is>
      </c>
      <c r="B461" t="inlineStr">
        <is>
          <t>DC417 .T56 2004</t>
        </is>
      </c>
      <c r="C461" t="inlineStr">
        <is>
          <t>0                      DC 0417000T  56          2004</t>
        </is>
      </c>
      <c r="D461" t="inlineStr">
        <is>
          <t>The French betrayal of America / Kenneth R. Timmerman.</t>
        </is>
      </c>
      <c r="F461" t="inlineStr">
        <is>
          <t>No</t>
        </is>
      </c>
      <c r="G461" t="inlineStr">
        <is>
          <t>1</t>
        </is>
      </c>
      <c r="H461" t="inlineStr">
        <is>
          <t>No</t>
        </is>
      </c>
      <c r="I461" t="inlineStr">
        <is>
          <t>No</t>
        </is>
      </c>
      <c r="J461" t="inlineStr">
        <is>
          <t>0</t>
        </is>
      </c>
      <c r="K461" t="inlineStr">
        <is>
          <t>Timmerman, Kenneth R.</t>
        </is>
      </c>
      <c r="L461" t="inlineStr">
        <is>
          <t>New York : Crown Forum, c2004.</t>
        </is>
      </c>
      <c r="M461" t="inlineStr">
        <is>
          <t>2004</t>
        </is>
      </c>
      <c r="N461" t="inlineStr">
        <is>
          <t>1st ed.</t>
        </is>
      </c>
      <c r="O461" t="inlineStr">
        <is>
          <t>eng</t>
        </is>
      </c>
      <c r="P461" t="inlineStr">
        <is>
          <t>nyu</t>
        </is>
      </c>
      <c r="R461" t="inlineStr">
        <is>
          <t xml:space="preserve">DC </t>
        </is>
      </c>
      <c r="S461" t="n">
        <v>2</v>
      </c>
      <c r="T461" t="n">
        <v>2</v>
      </c>
      <c r="U461" t="inlineStr">
        <is>
          <t>2005-12-01</t>
        </is>
      </c>
      <c r="V461" t="inlineStr">
        <is>
          <t>2005-12-01</t>
        </is>
      </c>
      <c r="W461" t="inlineStr">
        <is>
          <t>2005-12-01</t>
        </is>
      </c>
      <c r="X461" t="inlineStr">
        <is>
          <t>2005-12-01</t>
        </is>
      </c>
      <c r="Y461" t="n">
        <v>387</v>
      </c>
      <c r="Z461" t="n">
        <v>359</v>
      </c>
      <c r="AA461" t="n">
        <v>418</v>
      </c>
      <c r="AB461" t="n">
        <v>2</v>
      </c>
      <c r="AC461" t="n">
        <v>2</v>
      </c>
      <c r="AD461" t="n">
        <v>7</v>
      </c>
      <c r="AE461" t="n">
        <v>10</v>
      </c>
      <c r="AF461" t="n">
        <v>3</v>
      </c>
      <c r="AG461" t="n">
        <v>4</v>
      </c>
      <c r="AH461" t="n">
        <v>2</v>
      </c>
      <c r="AI461" t="n">
        <v>3</v>
      </c>
      <c r="AJ461" t="n">
        <v>3</v>
      </c>
      <c r="AK461" t="n">
        <v>6</v>
      </c>
      <c r="AL461" t="n">
        <v>1</v>
      </c>
      <c r="AM461" t="n">
        <v>1</v>
      </c>
      <c r="AN461" t="n">
        <v>0</v>
      </c>
      <c r="AO461" t="n">
        <v>0</v>
      </c>
      <c r="AP461" t="inlineStr">
        <is>
          <t>No</t>
        </is>
      </c>
      <c r="AQ461" t="inlineStr">
        <is>
          <t>Yes</t>
        </is>
      </c>
      <c r="AR461">
        <f>HYPERLINK("http://catalog.hathitrust.org/Record/004366868","HathiTrust Record")</f>
        <v/>
      </c>
      <c r="AS461">
        <f>HYPERLINK("https://creighton-primo.hosted.exlibrisgroup.com/primo-explore/search?tab=default_tab&amp;search_scope=EVERYTHING&amp;vid=01CRU&amp;lang=en_US&amp;offset=0&amp;query=any,contains,991004699969702656","Catalog Record")</f>
        <v/>
      </c>
      <c r="AT461">
        <f>HYPERLINK("http://www.worldcat.org/oclc/54780037","WorldCat Record")</f>
        <v/>
      </c>
      <c r="AU461" t="inlineStr">
        <is>
          <t>1042027:eng</t>
        </is>
      </c>
      <c r="AV461" t="inlineStr">
        <is>
          <t>54780037</t>
        </is>
      </c>
      <c r="AW461" t="inlineStr">
        <is>
          <t>991004699969702656</t>
        </is>
      </c>
      <c r="AX461" t="inlineStr">
        <is>
          <t>991004699969702656</t>
        </is>
      </c>
      <c r="AY461" t="inlineStr">
        <is>
          <t>2269054410002656</t>
        </is>
      </c>
      <c r="AZ461" t="inlineStr">
        <is>
          <t>BOOK</t>
        </is>
      </c>
      <c r="BB461" t="inlineStr">
        <is>
          <t>9781400053667</t>
        </is>
      </c>
      <c r="BC461" t="inlineStr">
        <is>
          <t>32285005150478</t>
        </is>
      </c>
      <c r="BD461" t="inlineStr">
        <is>
          <t>893807369</t>
        </is>
      </c>
    </row>
    <row r="462">
      <c r="A462" t="inlineStr">
        <is>
          <t>No</t>
        </is>
      </c>
      <c r="B462" t="inlineStr">
        <is>
          <t>DC420 .C66 1983</t>
        </is>
      </c>
      <c r="C462" t="inlineStr">
        <is>
          <t>0                      DC 0420000C  66          1983</t>
        </is>
      </c>
      <c r="D462" t="inlineStr">
        <is>
          <t>Charles De Gaulle : a biography / Don Cook.</t>
        </is>
      </c>
      <c r="F462" t="inlineStr">
        <is>
          <t>No</t>
        </is>
      </c>
      <c r="G462" t="inlineStr">
        <is>
          <t>1</t>
        </is>
      </c>
      <c r="H462" t="inlineStr">
        <is>
          <t>No</t>
        </is>
      </c>
      <c r="I462" t="inlineStr">
        <is>
          <t>No</t>
        </is>
      </c>
      <c r="J462" t="inlineStr">
        <is>
          <t>0</t>
        </is>
      </c>
      <c r="K462" t="inlineStr">
        <is>
          <t>Cook, Don, 1920-1995.</t>
        </is>
      </c>
      <c r="L462" t="inlineStr">
        <is>
          <t>New York : G.P. Putnam's, c1983.</t>
        </is>
      </c>
      <c r="M462" t="inlineStr">
        <is>
          <t>1983</t>
        </is>
      </c>
      <c r="O462" t="inlineStr">
        <is>
          <t>eng</t>
        </is>
      </c>
      <c r="P462" t="inlineStr">
        <is>
          <t>nyu</t>
        </is>
      </c>
      <c r="R462" t="inlineStr">
        <is>
          <t xml:space="preserve">DC </t>
        </is>
      </c>
      <c r="S462" t="n">
        <v>2</v>
      </c>
      <c r="T462" t="n">
        <v>2</v>
      </c>
      <c r="U462" t="inlineStr">
        <is>
          <t>1992-06-13</t>
        </is>
      </c>
      <c r="V462" t="inlineStr">
        <is>
          <t>1992-06-13</t>
        </is>
      </c>
      <c r="W462" t="inlineStr">
        <is>
          <t>1990-06-20</t>
        </is>
      </c>
      <c r="X462" t="inlineStr">
        <is>
          <t>1990-06-20</t>
        </is>
      </c>
      <c r="Y462" t="n">
        <v>1022</v>
      </c>
      <c r="Z462" t="n">
        <v>916</v>
      </c>
      <c r="AA462" t="n">
        <v>983</v>
      </c>
      <c r="AB462" t="n">
        <v>5</v>
      </c>
      <c r="AC462" t="n">
        <v>5</v>
      </c>
      <c r="AD462" t="n">
        <v>28</v>
      </c>
      <c r="AE462" t="n">
        <v>31</v>
      </c>
      <c r="AF462" t="n">
        <v>11</v>
      </c>
      <c r="AG462" t="n">
        <v>11</v>
      </c>
      <c r="AH462" t="n">
        <v>7</v>
      </c>
      <c r="AI462" t="n">
        <v>8</v>
      </c>
      <c r="AJ462" t="n">
        <v>14</v>
      </c>
      <c r="AK462" t="n">
        <v>17</v>
      </c>
      <c r="AL462" t="n">
        <v>3</v>
      </c>
      <c r="AM462" t="n">
        <v>3</v>
      </c>
      <c r="AN462" t="n">
        <v>0</v>
      </c>
      <c r="AO462" t="n">
        <v>0</v>
      </c>
      <c r="AP462" t="inlineStr">
        <is>
          <t>No</t>
        </is>
      </c>
      <c r="AQ462" t="inlineStr">
        <is>
          <t>Yes</t>
        </is>
      </c>
      <c r="AR462">
        <f>HYPERLINK("http://catalog.hathitrust.org/Record/000200970","HathiTrust Record")</f>
        <v/>
      </c>
      <c r="AS462">
        <f>HYPERLINK("https://creighton-primo.hosted.exlibrisgroup.com/primo-explore/search?tab=default_tab&amp;search_scope=EVERYTHING&amp;vid=01CRU&amp;lang=en_US&amp;offset=0&amp;query=any,contains,991000192189702656","Catalog Record")</f>
        <v/>
      </c>
      <c r="AT462">
        <f>HYPERLINK("http://www.worldcat.org/oclc/9413323","WorldCat Record")</f>
        <v/>
      </c>
      <c r="AU462" t="inlineStr">
        <is>
          <t>3943313083:eng</t>
        </is>
      </c>
      <c r="AV462" t="inlineStr">
        <is>
          <t>9413323</t>
        </is>
      </c>
      <c r="AW462" t="inlineStr">
        <is>
          <t>991000192189702656</t>
        </is>
      </c>
      <c r="AX462" t="inlineStr">
        <is>
          <t>991000192189702656</t>
        </is>
      </c>
      <c r="AY462" t="inlineStr">
        <is>
          <t>2263970370002656</t>
        </is>
      </c>
      <c r="AZ462" t="inlineStr">
        <is>
          <t>BOOK</t>
        </is>
      </c>
      <c r="BB462" t="inlineStr">
        <is>
          <t>9780399128585</t>
        </is>
      </c>
      <c r="BC462" t="inlineStr">
        <is>
          <t>32285000199868</t>
        </is>
      </c>
      <c r="BD462" t="inlineStr">
        <is>
          <t>893314763</t>
        </is>
      </c>
    </row>
    <row r="463">
      <c r="A463" t="inlineStr">
        <is>
          <t>No</t>
        </is>
      </c>
      <c r="B463" t="inlineStr">
        <is>
          <t>DC420 .M325 1996</t>
        </is>
      </c>
      <c r="C463" t="inlineStr">
        <is>
          <t>0                      DC 0420000M  325         1996</t>
        </is>
      </c>
      <c r="D463" t="inlineStr">
        <is>
          <t>De Gaulle : statesmanship, grandeur, and modern democracy / Daniel J. Mahoney ; foreword by Pierre Manent.</t>
        </is>
      </c>
      <c r="F463" t="inlineStr">
        <is>
          <t>No</t>
        </is>
      </c>
      <c r="G463" t="inlineStr">
        <is>
          <t>1</t>
        </is>
      </c>
      <c r="H463" t="inlineStr">
        <is>
          <t>No</t>
        </is>
      </c>
      <c r="I463" t="inlineStr">
        <is>
          <t>No</t>
        </is>
      </c>
      <c r="J463" t="inlineStr">
        <is>
          <t>0</t>
        </is>
      </c>
      <c r="K463" t="inlineStr">
        <is>
          <t>Mahoney, Daniel J.</t>
        </is>
      </c>
      <c r="L463" t="inlineStr">
        <is>
          <t>Westport, Conn. : Praeger, 1996.</t>
        </is>
      </c>
      <c r="M463" t="inlineStr">
        <is>
          <t>1996</t>
        </is>
      </c>
      <c r="O463" t="inlineStr">
        <is>
          <t>eng</t>
        </is>
      </c>
      <c r="P463" t="inlineStr">
        <is>
          <t>ctu</t>
        </is>
      </c>
      <c r="R463" t="inlineStr">
        <is>
          <t xml:space="preserve">DC </t>
        </is>
      </c>
      <c r="S463" t="n">
        <v>3</v>
      </c>
      <c r="T463" t="n">
        <v>3</v>
      </c>
      <c r="U463" t="inlineStr">
        <is>
          <t>1998-05-19</t>
        </is>
      </c>
      <c r="V463" t="inlineStr">
        <is>
          <t>1998-05-19</t>
        </is>
      </c>
      <c r="W463" t="inlineStr">
        <is>
          <t>1997-03-05</t>
        </is>
      </c>
      <c r="X463" t="inlineStr">
        <is>
          <t>1997-03-05</t>
        </is>
      </c>
      <c r="Y463" t="n">
        <v>355</v>
      </c>
      <c r="Z463" t="n">
        <v>283</v>
      </c>
      <c r="AA463" t="n">
        <v>836</v>
      </c>
      <c r="AB463" t="n">
        <v>4</v>
      </c>
      <c r="AC463" t="n">
        <v>4</v>
      </c>
      <c r="AD463" t="n">
        <v>19</v>
      </c>
      <c r="AE463" t="n">
        <v>23</v>
      </c>
      <c r="AF463" t="n">
        <v>4</v>
      </c>
      <c r="AG463" t="n">
        <v>7</v>
      </c>
      <c r="AH463" t="n">
        <v>4</v>
      </c>
      <c r="AI463" t="n">
        <v>6</v>
      </c>
      <c r="AJ463" t="n">
        <v>13</v>
      </c>
      <c r="AK463" t="n">
        <v>14</v>
      </c>
      <c r="AL463" t="n">
        <v>3</v>
      </c>
      <c r="AM463" t="n">
        <v>3</v>
      </c>
      <c r="AN463" t="n">
        <v>0</v>
      </c>
      <c r="AO463" t="n">
        <v>0</v>
      </c>
      <c r="AP463" t="inlineStr">
        <is>
          <t>No</t>
        </is>
      </c>
      <c r="AQ463" t="inlineStr">
        <is>
          <t>Yes</t>
        </is>
      </c>
      <c r="AR463">
        <f>HYPERLINK("http://catalog.hathitrust.org/Record/003067339","HathiTrust Record")</f>
        <v/>
      </c>
      <c r="AS463">
        <f>HYPERLINK("https://creighton-primo.hosted.exlibrisgroup.com/primo-explore/search?tab=default_tab&amp;search_scope=EVERYTHING&amp;vid=01CRU&amp;lang=en_US&amp;offset=0&amp;query=any,contains,991002580549702656","Catalog Record")</f>
        <v/>
      </c>
      <c r="AT463">
        <f>HYPERLINK("http://www.worldcat.org/oclc/33818978","WorldCat Record")</f>
        <v/>
      </c>
      <c r="AU463" t="inlineStr">
        <is>
          <t>350466448:eng</t>
        </is>
      </c>
      <c r="AV463" t="inlineStr">
        <is>
          <t>33818978</t>
        </is>
      </c>
      <c r="AW463" t="inlineStr">
        <is>
          <t>991002580549702656</t>
        </is>
      </c>
      <c r="AX463" t="inlineStr">
        <is>
          <t>991002580549702656</t>
        </is>
      </c>
      <c r="AY463" t="inlineStr">
        <is>
          <t>2272642830002656</t>
        </is>
      </c>
      <c r="AZ463" t="inlineStr">
        <is>
          <t>BOOK</t>
        </is>
      </c>
      <c r="BB463" t="inlineStr">
        <is>
          <t>9780275949228</t>
        </is>
      </c>
      <c r="BC463" t="inlineStr">
        <is>
          <t>32285002434990</t>
        </is>
      </c>
      <c r="BD463" t="inlineStr">
        <is>
          <t>893239241</t>
        </is>
      </c>
    </row>
    <row r="464">
      <c r="A464" t="inlineStr">
        <is>
          <t>No</t>
        </is>
      </c>
      <c r="B464" t="inlineStr">
        <is>
          <t>DC420 .S48 1993</t>
        </is>
      </c>
      <c r="C464" t="inlineStr">
        <is>
          <t>0                      DC 0420000S  48          1993</t>
        </is>
      </c>
      <c r="D464" t="inlineStr">
        <is>
          <t>De Gaulle / Andrew Shennan.</t>
        </is>
      </c>
      <c r="F464" t="inlineStr">
        <is>
          <t>No</t>
        </is>
      </c>
      <c r="G464" t="inlineStr">
        <is>
          <t>1</t>
        </is>
      </c>
      <c r="H464" t="inlineStr">
        <is>
          <t>No</t>
        </is>
      </c>
      <c r="I464" t="inlineStr">
        <is>
          <t>No</t>
        </is>
      </c>
      <c r="J464" t="inlineStr">
        <is>
          <t>0</t>
        </is>
      </c>
      <c r="K464" t="inlineStr">
        <is>
          <t>Shennan, Andrew.</t>
        </is>
      </c>
      <c r="L464" t="inlineStr">
        <is>
          <t>London ; New York : Longman, 1993.</t>
        </is>
      </c>
      <c r="M464" t="inlineStr">
        <is>
          <t>1993</t>
        </is>
      </c>
      <c r="O464" t="inlineStr">
        <is>
          <t>eng</t>
        </is>
      </c>
      <c r="P464" t="inlineStr">
        <is>
          <t>enk</t>
        </is>
      </c>
      <c r="Q464" t="inlineStr">
        <is>
          <t>Profiles in power</t>
        </is>
      </c>
      <c r="R464" t="inlineStr">
        <is>
          <t xml:space="preserve">DC </t>
        </is>
      </c>
      <c r="S464" t="n">
        <v>1</v>
      </c>
      <c r="T464" t="n">
        <v>1</v>
      </c>
      <c r="U464" t="inlineStr">
        <is>
          <t>1999-04-09</t>
        </is>
      </c>
      <c r="V464" t="inlineStr">
        <is>
          <t>1999-04-09</t>
        </is>
      </c>
      <c r="W464" t="inlineStr">
        <is>
          <t>1994-10-31</t>
        </is>
      </c>
      <c r="X464" t="inlineStr">
        <is>
          <t>1994-10-31</t>
        </is>
      </c>
      <c r="Y464" t="n">
        <v>392</v>
      </c>
      <c r="Z464" t="n">
        <v>225</v>
      </c>
      <c r="AA464" t="n">
        <v>231</v>
      </c>
      <c r="AB464" t="n">
        <v>1</v>
      </c>
      <c r="AC464" t="n">
        <v>1</v>
      </c>
      <c r="AD464" t="n">
        <v>13</v>
      </c>
      <c r="AE464" t="n">
        <v>13</v>
      </c>
      <c r="AF464" t="n">
        <v>6</v>
      </c>
      <c r="AG464" t="n">
        <v>6</v>
      </c>
      <c r="AH464" t="n">
        <v>3</v>
      </c>
      <c r="AI464" t="n">
        <v>3</v>
      </c>
      <c r="AJ464" t="n">
        <v>10</v>
      </c>
      <c r="AK464" t="n">
        <v>10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HYPERLINK("https://creighton-primo.hosted.exlibrisgroup.com/primo-explore/search?tab=default_tab&amp;search_scope=EVERYTHING&amp;vid=01CRU&amp;lang=en_US&amp;offset=0&amp;query=any,contains,991002119899702656","Catalog Record")</f>
        <v/>
      </c>
      <c r="AT464">
        <f>HYPERLINK("http://www.worldcat.org/oclc/27172335","WorldCat Record")</f>
        <v/>
      </c>
      <c r="AU464" t="inlineStr">
        <is>
          <t>9593420245:eng</t>
        </is>
      </c>
      <c r="AV464" t="inlineStr">
        <is>
          <t>27172335</t>
        </is>
      </c>
      <c r="AW464" t="inlineStr">
        <is>
          <t>991002119899702656</t>
        </is>
      </c>
      <c r="AX464" t="inlineStr">
        <is>
          <t>991002119899702656</t>
        </is>
      </c>
      <c r="AY464" t="inlineStr">
        <is>
          <t>2271384830002656</t>
        </is>
      </c>
      <c r="AZ464" t="inlineStr">
        <is>
          <t>BOOK</t>
        </is>
      </c>
      <c r="BB464" t="inlineStr">
        <is>
          <t>9780582009677</t>
        </is>
      </c>
      <c r="BC464" t="inlineStr">
        <is>
          <t>32285001955680</t>
        </is>
      </c>
      <c r="BD464" t="inlineStr">
        <is>
          <t>893779449</t>
        </is>
      </c>
    </row>
    <row r="465">
      <c r="A465" t="inlineStr">
        <is>
          <t>No</t>
        </is>
      </c>
      <c r="B465" t="inlineStr">
        <is>
          <t>DC422 .F7 1981</t>
        </is>
      </c>
      <c r="C465" t="inlineStr">
        <is>
          <t>0                      DC 0422000F  7           1981</t>
        </is>
      </c>
      <c r="D465" t="inlineStr">
        <is>
          <t>France in the Giscard presidency / J. R. Frears.</t>
        </is>
      </c>
      <c r="F465" t="inlineStr">
        <is>
          <t>No</t>
        </is>
      </c>
      <c r="G465" t="inlineStr">
        <is>
          <t>1</t>
        </is>
      </c>
      <c r="H465" t="inlineStr">
        <is>
          <t>No</t>
        </is>
      </c>
      <c r="I465" t="inlineStr">
        <is>
          <t>No</t>
        </is>
      </c>
      <c r="J465" t="inlineStr">
        <is>
          <t>0</t>
        </is>
      </c>
      <c r="K465" t="inlineStr">
        <is>
          <t>Frears, J. R., 1936-</t>
        </is>
      </c>
      <c r="L465" t="inlineStr">
        <is>
          <t>London ; Boston : G. Allen &amp; Unwin, 1981.</t>
        </is>
      </c>
      <c r="M465" t="inlineStr">
        <is>
          <t>1981</t>
        </is>
      </c>
      <c r="O465" t="inlineStr">
        <is>
          <t>eng</t>
        </is>
      </c>
      <c r="P465" t="inlineStr">
        <is>
          <t>enk</t>
        </is>
      </c>
      <c r="R465" t="inlineStr">
        <is>
          <t xml:space="preserve">DC </t>
        </is>
      </c>
      <c r="S465" t="n">
        <v>3</v>
      </c>
      <c r="T465" t="n">
        <v>3</v>
      </c>
      <c r="U465" t="inlineStr">
        <is>
          <t>1993-03-31</t>
        </is>
      </c>
      <c r="V465" t="inlineStr">
        <is>
          <t>1993-03-31</t>
        </is>
      </c>
      <c r="W465" t="inlineStr">
        <is>
          <t>1991-01-16</t>
        </is>
      </c>
      <c r="X465" t="inlineStr">
        <is>
          <t>1991-01-16</t>
        </is>
      </c>
      <c r="Y465" t="n">
        <v>530</v>
      </c>
      <c r="Z465" t="n">
        <v>383</v>
      </c>
      <c r="AA465" t="n">
        <v>403</v>
      </c>
      <c r="AB465" t="n">
        <v>3</v>
      </c>
      <c r="AC465" t="n">
        <v>3</v>
      </c>
      <c r="AD465" t="n">
        <v>16</v>
      </c>
      <c r="AE465" t="n">
        <v>18</v>
      </c>
      <c r="AF465" t="n">
        <v>5</v>
      </c>
      <c r="AG465" t="n">
        <v>6</v>
      </c>
      <c r="AH465" t="n">
        <v>3</v>
      </c>
      <c r="AI465" t="n">
        <v>4</v>
      </c>
      <c r="AJ465" t="n">
        <v>10</v>
      </c>
      <c r="AK465" t="n">
        <v>12</v>
      </c>
      <c r="AL465" t="n">
        <v>2</v>
      </c>
      <c r="AM465" t="n">
        <v>2</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HYPERLINK("https://creighton-primo.hosted.exlibrisgroup.com/primo-explore/search?tab=default_tab&amp;search_scope=EVERYTHING&amp;vid=01CRU&amp;lang=en_US&amp;offset=0&amp;query=any,contains,991005143359702656","Catalog Record")</f>
        <v/>
      </c>
      <c r="AT465">
        <f>HYPERLINK("http://www.worldcat.org/oclc/11234632","WorldCat Record")</f>
        <v/>
      </c>
      <c r="AU465" t="inlineStr">
        <is>
          <t>4094460:eng</t>
        </is>
      </c>
      <c r="AV465" t="inlineStr">
        <is>
          <t>11234632</t>
        </is>
      </c>
      <c r="AW465" t="inlineStr">
        <is>
          <t>991005143359702656</t>
        </is>
      </c>
      <c r="AX465" t="inlineStr">
        <is>
          <t>991005143359702656</t>
        </is>
      </c>
      <c r="AY465" t="inlineStr">
        <is>
          <t>2262446190002656</t>
        </is>
      </c>
      <c r="AZ465" t="inlineStr">
        <is>
          <t>BOOK</t>
        </is>
      </c>
      <c r="BB465" t="inlineStr">
        <is>
          <t>9780043540251</t>
        </is>
      </c>
      <c r="BC465" t="inlineStr">
        <is>
          <t>32285000455252</t>
        </is>
      </c>
      <c r="BD465" t="inlineStr">
        <is>
          <t>893776903</t>
        </is>
      </c>
    </row>
    <row r="466">
      <c r="A466" t="inlineStr">
        <is>
          <t>No</t>
        </is>
      </c>
      <c r="B466" t="inlineStr">
        <is>
          <t>DC423 .B4 1995</t>
        </is>
      </c>
      <c r="C466" t="inlineStr">
        <is>
          <t>0                      DC 0423000B  4           1995</t>
        </is>
      </c>
      <c r="D466" t="inlineStr">
        <is>
          <t>François Mitterrand : the making of a Socialist prince in Republican France / Sally Baumann-Reynolds.</t>
        </is>
      </c>
      <c r="F466" t="inlineStr">
        <is>
          <t>No</t>
        </is>
      </c>
      <c r="G466" t="inlineStr">
        <is>
          <t>1</t>
        </is>
      </c>
      <c r="H466" t="inlineStr">
        <is>
          <t>No</t>
        </is>
      </c>
      <c r="I466" t="inlineStr">
        <is>
          <t>No</t>
        </is>
      </c>
      <c r="J466" t="inlineStr">
        <is>
          <t>0</t>
        </is>
      </c>
      <c r="K466" t="inlineStr">
        <is>
          <t>Baumann-Reynolds, Sally.</t>
        </is>
      </c>
      <c r="L466" t="inlineStr">
        <is>
          <t>Westport, Conn. : Praeger, 1995.</t>
        </is>
      </c>
      <c r="M466" t="inlineStr">
        <is>
          <t>1995</t>
        </is>
      </c>
      <c r="O466" t="inlineStr">
        <is>
          <t>eng</t>
        </is>
      </c>
      <c r="P466" t="inlineStr">
        <is>
          <t>ctu</t>
        </is>
      </c>
      <c r="R466" t="inlineStr">
        <is>
          <t xml:space="preserve">DC </t>
        </is>
      </c>
      <c r="S466" t="n">
        <v>4</v>
      </c>
      <c r="T466" t="n">
        <v>4</v>
      </c>
      <c r="U466" t="inlineStr">
        <is>
          <t>1999-04-09</t>
        </is>
      </c>
      <c r="V466" t="inlineStr">
        <is>
          <t>1999-04-09</t>
        </is>
      </c>
      <c r="W466" t="inlineStr">
        <is>
          <t>1996-04-02</t>
        </is>
      </c>
      <c r="X466" t="inlineStr">
        <is>
          <t>1996-04-02</t>
        </is>
      </c>
      <c r="Y466" t="n">
        <v>346</v>
      </c>
      <c r="Z466" t="n">
        <v>271</v>
      </c>
      <c r="AA466" t="n">
        <v>289</v>
      </c>
      <c r="AB466" t="n">
        <v>3</v>
      </c>
      <c r="AC466" t="n">
        <v>3</v>
      </c>
      <c r="AD466" t="n">
        <v>13</v>
      </c>
      <c r="AE466" t="n">
        <v>13</v>
      </c>
      <c r="AF466" t="n">
        <v>3</v>
      </c>
      <c r="AG466" t="n">
        <v>3</v>
      </c>
      <c r="AH466" t="n">
        <v>3</v>
      </c>
      <c r="AI466" t="n">
        <v>3</v>
      </c>
      <c r="AJ466" t="n">
        <v>10</v>
      </c>
      <c r="AK466" t="n">
        <v>10</v>
      </c>
      <c r="AL466" t="n">
        <v>2</v>
      </c>
      <c r="AM466" t="n">
        <v>2</v>
      </c>
      <c r="AN466" t="n">
        <v>0</v>
      </c>
      <c r="AO466" t="n">
        <v>0</v>
      </c>
      <c r="AP466" t="inlineStr">
        <is>
          <t>No</t>
        </is>
      </c>
      <c r="AQ466" t="inlineStr">
        <is>
          <t>Yes</t>
        </is>
      </c>
      <c r="AR466">
        <f>HYPERLINK("http://catalog.hathitrust.org/Record/002989106","HathiTrust Record")</f>
        <v/>
      </c>
      <c r="AS466">
        <f>HYPERLINK("https://creighton-primo.hosted.exlibrisgroup.com/primo-explore/search?tab=default_tab&amp;search_scope=EVERYTHING&amp;vid=01CRU&amp;lang=en_US&amp;offset=0&amp;query=any,contains,991002411209702656","Catalog Record")</f>
        <v/>
      </c>
      <c r="AT466">
        <f>HYPERLINK("http://www.worldcat.org/oclc/31376654","WorldCat Record")</f>
        <v/>
      </c>
      <c r="AU466" t="inlineStr">
        <is>
          <t>2573763:eng</t>
        </is>
      </c>
      <c r="AV466" t="inlineStr">
        <is>
          <t>31376654</t>
        </is>
      </c>
      <c r="AW466" t="inlineStr">
        <is>
          <t>991002411209702656</t>
        </is>
      </c>
      <c r="AX466" t="inlineStr">
        <is>
          <t>991002411209702656</t>
        </is>
      </c>
      <c r="AY466" t="inlineStr">
        <is>
          <t>2255121360002656</t>
        </is>
      </c>
      <c r="AZ466" t="inlineStr">
        <is>
          <t>BOOK</t>
        </is>
      </c>
      <c r="BB466" t="inlineStr">
        <is>
          <t>9780275948870</t>
        </is>
      </c>
      <c r="BC466" t="inlineStr">
        <is>
          <t>32285002149267</t>
        </is>
      </c>
      <c r="BD466" t="inlineStr">
        <is>
          <t>893329040</t>
        </is>
      </c>
    </row>
    <row r="467">
      <c r="A467" t="inlineStr">
        <is>
          <t>No</t>
        </is>
      </c>
      <c r="B467" t="inlineStr">
        <is>
          <t>DC423 .F75 1989</t>
        </is>
      </c>
      <c r="C467" t="inlineStr">
        <is>
          <t>0                      DC 0423000F  75          1989</t>
        </is>
      </c>
      <c r="D467" t="inlineStr">
        <is>
          <t>Seven years in France : Franc̜ois Mitterrand and the unintended revolution, 1981-1988 / Julius W. Friend.</t>
        </is>
      </c>
      <c r="F467" t="inlineStr">
        <is>
          <t>No</t>
        </is>
      </c>
      <c r="G467" t="inlineStr">
        <is>
          <t>1</t>
        </is>
      </c>
      <c r="H467" t="inlineStr">
        <is>
          <t>No</t>
        </is>
      </c>
      <c r="I467" t="inlineStr">
        <is>
          <t>No</t>
        </is>
      </c>
      <c r="J467" t="inlineStr">
        <is>
          <t>0</t>
        </is>
      </c>
      <c r="K467" t="inlineStr">
        <is>
          <t>Friend, Julius Weis.</t>
        </is>
      </c>
      <c r="L467" t="inlineStr">
        <is>
          <t>Boulder : Westview Press, 1989.</t>
        </is>
      </c>
      <c r="M467" t="inlineStr">
        <is>
          <t>1989</t>
        </is>
      </c>
      <c r="O467" t="inlineStr">
        <is>
          <t>eng</t>
        </is>
      </c>
      <c r="P467" t="inlineStr">
        <is>
          <t>cou</t>
        </is>
      </c>
      <c r="R467" t="inlineStr">
        <is>
          <t xml:space="preserve">DC </t>
        </is>
      </c>
      <c r="S467" t="n">
        <v>12</v>
      </c>
      <c r="T467" t="n">
        <v>12</v>
      </c>
      <c r="U467" t="inlineStr">
        <is>
          <t>2001-10-08</t>
        </is>
      </c>
      <c r="V467" t="inlineStr">
        <is>
          <t>2001-10-08</t>
        </is>
      </c>
      <c r="W467" t="inlineStr">
        <is>
          <t>1991-01-16</t>
        </is>
      </c>
      <c r="X467" t="inlineStr">
        <is>
          <t>1991-01-16</t>
        </is>
      </c>
      <c r="Y467" t="n">
        <v>447</v>
      </c>
      <c r="Z467" t="n">
        <v>356</v>
      </c>
      <c r="AA467" t="n">
        <v>375</v>
      </c>
      <c r="AB467" t="n">
        <v>3</v>
      </c>
      <c r="AC467" t="n">
        <v>3</v>
      </c>
      <c r="AD467" t="n">
        <v>19</v>
      </c>
      <c r="AE467" t="n">
        <v>19</v>
      </c>
      <c r="AF467" t="n">
        <v>4</v>
      </c>
      <c r="AG467" t="n">
        <v>4</v>
      </c>
      <c r="AH467" t="n">
        <v>8</v>
      </c>
      <c r="AI467" t="n">
        <v>8</v>
      </c>
      <c r="AJ467" t="n">
        <v>10</v>
      </c>
      <c r="AK467" t="n">
        <v>10</v>
      </c>
      <c r="AL467" t="n">
        <v>2</v>
      </c>
      <c r="AM467" t="n">
        <v>2</v>
      </c>
      <c r="AN467" t="n">
        <v>0</v>
      </c>
      <c r="AO467" t="n">
        <v>0</v>
      </c>
      <c r="AP467" t="inlineStr">
        <is>
          <t>No</t>
        </is>
      </c>
      <c r="AQ467" t="inlineStr">
        <is>
          <t>Yes</t>
        </is>
      </c>
      <c r="AR467">
        <f>HYPERLINK("http://catalog.hathitrust.org/Record/001535091","HathiTrust Record")</f>
        <v/>
      </c>
      <c r="AS467">
        <f>HYPERLINK("https://creighton-primo.hosted.exlibrisgroup.com/primo-explore/search?tab=default_tab&amp;search_scope=EVERYTHING&amp;vid=01CRU&amp;lang=en_US&amp;offset=0&amp;query=any,contains,991005409059702656","Catalog Record")</f>
        <v/>
      </c>
      <c r="AT467">
        <f>HYPERLINK("http://www.worldcat.org/oclc/17622086","WorldCat Record")</f>
        <v/>
      </c>
      <c r="AU467" t="inlineStr">
        <is>
          <t>346684889:eng</t>
        </is>
      </c>
      <c r="AV467" t="inlineStr">
        <is>
          <t>17622086</t>
        </is>
      </c>
      <c r="AW467" t="inlineStr">
        <is>
          <t>991005409059702656</t>
        </is>
      </c>
      <c r="AX467" t="inlineStr">
        <is>
          <t>991005409059702656</t>
        </is>
      </c>
      <c r="AY467" t="inlineStr">
        <is>
          <t>2262065230002656</t>
        </is>
      </c>
      <c r="AZ467" t="inlineStr">
        <is>
          <t>BOOK</t>
        </is>
      </c>
      <c r="BB467" t="inlineStr">
        <is>
          <t>9780813306100</t>
        </is>
      </c>
      <c r="BC467" t="inlineStr">
        <is>
          <t>32285000455260</t>
        </is>
      </c>
      <c r="BD467" t="inlineStr">
        <is>
          <t>893811084</t>
        </is>
      </c>
    </row>
    <row r="468">
      <c r="A468" t="inlineStr">
        <is>
          <t>No</t>
        </is>
      </c>
      <c r="B468" t="inlineStr">
        <is>
          <t>DC423 .M553 1996</t>
        </is>
      </c>
      <c r="C468" t="inlineStr">
        <is>
          <t>0                      DC 0423000M  553         1996</t>
        </is>
      </c>
      <c r="D468" t="inlineStr">
        <is>
          <t>De l'Allemagne, de la France / François Mitterrand.</t>
        </is>
      </c>
      <c r="F468" t="inlineStr">
        <is>
          <t>No</t>
        </is>
      </c>
      <c r="G468" t="inlineStr">
        <is>
          <t>1</t>
        </is>
      </c>
      <c r="H468" t="inlineStr">
        <is>
          <t>No</t>
        </is>
      </c>
      <c r="I468" t="inlineStr">
        <is>
          <t>No</t>
        </is>
      </c>
      <c r="J468" t="inlineStr">
        <is>
          <t>0</t>
        </is>
      </c>
      <c r="K468" t="inlineStr">
        <is>
          <t>Mitterrand, François, 1916-1996.</t>
        </is>
      </c>
      <c r="L468" t="inlineStr">
        <is>
          <t>Paris : Editions O. Jacob, c1996.</t>
        </is>
      </c>
      <c r="M468" t="inlineStr">
        <is>
          <t>1996</t>
        </is>
      </c>
      <c r="O468" t="inlineStr">
        <is>
          <t>fre</t>
        </is>
      </c>
      <c r="P468" t="inlineStr">
        <is>
          <t xml:space="preserve">fr </t>
        </is>
      </c>
      <c r="R468" t="inlineStr">
        <is>
          <t xml:space="preserve">DC </t>
        </is>
      </c>
      <c r="S468" t="n">
        <v>3</v>
      </c>
      <c r="T468" t="n">
        <v>3</v>
      </c>
      <c r="U468" t="inlineStr">
        <is>
          <t>1997-10-15</t>
        </is>
      </c>
      <c r="V468" t="inlineStr">
        <is>
          <t>1997-10-15</t>
        </is>
      </c>
      <c r="W468" t="inlineStr">
        <is>
          <t>1997-08-21</t>
        </is>
      </c>
      <c r="X468" t="inlineStr">
        <is>
          <t>1997-08-21</t>
        </is>
      </c>
      <c r="Y468" t="n">
        <v>162</v>
      </c>
      <c r="Z468" t="n">
        <v>55</v>
      </c>
      <c r="AA468" t="n">
        <v>57</v>
      </c>
      <c r="AB468" t="n">
        <v>1</v>
      </c>
      <c r="AC468" t="n">
        <v>1</v>
      </c>
      <c r="AD468" t="n">
        <v>2</v>
      </c>
      <c r="AE468" t="n">
        <v>2</v>
      </c>
      <c r="AF468" t="n">
        <v>0</v>
      </c>
      <c r="AG468" t="n">
        <v>0</v>
      </c>
      <c r="AH468" t="n">
        <v>1</v>
      </c>
      <c r="AI468" t="n">
        <v>1</v>
      </c>
      <c r="AJ468" t="n">
        <v>2</v>
      </c>
      <c r="AK468" t="n">
        <v>2</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HYPERLINK("https://creighton-primo.hosted.exlibrisgroup.com/primo-explore/search?tab=default_tab&amp;search_scope=EVERYTHING&amp;vid=01CRU&amp;lang=en_US&amp;offset=0&amp;query=any,contains,991002718339702656","Catalog Record")</f>
        <v/>
      </c>
      <c r="AT468">
        <f>HYPERLINK("http://www.worldcat.org/oclc/35647010","WorldCat Record")</f>
        <v/>
      </c>
      <c r="AU468" t="inlineStr">
        <is>
          <t>348856184:fre</t>
        </is>
      </c>
      <c r="AV468" t="inlineStr">
        <is>
          <t>35647010</t>
        </is>
      </c>
      <c r="AW468" t="inlineStr">
        <is>
          <t>991002718339702656</t>
        </is>
      </c>
      <c r="AX468" t="inlineStr">
        <is>
          <t>991002718339702656</t>
        </is>
      </c>
      <c r="AY468" t="inlineStr">
        <is>
          <t>2258687590002656</t>
        </is>
      </c>
      <c r="AZ468" t="inlineStr">
        <is>
          <t>BOOK</t>
        </is>
      </c>
      <c r="BB468" t="inlineStr">
        <is>
          <t>9782738104038</t>
        </is>
      </c>
      <c r="BC468" t="inlineStr">
        <is>
          <t>32285003001426</t>
        </is>
      </c>
      <c r="BD468" t="inlineStr">
        <is>
          <t>893445319</t>
        </is>
      </c>
    </row>
    <row r="469">
      <c r="A469" t="inlineStr">
        <is>
          <t>No</t>
        </is>
      </c>
      <c r="B469" t="inlineStr">
        <is>
          <t>DC423 .M576 1987</t>
        </is>
      </c>
      <c r="C469" t="inlineStr">
        <is>
          <t>0                      DC 0423000M  576         1987</t>
        </is>
      </c>
      <c r="D469" t="inlineStr">
        <is>
          <t>The Mitterrand experiment : continuity and change in modern France / edited by George Ross, Stanley Hoffmann and Sylvia Malzacher.</t>
        </is>
      </c>
      <c r="F469" t="inlineStr">
        <is>
          <t>No</t>
        </is>
      </c>
      <c r="G469" t="inlineStr">
        <is>
          <t>1</t>
        </is>
      </c>
      <c r="H469" t="inlineStr">
        <is>
          <t>No</t>
        </is>
      </c>
      <c r="I469" t="inlineStr">
        <is>
          <t>No</t>
        </is>
      </c>
      <c r="J469" t="inlineStr">
        <is>
          <t>0</t>
        </is>
      </c>
      <c r="L469" t="inlineStr">
        <is>
          <t>New York : Oxford University Press, 1987.</t>
        </is>
      </c>
      <c r="M469" t="inlineStr">
        <is>
          <t>1987</t>
        </is>
      </c>
      <c r="O469" t="inlineStr">
        <is>
          <t>eng</t>
        </is>
      </c>
      <c r="P469" t="inlineStr">
        <is>
          <t>nyu</t>
        </is>
      </c>
      <c r="Q469" t="inlineStr">
        <is>
          <t>Europe and the international order</t>
        </is>
      </c>
      <c r="R469" t="inlineStr">
        <is>
          <t xml:space="preserve">DC </t>
        </is>
      </c>
      <c r="S469" t="n">
        <v>18</v>
      </c>
      <c r="T469" t="n">
        <v>18</v>
      </c>
      <c r="U469" t="inlineStr">
        <is>
          <t>2005-09-13</t>
        </is>
      </c>
      <c r="V469" t="inlineStr">
        <is>
          <t>2005-09-13</t>
        </is>
      </c>
      <c r="W469" t="inlineStr">
        <is>
          <t>1991-01-16</t>
        </is>
      </c>
      <c r="X469" t="inlineStr">
        <is>
          <t>1991-01-16</t>
        </is>
      </c>
      <c r="Y469" t="n">
        <v>384</v>
      </c>
      <c r="Z469" t="n">
        <v>363</v>
      </c>
      <c r="AA469" t="n">
        <v>433</v>
      </c>
      <c r="AB469" t="n">
        <v>1</v>
      </c>
      <c r="AC469" t="n">
        <v>3</v>
      </c>
      <c r="AD469" t="n">
        <v>22</v>
      </c>
      <c r="AE469" t="n">
        <v>25</v>
      </c>
      <c r="AF469" t="n">
        <v>10</v>
      </c>
      <c r="AG469" t="n">
        <v>10</v>
      </c>
      <c r="AH469" t="n">
        <v>5</v>
      </c>
      <c r="AI469" t="n">
        <v>6</v>
      </c>
      <c r="AJ469" t="n">
        <v>14</v>
      </c>
      <c r="AK469" t="n">
        <v>15</v>
      </c>
      <c r="AL469" t="n">
        <v>0</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HYPERLINK("https://creighton-primo.hosted.exlibrisgroup.com/primo-explore/search?tab=default_tab&amp;search_scope=EVERYTHING&amp;vid=01CRU&amp;lang=en_US&amp;offset=0&amp;query=any,contains,991005408529702656","Catalog Record")</f>
        <v/>
      </c>
      <c r="AT469">
        <f>HYPERLINK("http://www.worldcat.org/oclc/16937720","WorldCat Record")</f>
        <v/>
      </c>
      <c r="AU469" t="inlineStr">
        <is>
          <t>4494974966:eng</t>
        </is>
      </c>
      <c r="AV469" t="inlineStr">
        <is>
          <t>16937720</t>
        </is>
      </c>
      <c r="AW469" t="inlineStr">
        <is>
          <t>991005408529702656</t>
        </is>
      </c>
      <c r="AX469" t="inlineStr">
        <is>
          <t>991005408529702656</t>
        </is>
      </c>
      <c r="AY469" t="inlineStr">
        <is>
          <t>2256508280002656</t>
        </is>
      </c>
      <c r="AZ469" t="inlineStr">
        <is>
          <t>BOOK</t>
        </is>
      </c>
      <c r="BB469" t="inlineStr">
        <is>
          <t>9780195206081</t>
        </is>
      </c>
      <c r="BC469" t="inlineStr">
        <is>
          <t>32285000455278</t>
        </is>
      </c>
      <c r="BD469" t="inlineStr">
        <is>
          <t>893607342</t>
        </is>
      </c>
    </row>
    <row r="470">
      <c r="A470" t="inlineStr">
        <is>
          <t>No</t>
        </is>
      </c>
      <c r="B470" t="inlineStr">
        <is>
          <t>DC423 .N3913 1987</t>
        </is>
      </c>
      <c r="C470" t="inlineStr">
        <is>
          <t>0                      DC 0423000N  3913        1987</t>
        </is>
      </c>
      <c r="D470" t="inlineStr">
        <is>
          <t>The black and the red : François Mitterrand, the story of an ambition / by Catherine Nay ; translated from the French by Alan Sheridan.</t>
        </is>
      </c>
      <c r="F470" t="inlineStr">
        <is>
          <t>No</t>
        </is>
      </c>
      <c r="G470" t="inlineStr">
        <is>
          <t>1</t>
        </is>
      </c>
      <c r="H470" t="inlineStr">
        <is>
          <t>No</t>
        </is>
      </c>
      <c r="I470" t="inlineStr">
        <is>
          <t>No</t>
        </is>
      </c>
      <c r="J470" t="inlineStr">
        <is>
          <t>0</t>
        </is>
      </c>
      <c r="K470" t="inlineStr">
        <is>
          <t>Nay, Catherine.</t>
        </is>
      </c>
      <c r="L470" t="inlineStr">
        <is>
          <t>San Diego : Harcourt Brace Jovanovich, c1987.</t>
        </is>
      </c>
      <c r="M470" t="inlineStr">
        <is>
          <t>1987</t>
        </is>
      </c>
      <c r="N470" t="inlineStr">
        <is>
          <t>1st ed.</t>
        </is>
      </c>
      <c r="O470" t="inlineStr">
        <is>
          <t>eng</t>
        </is>
      </c>
      <c r="P470" t="inlineStr">
        <is>
          <t>cau</t>
        </is>
      </c>
      <c r="R470" t="inlineStr">
        <is>
          <t xml:space="preserve">DC </t>
        </is>
      </c>
      <c r="S470" t="n">
        <v>3</v>
      </c>
      <c r="T470" t="n">
        <v>3</v>
      </c>
      <c r="U470" t="inlineStr">
        <is>
          <t>1993-04-16</t>
        </is>
      </c>
      <c r="V470" t="inlineStr">
        <is>
          <t>1993-04-16</t>
        </is>
      </c>
      <c r="W470" t="inlineStr">
        <is>
          <t>1991-01-16</t>
        </is>
      </c>
      <c r="X470" t="inlineStr">
        <is>
          <t>1991-01-16</t>
        </is>
      </c>
      <c r="Y470" t="n">
        <v>500</v>
      </c>
      <c r="Z470" t="n">
        <v>441</v>
      </c>
      <c r="AA470" t="n">
        <v>449</v>
      </c>
      <c r="AB470" t="n">
        <v>2</v>
      </c>
      <c r="AC470" t="n">
        <v>2</v>
      </c>
      <c r="AD470" t="n">
        <v>14</v>
      </c>
      <c r="AE470" t="n">
        <v>14</v>
      </c>
      <c r="AF470" t="n">
        <v>4</v>
      </c>
      <c r="AG470" t="n">
        <v>4</v>
      </c>
      <c r="AH470" t="n">
        <v>5</v>
      </c>
      <c r="AI470" t="n">
        <v>5</v>
      </c>
      <c r="AJ470" t="n">
        <v>11</v>
      </c>
      <c r="AK470" t="n">
        <v>11</v>
      </c>
      <c r="AL470" t="n">
        <v>0</v>
      </c>
      <c r="AM470" t="n">
        <v>0</v>
      </c>
      <c r="AN470" t="n">
        <v>0</v>
      </c>
      <c r="AO470" t="n">
        <v>0</v>
      </c>
      <c r="AP470" t="inlineStr">
        <is>
          <t>No</t>
        </is>
      </c>
      <c r="AQ470" t="inlineStr">
        <is>
          <t>Yes</t>
        </is>
      </c>
      <c r="AR470">
        <f>HYPERLINK("http://catalog.hathitrust.org/Record/000824926","HathiTrust Record")</f>
        <v/>
      </c>
      <c r="AS470">
        <f>HYPERLINK("https://creighton-primo.hosted.exlibrisgroup.com/primo-explore/search?tab=default_tab&amp;search_scope=EVERYTHING&amp;vid=01CRU&amp;lang=en_US&amp;offset=0&amp;query=any,contains,991000902119702656","Catalog Record")</f>
        <v/>
      </c>
      <c r="AT470">
        <f>HYPERLINK("http://www.worldcat.org/oclc/14068253","WorldCat Record")</f>
        <v/>
      </c>
      <c r="AU470" t="inlineStr">
        <is>
          <t>3901085743:eng</t>
        </is>
      </c>
      <c r="AV470" t="inlineStr">
        <is>
          <t>14068253</t>
        </is>
      </c>
      <c r="AW470" t="inlineStr">
        <is>
          <t>991000902119702656</t>
        </is>
      </c>
      <c r="AX470" t="inlineStr">
        <is>
          <t>991000902119702656</t>
        </is>
      </c>
      <c r="AY470" t="inlineStr">
        <is>
          <t>2256984530002656</t>
        </is>
      </c>
      <c r="AZ470" t="inlineStr">
        <is>
          <t>BOOK</t>
        </is>
      </c>
      <c r="BB470" t="inlineStr">
        <is>
          <t>9780151128853</t>
        </is>
      </c>
      <c r="BC470" t="inlineStr">
        <is>
          <t>32285000455286</t>
        </is>
      </c>
      <c r="BD470" t="inlineStr">
        <is>
          <t>893696273</t>
        </is>
      </c>
    </row>
    <row r="471">
      <c r="A471" t="inlineStr">
        <is>
          <t>No</t>
        </is>
      </c>
      <c r="B471" t="inlineStr">
        <is>
          <t>DC423 .R34 1986</t>
        </is>
      </c>
      <c r="C471" t="inlineStr">
        <is>
          <t>0                      DC 0423000R  34          1986</t>
        </is>
      </c>
      <c r="D471" t="inlineStr">
        <is>
          <t>Rainbow Warrior : the French attempt to sink Greenpeace / [Sunday Times Insight Team].</t>
        </is>
      </c>
      <c r="F471" t="inlineStr">
        <is>
          <t>No</t>
        </is>
      </c>
      <c r="G471" t="inlineStr">
        <is>
          <t>1</t>
        </is>
      </c>
      <c r="H471" t="inlineStr">
        <is>
          <t>No</t>
        </is>
      </c>
      <c r="I471" t="inlineStr">
        <is>
          <t>No</t>
        </is>
      </c>
      <c r="J471" t="inlineStr">
        <is>
          <t>0</t>
        </is>
      </c>
      <c r="L471" t="inlineStr">
        <is>
          <t>Toronto : Key Porter Books, 1986.</t>
        </is>
      </c>
      <c r="M471" t="inlineStr">
        <is>
          <t>1986</t>
        </is>
      </c>
      <c r="O471" t="inlineStr">
        <is>
          <t>eng</t>
        </is>
      </c>
      <c r="P471" t="inlineStr">
        <is>
          <t>onc</t>
        </is>
      </c>
      <c r="R471" t="inlineStr">
        <is>
          <t xml:space="preserve">DC </t>
        </is>
      </c>
      <c r="S471" t="n">
        <v>4</v>
      </c>
      <c r="T471" t="n">
        <v>4</v>
      </c>
      <c r="U471" t="inlineStr">
        <is>
          <t>1994-11-09</t>
        </is>
      </c>
      <c r="V471" t="inlineStr">
        <is>
          <t>1994-11-09</t>
        </is>
      </c>
      <c r="W471" t="inlineStr">
        <is>
          <t>1990-02-14</t>
        </is>
      </c>
      <c r="X471" t="inlineStr">
        <is>
          <t>1990-02-14</t>
        </is>
      </c>
      <c r="Y471" t="n">
        <v>28</v>
      </c>
      <c r="Z471" t="n">
        <v>3</v>
      </c>
      <c r="AA471" t="n">
        <v>205</v>
      </c>
      <c r="AB471" t="n">
        <v>1</v>
      </c>
      <c r="AC471" t="n">
        <v>3</v>
      </c>
      <c r="AD471" t="n">
        <v>0</v>
      </c>
      <c r="AE471" t="n">
        <v>3</v>
      </c>
      <c r="AF471" t="n">
        <v>0</v>
      </c>
      <c r="AG471" t="n">
        <v>0</v>
      </c>
      <c r="AH471" t="n">
        <v>0</v>
      </c>
      <c r="AI471" t="n">
        <v>1</v>
      </c>
      <c r="AJ471" t="n">
        <v>0</v>
      </c>
      <c r="AK471" t="n">
        <v>0</v>
      </c>
      <c r="AL471" t="n">
        <v>0</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HYPERLINK("https://creighton-primo.hosted.exlibrisgroup.com/primo-explore/search?tab=default_tab&amp;search_scope=EVERYTHING&amp;vid=01CRU&amp;lang=en_US&amp;offset=0&amp;query=any,contains,991000970849702656","Catalog Record")</f>
        <v/>
      </c>
      <c r="AT471">
        <f>HYPERLINK("http://www.worldcat.org/oclc/14950631","WorldCat Record")</f>
        <v/>
      </c>
      <c r="AU471" t="inlineStr">
        <is>
          <t>836704228:eng</t>
        </is>
      </c>
      <c r="AV471" t="inlineStr">
        <is>
          <t>14950631</t>
        </is>
      </c>
      <c r="AW471" t="inlineStr">
        <is>
          <t>991000970849702656</t>
        </is>
      </c>
      <c r="AX471" t="inlineStr">
        <is>
          <t>991000970849702656</t>
        </is>
      </c>
      <c r="AY471" t="inlineStr">
        <is>
          <t>2268038930002656</t>
        </is>
      </c>
      <c r="AZ471" t="inlineStr">
        <is>
          <t>BOOK</t>
        </is>
      </c>
      <c r="BB471" t="inlineStr">
        <is>
          <t>9780919493896</t>
        </is>
      </c>
      <c r="BC471" t="inlineStr">
        <is>
          <t>32285000053750</t>
        </is>
      </c>
      <c r="BD471" t="inlineStr">
        <is>
          <t>893515792</t>
        </is>
      </c>
    </row>
    <row r="472">
      <c r="A472" t="inlineStr">
        <is>
          <t>No</t>
        </is>
      </c>
      <c r="B472" t="inlineStr">
        <is>
          <t>DC423 .S565 1988</t>
        </is>
      </c>
      <c r="C472" t="inlineStr">
        <is>
          <t>0                      DC 0423000S  565         1988</t>
        </is>
      </c>
      <c r="D472" t="inlineStr">
        <is>
          <t>Is socialism doomed? : the meaning of Mitterrand / Daniel Singer.</t>
        </is>
      </c>
      <c r="F472" t="inlineStr">
        <is>
          <t>No</t>
        </is>
      </c>
      <c r="G472" t="inlineStr">
        <is>
          <t>1</t>
        </is>
      </c>
      <c r="H472" t="inlineStr">
        <is>
          <t>No</t>
        </is>
      </c>
      <c r="I472" t="inlineStr">
        <is>
          <t>No</t>
        </is>
      </c>
      <c r="J472" t="inlineStr">
        <is>
          <t>0</t>
        </is>
      </c>
      <c r="K472" t="inlineStr">
        <is>
          <t>Singer, Daniel, 1926-2000.</t>
        </is>
      </c>
      <c r="L472" t="inlineStr">
        <is>
          <t>New York : Oxford University Press, 1988.</t>
        </is>
      </c>
      <c r="M472" t="inlineStr">
        <is>
          <t>1988</t>
        </is>
      </c>
      <c r="O472" t="inlineStr">
        <is>
          <t>eng</t>
        </is>
      </c>
      <c r="P472" t="inlineStr">
        <is>
          <t>nyu</t>
        </is>
      </c>
      <c r="R472" t="inlineStr">
        <is>
          <t xml:space="preserve">DC </t>
        </is>
      </c>
      <c r="S472" t="n">
        <v>3</v>
      </c>
      <c r="T472" t="n">
        <v>3</v>
      </c>
      <c r="U472" t="inlineStr">
        <is>
          <t>1996-10-18</t>
        </is>
      </c>
      <c r="V472" t="inlineStr">
        <is>
          <t>1996-10-18</t>
        </is>
      </c>
      <c r="W472" t="inlineStr">
        <is>
          <t>1990-06-29</t>
        </is>
      </c>
      <c r="X472" t="inlineStr">
        <is>
          <t>1990-06-29</t>
        </is>
      </c>
      <c r="Y472" t="n">
        <v>599</v>
      </c>
      <c r="Z472" t="n">
        <v>482</v>
      </c>
      <c r="AA472" t="n">
        <v>489</v>
      </c>
      <c r="AB472" t="n">
        <v>3</v>
      </c>
      <c r="AC472" t="n">
        <v>3</v>
      </c>
      <c r="AD472" t="n">
        <v>24</v>
      </c>
      <c r="AE472" t="n">
        <v>24</v>
      </c>
      <c r="AF472" t="n">
        <v>8</v>
      </c>
      <c r="AG472" t="n">
        <v>8</v>
      </c>
      <c r="AH472" t="n">
        <v>7</v>
      </c>
      <c r="AI472" t="n">
        <v>7</v>
      </c>
      <c r="AJ472" t="n">
        <v>14</v>
      </c>
      <c r="AK472" t="n">
        <v>14</v>
      </c>
      <c r="AL472" t="n">
        <v>2</v>
      </c>
      <c r="AM472" t="n">
        <v>2</v>
      </c>
      <c r="AN472" t="n">
        <v>0</v>
      </c>
      <c r="AO472" t="n">
        <v>0</v>
      </c>
      <c r="AP472" t="inlineStr">
        <is>
          <t>No</t>
        </is>
      </c>
      <c r="AQ472" t="inlineStr">
        <is>
          <t>Yes</t>
        </is>
      </c>
      <c r="AR472">
        <f>HYPERLINK("http://catalog.hathitrust.org/Record/000910892","HathiTrust Record")</f>
        <v/>
      </c>
      <c r="AS472">
        <f>HYPERLINK("https://creighton-primo.hosted.exlibrisgroup.com/primo-explore/search?tab=default_tab&amp;search_scope=EVERYTHING&amp;vid=01CRU&amp;lang=en_US&amp;offset=0&amp;query=any,contains,991001100559702656","Catalog Record")</f>
        <v/>
      </c>
      <c r="AT472">
        <f>HYPERLINK("http://www.worldcat.org/oclc/16352465","WorldCat Record")</f>
        <v/>
      </c>
      <c r="AU472" t="inlineStr">
        <is>
          <t>365356584:eng</t>
        </is>
      </c>
      <c r="AV472" t="inlineStr">
        <is>
          <t>16352465</t>
        </is>
      </c>
      <c r="AW472" t="inlineStr">
        <is>
          <t>991001100559702656</t>
        </is>
      </c>
      <c r="AX472" t="inlineStr">
        <is>
          <t>991001100559702656</t>
        </is>
      </c>
      <c r="AY472" t="inlineStr">
        <is>
          <t>2270316290002656</t>
        </is>
      </c>
      <c r="AZ472" t="inlineStr">
        <is>
          <t>BOOK</t>
        </is>
      </c>
      <c r="BB472" t="inlineStr">
        <is>
          <t>9780195049251</t>
        </is>
      </c>
      <c r="BC472" t="inlineStr">
        <is>
          <t>32285000206499</t>
        </is>
      </c>
      <c r="BD472" t="inlineStr">
        <is>
          <t>893528661</t>
        </is>
      </c>
    </row>
    <row r="473">
      <c r="A473" t="inlineStr">
        <is>
          <t>No</t>
        </is>
      </c>
      <c r="B473" t="inlineStr">
        <is>
          <t>DC424 .C485 1996</t>
        </is>
      </c>
      <c r="C473" t="inlineStr">
        <is>
          <t>0                      DC 0424000C  485         1996</t>
        </is>
      </c>
      <c r="D473" t="inlineStr">
        <is>
          <t>Chirac's challenge : liberalization, Europeanization, and malaise in France / edited by John T.S. Keeler and Martin A. Schain.</t>
        </is>
      </c>
      <c r="F473" t="inlineStr">
        <is>
          <t>No</t>
        </is>
      </c>
      <c r="G473" t="inlineStr">
        <is>
          <t>1</t>
        </is>
      </c>
      <c r="H473" t="inlineStr">
        <is>
          <t>No</t>
        </is>
      </c>
      <c r="I473" t="inlineStr">
        <is>
          <t>No</t>
        </is>
      </c>
      <c r="J473" t="inlineStr">
        <is>
          <t>0</t>
        </is>
      </c>
      <c r="L473" t="inlineStr">
        <is>
          <t>New York : St. Martin's Press, 1996.</t>
        </is>
      </c>
      <c r="M473" t="inlineStr">
        <is>
          <t>1996</t>
        </is>
      </c>
      <c r="N473" t="inlineStr">
        <is>
          <t>1st. ed.</t>
        </is>
      </c>
      <c r="O473" t="inlineStr">
        <is>
          <t>eng</t>
        </is>
      </c>
      <c r="P473" t="inlineStr">
        <is>
          <t>nyu</t>
        </is>
      </c>
      <c r="R473" t="inlineStr">
        <is>
          <t xml:space="preserve">DC </t>
        </is>
      </c>
      <c r="S473" t="n">
        <v>17</v>
      </c>
      <c r="T473" t="n">
        <v>17</v>
      </c>
      <c r="U473" t="inlineStr">
        <is>
          <t>2009-04-14</t>
        </is>
      </c>
      <c r="V473" t="inlineStr">
        <is>
          <t>2009-04-14</t>
        </is>
      </c>
      <c r="W473" t="inlineStr">
        <is>
          <t>1998-11-11</t>
        </is>
      </c>
      <c r="X473" t="inlineStr">
        <is>
          <t>1998-11-11</t>
        </is>
      </c>
      <c r="Y473" t="n">
        <v>323</v>
      </c>
      <c r="Z473" t="n">
        <v>277</v>
      </c>
      <c r="AA473" t="n">
        <v>283</v>
      </c>
      <c r="AB473" t="n">
        <v>2</v>
      </c>
      <c r="AC473" t="n">
        <v>2</v>
      </c>
      <c r="AD473" t="n">
        <v>17</v>
      </c>
      <c r="AE473" t="n">
        <v>17</v>
      </c>
      <c r="AF473" t="n">
        <v>5</v>
      </c>
      <c r="AG473" t="n">
        <v>5</v>
      </c>
      <c r="AH473" t="n">
        <v>6</v>
      </c>
      <c r="AI473" t="n">
        <v>6</v>
      </c>
      <c r="AJ473" t="n">
        <v>10</v>
      </c>
      <c r="AK473" t="n">
        <v>10</v>
      </c>
      <c r="AL473" t="n">
        <v>1</v>
      </c>
      <c r="AM473" t="n">
        <v>1</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HYPERLINK("https://creighton-primo.hosted.exlibrisgroup.com/primo-explore/search?tab=default_tab&amp;search_scope=EVERYTHING&amp;vid=01CRU&amp;lang=en_US&amp;offset=0&amp;query=any,contains,991002698979702656","Catalog Record")</f>
        <v/>
      </c>
      <c r="AT473">
        <f>HYPERLINK("http://www.worldcat.org/oclc/35235607","WorldCat Record")</f>
        <v/>
      </c>
      <c r="AU473" t="inlineStr">
        <is>
          <t>365155089:eng</t>
        </is>
      </c>
      <c r="AV473" t="inlineStr">
        <is>
          <t>35235607</t>
        </is>
      </c>
      <c r="AW473" t="inlineStr">
        <is>
          <t>991002698979702656</t>
        </is>
      </c>
      <c r="AX473" t="inlineStr">
        <is>
          <t>991002698979702656</t>
        </is>
      </c>
      <c r="AY473" t="inlineStr">
        <is>
          <t>2254840030002656</t>
        </is>
      </c>
      <c r="AZ473" t="inlineStr">
        <is>
          <t>BOOK</t>
        </is>
      </c>
      <c r="BB473" t="inlineStr">
        <is>
          <t>9780312122706</t>
        </is>
      </c>
      <c r="BC473" t="inlineStr">
        <is>
          <t>32285003487773</t>
        </is>
      </c>
      <c r="BD473" t="inlineStr">
        <is>
          <t>893504714</t>
        </is>
      </c>
    </row>
    <row r="474">
      <c r="A474" t="inlineStr">
        <is>
          <t>No</t>
        </is>
      </c>
      <c r="B474" t="inlineStr">
        <is>
          <t>DC55 .T55 1986</t>
        </is>
      </c>
      <c r="C474" t="inlineStr">
        <is>
          <t>0                      DC 0055000T  55          1986</t>
        </is>
      </c>
      <c r="D474" t="inlineStr">
        <is>
          <t>The contentious French / Charles Tilly.</t>
        </is>
      </c>
      <c r="F474" t="inlineStr">
        <is>
          <t>No</t>
        </is>
      </c>
      <c r="G474" t="inlineStr">
        <is>
          <t>1</t>
        </is>
      </c>
      <c r="H474" t="inlineStr">
        <is>
          <t>No</t>
        </is>
      </c>
      <c r="I474" t="inlineStr">
        <is>
          <t>No</t>
        </is>
      </c>
      <c r="J474" t="inlineStr">
        <is>
          <t>0</t>
        </is>
      </c>
      <c r="K474" t="inlineStr">
        <is>
          <t>Tilly, Charles.</t>
        </is>
      </c>
      <c r="L474" t="inlineStr">
        <is>
          <t>Cambridge, Mass. : Belknap Press, 1986.</t>
        </is>
      </c>
      <c r="M474" t="inlineStr">
        <is>
          <t>1986</t>
        </is>
      </c>
      <c r="O474" t="inlineStr">
        <is>
          <t>eng</t>
        </is>
      </c>
      <c r="P474" t="inlineStr">
        <is>
          <t>mau</t>
        </is>
      </c>
      <c r="R474" t="inlineStr">
        <is>
          <t xml:space="preserve">DC </t>
        </is>
      </c>
      <c r="S474" t="n">
        <v>3</v>
      </c>
      <c r="T474" t="n">
        <v>3</v>
      </c>
      <c r="U474" t="inlineStr">
        <is>
          <t>2000-02-22</t>
        </is>
      </c>
      <c r="V474" t="inlineStr">
        <is>
          <t>2000-02-22</t>
        </is>
      </c>
      <c r="W474" t="inlineStr">
        <is>
          <t>1990-07-19</t>
        </is>
      </c>
      <c r="X474" t="inlineStr">
        <is>
          <t>1990-07-19</t>
        </is>
      </c>
      <c r="Y474" t="n">
        <v>871</v>
      </c>
      <c r="Z474" t="n">
        <v>690</v>
      </c>
      <c r="AA474" t="n">
        <v>801</v>
      </c>
      <c r="AB474" t="n">
        <v>5</v>
      </c>
      <c r="AC474" t="n">
        <v>6</v>
      </c>
      <c r="AD474" t="n">
        <v>29</v>
      </c>
      <c r="AE474" t="n">
        <v>35</v>
      </c>
      <c r="AF474" t="n">
        <v>9</v>
      </c>
      <c r="AG474" t="n">
        <v>13</v>
      </c>
      <c r="AH474" t="n">
        <v>9</v>
      </c>
      <c r="AI474" t="n">
        <v>10</v>
      </c>
      <c r="AJ474" t="n">
        <v>15</v>
      </c>
      <c r="AK474" t="n">
        <v>16</v>
      </c>
      <c r="AL474" t="n">
        <v>4</v>
      </c>
      <c r="AM474" t="n">
        <v>5</v>
      </c>
      <c r="AN474" t="n">
        <v>0</v>
      </c>
      <c r="AO474" t="n">
        <v>0</v>
      </c>
      <c r="AP474" t="inlineStr">
        <is>
          <t>No</t>
        </is>
      </c>
      <c r="AQ474" t="inlineStr">
        <is>
          <t>Yes</t>
        </is>
      </c>
      <c r="AR474">
        <f>HYPERLINK("http://catalog.hathitrust.org/Record/000472539","HathiTrust Record")</f>
        <v/>
      </c>
      <c r="AS474">
        <f>HYPERLINK("https://creighton-primo.hosted.exlibrisgroup.com/primo-explore/search?tab=default_tab&amp;search_scope=EVERYTHING&amp;vid=01CRU&amp;lang=en_US&amp;offset=0&amp;query=any,contains,991000634369702656","Catalog Record")</f>
        <v/>
      </c>
      <c r="AT474">
        <f>HYPERLINK("http://www.worldcat.org/oclc/12079186","WorldCat Record")</f>
        <v/>
      </c>
      <c r="AU474" t="inlineStr">
        <is>
          <t>4677942:eng</t>
        </is>
      </c>
      <c r="AV474" t="inlineStr">
        <is>
          <t>12079186</t>
        </is>
      </c>
      <c r="AW474" t="inlineStr">
        <is>
          <t>991000634369702656</t>
        </is>
      </c>
      <c r="AX474" t="inlineStr">
        <is>
          <t>991000634369702656</t>
        </is>
      </c>
      <c r="AY474" t="inlineStr">
        <is>
          <t>2269528890002656</t>
        </is>
      </c>
      <c r="AZ474" t="inlineStr">
        <is>
          <t>BOOK</t>
        </is>
      </c>
      <c r="BB474" t="inlineStr">
        <is>
          <t>9780674166950</t>
        </is>
      </c>
      <c r="BC474" t="inlineStr">
        <is>
          <t>32285000245489</t>
        </is>
      </c>
      <c r="BD474" t="inlineStr">
        <is>
          <t>893315113</t>
        </is>
      </c>
    </row>
    <row r="475">
      <c r="A475" t="inlineStr">
        <is>
          <t>No</t>
        </is>
      </c>
      <c r="B475" t="inlineStr">
        <is>
          <t>DC58 .Z44</t>
        </is>
      </c>
      <c r="C475" t="inlineStr">
        <is>
          <t>0                      DC 0058000Z  44</t>
        </is>
      </c>
      <c r="D475" t="inlineStr">
        <is>
          <t>France, 1848-1945, politics &amp; anger / by Theodore Zeldin.</t>
        </is>
      </c>
      <c r="F475" t="inlineStr">
        <is>
          <t>No</t>
        </is>
      </c>
      <c r="G475" t="inlineStr">
        <is>
          <t>1</t>
        </is>
      </c>
      <c r="H475" t="inlineStr">
        <is>
          <t>No</t>
        </is>
      </c>
      <c r="I475" t="inlineStr">
        <is>
          <t>No</t>
        </is>
      </c>
      <c r="J475" t="inlineStr">
        <is>
          <t>0</t>
        </is>
      </c>
      <c r="K475" t="inlineStr">
        <is>
          <t>Zeldin, Theodore, 1933-</t>
        </is>
      </c>
      <c r="L475" t="inlineStr">
        <is>
          <t>Oxford ; New York : Oxford University Press, 1979.</t>
        </is>
      </c>
      <c r="M475" t="inlineStr">
        <is>
          <t>1979</t>
        </is>
      </c>
      <c r="O475" t="inlineStr">
        <is>
          <t>eng</t>
        </is>
      </c>
      <c r="P475" t="inlineStr">
        <is>
          <t>enk</t>
        </is>
      </c>
      <c r="Q475" t="inlineStr">
        <is>
          <t>Oxford paperbacks</t>
        </is>
      </c>
      <c r="R475" t="inlineStr">
        <is>
          <t xml:space="preserve">DC </t>
        </is>
      </c>
      <c r="S475" t="n">
        <v>3</v>
      </c>
      <c r="T475" t="n">
        <v>3</v>
      </c>
      <c r="U475" t="inlineStr">
        <is>
          <t>2002-09-30</t>
        </is>
      </c>
      <c r="V475" t="inlineStr">
        <is>
          <t>2002-09-30</t>
        </is>
      </c>
      <c r="W475" t="inlineStr">
        <is>
          <t>1990-07-19</t>
        </is>
      </c>
      <c r="X475" t="inlineStr">
        <is>
          <t>1990-07-19</t>
        </is>
      </c>
      <c r="Y475" t="n">
        <v>65</v>
      </c>
      <c r="Z475" t="n">
        <v>52</v>
      </c>
      <c r="AA475" t="n">
        <v>107</v>
      </c>
      <c r="AB475" t="n">
        <v>1</v>
      </c>
      <c r="AC475" t="n">
        <v>1</v>
      </c>
      <c r="AD475" t="n">
        <v>0</v>
      </c>
      <c r="AE475" t="n">
        <v>1</v>
      </c>
      <c r="AF475" t="n">
        <v>0</v>
      </c>
      <c r="AG475" t="n">
        <v>0</v>
      </c>
      <c r="AH475" t="n">
        <v>0</v>
      </c>
      <c r="AI475" t="n">
        <v>1</v>
      </c>
      <c r="AJ475" t="n">
        <v>0</v>
      </c>
      <c r="AK475" t="n">
        <v>1</v>
      </c>
      <c r="AL475" t="n">
        <v>0</v>
      </c>
      <c r="AM475" t="n">
        <v>0</v>
      </c>
      <c r="AN475" t="n">
        <v>0</v>
      </c>
      <c r="AO475" t="n">
        <v>0</v>
      </c>
      <c r="AP475" t="inlineStr">
        <is>
          <t>No</t>
        </is>
      </c>
      <c r="AQ475" t="inlineStr">
        <is>
          <t>Yes</t>
        </is>
      </c>
      <c r="AR475">
        <f>HYPERLINK("http://catalog.hathitrust.org/Record/101949636","HathiTrust Record")</f>
        <v/>
      </c>
      <c r="AS475">
        <f>HYPERLINK("https://creighton-primo.hosted.exlibrisgroup.com/primo-explore/search?tab=default_tab&amp;search_scope=EVERYTHING&amp;vid=01CRU&amp;lang=en_US&amp;offset=0&amp;query=any,contains,991005045509702656","Catalog Record")</f>
        <v/>
      </c>
      <c r="AT475">
        <f>HYPERLINK("http://www.worldcat.org/oclc/6826675","WorldCat Record")</f>
        <v/>
      </c>
      <c r="AU475" t="inlineStr">
        <is>
          <t>3901390764:eng</t>
        </is>
      </c>
      <c r="AV475" t="inlineStr">
        <is>
          <t>6826675</t>
        </is>
      </c>
      <c r="AW475" t="inlineStr">
        <is>
          <t>991005045509702656</t>
        </is>
      </c>
      <c r="AX475" t="inlineStr">
        <is>
          <t>991005045509702656</t>
        </is>
      </c>
      <c r="AY475" t="inlineStr">
        <is>
          <t>2267896080002656</t>
        </is>
      </c>
      <c r="AZ475" t="inlineStr">
        <is>
          <t>BOOK</t>
        </is>
      </c>
      <c r="BB475" t="inlineStr">
        <is>
          <t>9780192850829</t>
        </is>
      </c>
      <c r="BC475" t="inlineStr">
        <is>
          <t>32285000245497</t>
        </is>
      </c>
      <c r="BD475" t="inlineStr">
        <is>
          <t>893795528</t>
        </is>
      </c>
    </row>
    <row r="476">
      <c r="A476" t="inlineStr">
        <is>
          <t>No</t>
        </is>
      </c>
      <c r="B476" t="inlineStr">
        <is>
          <t>DC59.8.G3 P54 1987</t>
        </is>
      </c>
      <c r="C476" t="inlineStr">
        <is>
          <t>0                      DC 0059800G  3                  P  54          1987</t>
        </is>
      </c>
      <c r="D476" t="inlineStr">
        <is>
          <t>France and the German problem : politics and economics in the Locarno period, 1924-1929 / Vincent J. Pitts.</t>
        </is>
      </c>
      <c r="F476" t="inlineStr">
        <is>
          <t>No</t>
        </is>
      </c>
      <c r="G476" t="inlineStr">
        <is>
          <t>1</t>
        </is>
      </c>
      <c r="H476" t="inlineStr">
        <is>
          <t>No</t>
        </is>
      </c>
      <c r="I476" t="inlineStr">
        <is>
          <t>No</t>
        </is>
      </c>
      <c r="J476" t="inlineStr">
        <is>
          <t>0</t>
        </is>
      </c>
      <c r="K476" t="inlineStr">
        <is>
          <t>Pitts, Vincent J. (Vincent Joseph), 1947-</t>
        </is>
      </c>
      <c r="L476" t="inlineStr">
        <is>
          <t>New York : Garland, 1987.</t>
        </is>
      </c>
      <c r="M476" t="inlineStr">
        <is>
          <t>1987</t>
        </is>
      </c>
      <c r="O476" t="inlineStr">
        <is>
          <t>eng</t>
        </is>
      </c>
      <c r="P476" t="inlineStr">
        <is>
          <t>nyu</t>
        </is>
      </c>
      <c r="Q476" t="inlineStr">
        <is>
          <t>Modern European history</t>
        </is>
      </c>
      <c r="R476" t="inlineStr">
        <is>
          <t xml:space="preserve">DC </t>
        </is>
      </c>
      <c r="S476" t="n">
        <v>1</v>
      </c>
      <c r="T476" t="n">
        <v>1</v>
      </c>
      <c r="U476" t="inlineStr">
        <is>
          <t>1993-02-03</t>
        </is>
      </c>
      <c r="V476" t="inlineStr">
        <is>
          <t>1993-02-03</t>
        </is>
      </c>
      <c r="W476" t="inlineStr">
        <is>
          <t>1990-01-18</t>
        </is>
      </c>
      <c r="X476" t="inlineStr">
        <is>
          <t>1990-01-18</t>
        </is>
      </c>
      <c r="Y476" t="n">
        <v>90</v>
      </c>
      <c r="Z476" t="n">
        <v>49</v>
      </c>
      <c r="AA476" t="n">
        <v>52</v>
      </c>
      <c r="AB476" t="n">
        <v>1</v>
      </c>
      <c r="AC476" t="n">
        <v>1</v>
      </c>
      <c r="AD476" t="n">
        <v>0</v>
      </c>
      <c r="AE476" t="n">
        <v>0</v>
      </c>
      <c r="AF476" t="n">
        <v>0</v>
      </c>
      <c r="AG476" t="n">
        <v>0</v>
      </c>
      <c r="AH476" t="n">
        <v>0</v>
      </c>
      <c r="AI476" t="n">
        <v>0</v>
      </c>
      <c r="AJ476" t="n">
        <v>0</v>
      </c>
      <c r="AK476" t="n">
        <v>0</v>
      </c>
      <c r="AL476" t="n">
        <v>0</v>
      </c>
      <c r="AM476" t="n">
        <v>0</v>
      </c>
      <c r="AN476" t="n">
        <v>0</v>
      </c>
      <c r="AO476" t="n">
        <v>0</v>
      </c>
      <c r="AP476" t="inlineStr">
        <is>
          <t>No</t>
        </is>
      </c>
      <c r="AQ476" t="inlineStr">
        <is>
          <t>Yes</t>
        </is>
      </c>
      <c r="AR476">
        <f>HYPERLINK("http://catalog.hathitrust.org/Record/008369992","HathiTrust Record")</f>
        <v/>
      </c>
      <c r="AS476">
        <f>HYPERLINK("https://creighton-primo.hosted.exlibrisgroup.com/primo-explore/search?tab=default_tab&amp;search_scope=EVERYTHING&amp;vid=01CRU&amp;lang=en_US&amp;offset=0&amp;query=any,contains,991001027299702656","Catalog Record")</f>
        <v/>
      </c>
      <c r="AT476">
        <f>HYPERLINK("http://www.worldcat.org/oclc/15487409","WorldCat Record")</f>
        <v/>
      </c>
      <c r="AU476" t="inlineStr">
        <is>
          <t>836715864:eng</t>
        </is>
      </c>
      <c r="AV476" t="inlineStr">
        <is>
          <t>15487409</t>
        </is>
      </c>
      <c r="AW476" t="inlineStr">
        <is>
          <t>991001027299702656</t>
        </is>
      </c>
      <c r="AX476" t="inlineStr">
        <is>
          <t>991001027299702656</t>
        </is>
      </c>
      <c r="AY476" t="inlineStr">
        <is>
          <t>2269777710002656</t>
        </is>
      </c>
      <c r="AZ476" t="inlineStr">
        <is>
          <t>BOOK</t>
        </is>
      </c>
      <c r="BB476" t="inlineStr">
        <is>
          <t>9780824080402</t>
        </is>
      </c>
      <c r="BC476" t="inlineStr">
        <is>
          <t>32285000029222</t>
        </is>
      </c>
      <c r="BD476" t="inlineStr">
        <is>
          <t>893903254</t>
        </is>
      </c>
    </row>
    <row r="477">
      <c r="A477" t="inlineStr">
        <is>
          <t>No</t>
        </is>
      </c>
      <c r="B477" t="inlineStr">
        <is>
          <t>DC59.8.R8 R34</t>
        </is>
      </c>
      <c r="C477" t="inlineStr">
        <is>
          <t>0                      DC 0059800R  8                  R  34</t>
        </is>
      </c>
      <c r="D477" t="inlineStr">
        <is>
          <t>Détente in the Napoleonic era : Bonaparte and the Russians / Hugh Ragsdale.</t>
        </is>
      </c>
      <c r="F477" t="inlineStr">
        <is>
          <t>No</t>
        </is>
      </c>
      <c r="G477" t="inlineStr">
        <is>
          <t>1</t>
        </is>
      </c>
      <c r="H477" t="inlineStr">
        <is>
          <t>No</t>
        </is>
      </c>
      <c r="I477" t="inlineStr">
        <is>
          <t>No</t>
        </is>
      </c>
      <c r="J477" t="inlineStr">
        <is>
          <t>0</t>
        </is>
      </c>
      <c r="K477" t="inlineStr">
        <is>
          <t>Ragsdale, Hugh.</t>
        </is>
      </c>
      <c r="L477" t="inlineStr">
        <is>
          <t>Lawrence, Kan. : Regents Press of Kansas, c1980.</t>
        </is>
      </c>
      <c r="M477" t="inlineStr">
        <is>
          <t>1980</t>
        </is>
      </c>
      <c r="O477" t="inlineStr">
        <is>
          <t>eng</t>
        </is>
      </c>
      <c r="P477" t="inlineStr">
        <is>
          <t>ksu</t>
        </is>
      </c>
      <c r="R477" t="inlineStr">
        <is>
          <t xml:space="preserve">DC </t>
        </is>
      </c>
      <c r="S477" t="n">
        <v>4</v>
      </c>
      <c r="T477" t="n">
        <v>4</v>
      </c>
      <c r="U477" t="inlineStr">
        <is>
          <t>1995-03-22</t>
        </is>
      </c>
      <c r="V477" t="inlineStr">
        <is>
          <t>1995-03-22</t>
        </is>
      </c>
      <c r="W477" t="inlineStr">
        <is>
          <t>1990-03-27</t>
        </is>
      </c>
      <c r="X477" t="inlineStr">
        <is>
          <t>1990-03-27</t>
        </is>
      </c>
      <c r="Y477" t="n">
        <v>453</v>
      </c>
      <c r="Z477" t="n">
        <v>371</v>
      </c>
      <c r="AA477" t="n">
        <v>375</v>
      </c>
      <c r="AB477" t="n">
        <v>3</v>
      </c>
      <c r="AC477" t="n">
        <v>3</v>
      </c>
      <c r="AD477" t="n">
        <v>20</v>
      </c>
      <c r="AE477" t="n">
        <v>22</v>
      </c>
      <c r="AF477" t="n">
        <v>4</v>
      </c>
      <c r="AG477" t="n">
        <v>5</v>
      </c>
      <c r="AH477" t="n">
        <v>8</v>
      </c>
      <c r="AI477" t="n">
        <v>10</v>
      </c>
      <c r="AJ477" t="n">
        <v>11</v>
      </c>
      <c r="AK477" t="n">
        <v>11</v>
      </c>
      <c r="AL477" t="n">
        <v>2</v>
      </c>
      <c r="AM477" t="n">
        <v>2</v>
      </c>
      <c r="AN477" t="n">
        <v>0</v>
      </c>
      <c r="AO477" t="n">
        <v>0</v>
      </c>
      <c r="AP477" t="inlineStr">
        <is>
          <t>No</t>
        </is>
      </c>
      <c r="AQ477" t="inlineStr">
        <is>
          <t>Yes</t>
        </is>
      </c>
      <c r="AR477">
        <f>HYPERLINK("http://catalog.hathitrust.org/Record/000743955","HathiTrust Record")</f>
        <v/>
      </c>
      <c r="AS477">
        <f>HYPERLINK("https://creighton-primo.hosted.exlibrisgroup.com/primo-explore/search?tab=default_tab&amp;search_scope=EVERYTHING&amp;vid=01CRU&amp;lang=en_US&amp;offset=0&amp;query=any,contains,991004893039702656","Catalog Record")</f>
        <v/>
      </c>
      <c r="AT477">
        <f>HYPERLINK("http://www.worldcat.org/oclc/5888354","WorldCat Record")</f>
        <v/>
      </c>
      <c r="AU477" t="inlineStr">
        <is>
          <t>198061124:eng</t>
        </is>
      </c>
      <c r="AV477" t="inlineStr">
        <is>
          <t>5888354</t>
        </is>
      </c>
      <c r="AW477" t="inlineStr">
        <is>
          <t>991004893039702656</t>
        </is>
      </c>
      <c r="AX477" t="inlineStr">
        <is>
          <t>991004893039702656</t>
        </is>
      </c>
      <c r="AY477" t="inlineStr">
        <is>
          <t>2267537550002656</t>
        </is>
      </c>
      <c r="AZ477" t="inlineStr">
        <is>
          <t>BOOK</t>
        </is>
      </c>
      <c r="BB477" t="inlineStr">
        <is>
          <t>9780700602018</t>
        </is>
      </c>
      <c r="BC477" t="inlineStr">
        <is>
          <t>32285000098698</t>
        </is>
      </c>
      <c r="BD477" t="inlineStr">
        <is>
          <t>893254196</t>
        </is>
      </c>
    </row>
    <row r="478">
      <c r="A478" t="inlineStr">
        <is>
          <t>No</t>
        </is>
      </c>
      <c r="B478" t="inlineStr">
        <is>
          <t>DC611 .E92</t>
        </is>
      </c>
      <c r="C478" t="inlineStr">
        <is>
          <t>0                      DC 0611000E  92</t>
        </is>
      </c>
      <c r="D478" t="inlineStr">
        <is>
          <t>A guide book of Chartres : Chartres, its cathedral and monuments.</t>
        </is>
      </c>
      <c r="F478" t="inlineStr">
        <is>
          <t>No</t>
        </is>
      </c>
      <c r="G478" t="inlineStr">
        <is>
          <t>1</t>
        </is>
      </c>
      <c r="H478" t="inlineStr">
        <is>
          <t>No</t>
        </is>
      </c>
      <c r="I478" t="inlineStr">
        <is>
          <t>No</t>
        </is>
      </c>
      <c r="J478" t="inlineStr">
        <is>
          <t>0</t>
        </is>
      </c>
      <c r="K478" t="inlineStr">
        <is>
          <t>Clerval, A. (Alexandre), 1859-1918.</t>
        </is>
      </c>
      <c r="L478" t="inlineStr">
        <is>
          <t>Chartres : Librairie Paul Renier, [1926]</t>
        </is>
      </c>
      <c r="M478" t="inlineStr">
        <is>
          <t>1926</t>
        </is>
      </c>
      <c r="O478" t="inlineStr">
        <is>
          <t>eng</t>
        </is>
      </c>
      <c r="P478" t="inlineStr">
        <is>
          <t xml:space="preserve">xx </t>
        </is>
      </c>
      <c r="R478" t="inlineStr">
        <is>
          <t xml:space="preserve">DC </t>
        </is>
      </c>
      <c r="S478" t="n">
        <v>3</v>
      </c>
      <c r="T478" t="n">
        <v>3</v>
      </c>
      <c r="U478" t="inlineStr">
        <is>
          <t>1998-12-09</t>
        </is>
      </c>
      <c r="V478" t="inlineStr">
        <is>
          <t>1998-12-09</t>
        </is>
      </c>
      <c r="W478" t="inlineStr">
        <is>
          <t>1992-02-04</t>
        </is>
      </c>
      <c r="X478" t="inlineStr">
        <is>
          <t>1992-02-04</t>
        </is>
      </c>
      <c r="Y478" t="n">
        <v>34</v>
      </c>
      <c r="Z478" t="n">
        <v>31</v>
      </c>
      <c r="AA478" t="n">
        <v>36</v>
      </c>
      <c r="AB478" t="n">
        <v>1</v>
      </c>
      <c r="AC478" t="n">
        <v>1</v>
      </c>
      <c r="AD478" t="n">
        <v>0</v>
      </c>
      <c r="AE478" t="n">
        <v>0</v>
      </c>
      <c r="AF478" t="n">
        <v>0</v>
      </c>
      <c r="AG478" t="n">
        <v>0</v>
      </c>
      <c r="AH478" t="n">
        <v>0</v>
      </c>
      <c r="AI478" t="n">
        <v>0</v>
      </c>
      <c r="AJ478" t="n">
        <v>0</v>
      </c>
      <c r="AK478" t="n">
        <v>0</v>
      </c>
      <c r="AL478" t="n">
        <v>0</v>
      </c>
      <c r="AM478" t="n">
        <v>0</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HYPERLINK("https://creighton-primo.hosted.exlibrisgroup.com/primo-explore/search?tab=default_tab&amp;search_scope=EVERYTHING&amp;vid=01CRU&amp;lang=en_US&amp;offset=0&amp;query=any,contains,991003052329702656","Catalog Record")</f>
        <v/>
      </c>
      <c r="AT478">
        <f>HYPERLINK("http://www.worldcat.org/oclc/611714","WorldCat Record")</f>
        <v/>
      </c>
      <c r="AU478" t="inlineStr">
        <is>
          <t>1647395:eng</t>
        </is>
      </c>
      <c r="AV478" t="inlineStr">
        <is>
          <t>611714</t>
        </is>
      </c>
      <c r="AW478" t="inlineStr">
        <is>
          <t>991003052329702656</t>
        </is>
      </c>
      <c r="AX478" t="inlineStr">
        <is>
          <t>991003052329702656</t>
        </is>
      </c>
      <c r="AY478" t="inlineStr">
        <is>
          <t>2265371610002656</t>
        </is>
      </c>
      <c r="AZ478" t="inlineStr">
        <is>
          <t>BOOK</t>
        </is>
      </c>
      <c r="BC478" t="inlineStr">
        <is>
          <t>32285000934454</t>
        </is>
      </c>
      <c r="BD478" t="inlineStr">
        <is>
          <t>893793276</t>
        </is>
      </c>
    </row>
    <row r="479">
      <c r="A479" t="inlineStr">
        <is>
          <t>No</t>
        </is>
      </c>
      <c r="B479" t="inlineStr">
        <is>
          <t>DC611.B917 R43</t>
        </is>
      </c>
      <c r="C479" t="inlineStr">
        <is>
          <t>0                      DC 0611000B  917                R  43</t>
        </is>
      </c>
      <c r="D479" t="inlineStr">
        <is>
          <t>The Bretons against France : ethnic minority nationalism in twentieth-century Brittany / by Jack E. Reece.</t>
        </is>
      </c>
      <c r="F479" t="inlineStr">
        <is>
          <t>No</t>
        </is>
      </c>
      <c r="G479" t="inlineStr">
        <is>
          <t>1</t>
        </is>
      </c>
      <c r="H479" t="inlineStr">
        <is>
          <t>No</t>
        </is>
      </c>
      <c r="I479" t="inlineStr">
        <is>
          <t>No</t>
        </is>
      </c>
      <c r="J479" t="inlineStr">
        <is>
          <t>0</t>
        </is>
      </c>
      <c r="K479" t="inlineStr">
        <is>
          <t>Reece, Jack E.</t>
        </is>
      </c>
      <c r="L479" t="inlineStr">
        <is>
          <t>Chapel Hill : University of North Carolina Press, c1977.</t>
        </is>
      </c>
      <c r="M479" t="inlineStr">
        <is>
          <t>1977</t>
        </is>
      </c>
      <c r="O479" t="inlineStr">
        <is>
          <t>eng</t>
        </is>
      </c>
      <c r="P479" t="inlineStr">
        <is>
          <t>ncu</t>
        </is>
      </c>
      <c r="R479" t="inlineStr">
        <is>
          <t xml:space="preserve">DC </t>
        </is>
      </c>
      <c r="S479" t="n">
        <v>3</v>
      </c>
      <c r="T479" t="n">
        <v>3</v>
      </c>
      <c r="U479" t="inlineStr">
        <is>
          <t>1999-09-29</t>
        </is>
      </c>
      <c r="V479" t="inlineStr">
        <is>
          <t>1999-09-29</t>
        </is>
      </c>
      <c r="W479" t="inlineStr">
        <is>
          <t>1996-11-20</t>
        </is>
      </c>
      <c r="X479" t="inlineStr">
        <is>
          <t>1996-11-20</t>
        </is>
      </c>
      <c r="Y479" t="n">
        <v>461</v>
      </c>
      <c r="Z479" t="n">
        <v>375</v>
      </c>
      <c r="AA479" t="n">
        <v>396</v>
      </c>
      <c r="AB479" t="n">
        <v>3</v>
      </c>
      <c r="AC479" t="n">
        <v>3</v>
      </c>
      <c r="AD479" t="n">
        <v>18</v>
      </c>
      <c r="AE479" t="n">
        <v>19</v>
      </c>
      <c r="AF479" t="n">
        <v>5</v>
      </c>
      <c r="AG479" t="n">
        <v>5</v>
      </c>
      <c r="AH479" t="n">
        <v>4</v>
      </c>
      <c r="AI479" t="n">
        <v>5</v>
      </c>
      <c r="AJ479" t="n">
        <v>9</v>
      </c>
      <c r="AK479" t="n">
        <v>10</v>
      </c>
      <c r="AL479" t="n">
        <v>2</v>
      </c>
      <c r="AM479" t="n">
        <v>2</v>
      </c>
      <c r="AN479" t="n">
        <v>0</v>
      </c>
      <c r="AO479" t="n">
        <v>0</v>
      </c>
      <c r="AP479" t="inlineStr">
        <is>
          <t>No</t>
        </is>
      </c>
      <c r="AQ479" t="inlineStr">
        <is>
          <t>Yes</t>
        </is>
      </c>
      <c r="AR479">
        <f>HYPERLINK("http://catalog.hathitrust.org/Record/000732042","HathiTrust Record")</f>
        <v/>
      </c>
      <c r="AS479">
        <f>HYPERLINK("https://creighton-primo.hosted.exlibrisgroup.com/primo-explore/search?tab=default_tab&amp;search_scope=EVERYTHING&amp;vid=01CRU&amp;lang=en_US&amp;offset=0&amp;query=any,contains,991004158059702656","Catalog Record")</f>
        <v/>
      </c>
      <c r="AT479">
        <f>HYPERLINK("http://www.worldcat.org/oclc/2542584","WorldCat Record")</f>
        <v/>
      </c>
      <c r="AU479" t="inlineStr">
        <is>
          <t>879055299:eng</t>
        </is>
      </c>
      <c r="AV479" t="inlineStr">
        <is>
          <t>2542584</t>
        </is>
      </c>
      <c r="AW479" t="inlineStr">
        <is>
          <t>991004158059702656</t>
        </is>
      </c>
      <c r="AX479" t="inlineStr">
        <is>
          <t>991004158059702656</t>
        </is>
      </c>
      <c r="AY479" t="inlineStr">
        <is>
          <t>2272084180002656</t>
        </is>
      </c>
      <c r="AZ479" t="inlineStr">
        <is>
          <t>BOOK</t>
        </is>
      </c>
      <c r="BB479" t="inlineStr">
        <is>
          <t>9780807813041</t>
        </is>
      </c>
      <c r="BC479" t="inlineStr">
        <is>
          <t>32285002380839</t>
        </is>
      </c>
      <c r="BD479" t="inlineStr">
        <is>
          <t>893718561</t>
        </is>
      </c>
    </row>
    <row r="480">
      <c r="A480" t="inlineStr">
        <is>
          <t>No</t>
        </is>
      </c>
      <c r="B480" t="inlineStr">
        <is>
          <t>DC611.C457 F48 1993</t>
        </is>
      </c>
      <c r="C480" t="inlineStr">
        <is>
          <t>0                      DC 0611000C  457                F  48          1993</t>
        </is>
      </c>
      <c r="D480" t="inlineStr">
        <is>
          <t>Feudal society in medieval France : documents from the County of Champagne / translated and edited by Theodore Evergates.</t>
        </is>
      </c>
      <c r="F480" t="inlineStr">
        <is>
          <t>No</t>
        </is>
      </c>
      <c r="G480" t="inlineStr">
        <is>
          <t>1</t>
        </is>
      </c>
      <c r="H480" t="inlineStr">
        <is>
          <t>No</t>
        </is>
      </c>
      <c r="I480" t="inlineStr">
        <is>
          <t>No</t>
        </is>
      </c>
      <c r="J480" t="inlineStr">
        <is>
          <t>0</t>
        </is>
      </c>
      <c r="L480" t="inlineStr">
        <is>
          <t>Philadelphia : University of Pennsylvania Press, c1993.</t>
        </is>
      </c>
      <c r="M480" t="inlineStr">
        <is>
          <t>1993</t>
        </is>
      </c>
      <c r="O480" t="inlineStr">
        <is>
          <t>eng</t>
        </is>
      </c>
      <c r="P480" t="inlineStr">
        <is>
          <t>pau</t>
        </is>
      </c>
      <c r="Q480" t="inlineStr">
        <is>
          <t>Middle Ages</t>
        </is>
      </c>
      <c r="R480" t="inlineStr">
        <is>
          <t xml:space="preserve">DC </t>
        </is>
      </c>
      <c r="S480" t="n">
        <v>5</v>
      </c>
      <c r="T480" t="n">
        <v>5</v>
      </c>
      <c r="U480" t="inlineStr">
        <is>
          <t>2010-04-05</t>
        </is>
      </c>
      <c r="V480" t="inlineStr">
        <is>
          <t>2010-04-05</t>
        </is>
      </c>
      <c r="W480" t="inlineStr">
        <is>
          <t>1994-02-15</t>
        </is>
      </c>
      <c r="X480" t="inlineStr">
        <is>
          <t>1994-02-15</t>
        </is>
      </c>
      <c r="Y480" t="n">
        <v>400</v>
      </c>
      <c r="Z480" t="n">
        <v>315</v>
      </c>
      <c r="AA480" t="n">
        <v>880</v>
      </c>
      <c r="AB480" t="n">
        <v>3</v>
      </c>
      <c r="AC480" t="n">
        <v>7</v>
      </c>
      <c r="AD480" t="n">
        <v>23</v>
      </c>
      <c r="AE480" t="n">
        <v>44</v>
      </c>
      <c r="AF480" t="n">
        <v>7</v>
      </c>
      <c r="AG480" t="n">
        <v>17</v>
      </c>
      <c r="AH480" t="n">
        <v>7</v>
      </c>
      <c r="AI480" t="n">
        <v>10</v>
      </c>
      <c r="AJ480" t="n">
        <v>15</v>
      </c>
      <c r="AK480" t="n">
        <v>20</v>
      </c>
      <c r="AL480" t="n">
        <v>2</v>
      </c>
      <c r="AM480" t="n">
        <v>6</v>
      </c>
      <c r="AN480" t="n">
        <v>1</v>
      </c>
      <c r="AO480" t="n">
        <v>2</v>
      </c>
      <c r="AP480" t="inlineStr">
        <is>
          <t>No</t>
        </is>
      </c>
      <c r="AQ480" t="inlineStr">
        <is>
          <t>No</t>
        </is>
      </c>
      <c r="AS480">
        <f>HYPERLINK("https://creighton-primo.hosted.exlibrisgroup.com/primo-explore/search?tab=default_tab&amp;search_scope=EVERYTHING&amp;vid=01CRU&amp;lang=en_US&amp;offset=0&amp;query=any,contains,991002165619702656","Catalog Record")</f>
        <v/>
      </c>
      <c r="AT480">
        <f>HYPERLINK("http://www.worldcat.org/oclc/27895012","WorldCat Record")</f>
        <v/>
      </c>
      <c r="AU480" t="inlineStr">
        <is>
          <t>866907302:eng</t>
        </is>
      </c>
      <c r="AV480" t="inlineStr">
        <is>
          <t>27895012</t>
        </is>
      </c>
      <c r="AW480" t="inlineStr">
        <is>
          <t>991002165619702656</t>
        </is>
      </c>
      <c r="AX480" t="inlineStr">
        <is>
          <t>991002165619702656</t>
        </is>
      </c>
      <c r="AY480" t="inlineStr">
        <is>
          <t>2259844780002656</t>
        </is>
      </c>
      <c r="AZ480" t="inlineStr">
        <is>
          <t>BOOK</t>
        </is>
      </c>
      <c r="BB480" t="inlineStr">
        <is>
          <t>9780812214413</t>
        </is>
      </c>
      <c r="BC480" t="inlineStr">
        <is>
          <t>32285001842581</t>
        </is>
      </c>
      <c r="BD480" t="inlineStr">
        <is>
          <t>893433563</t>
        </is>
      </c>
    </row>
    <row r="481">
      <c r="A481" t="inlineStr">
        <is>
          <t>No</t>
        </is>
      </c>
      <c r="B481" t="inlineStr">
        <is>
          <t>DC611.I27 B613 1971</t>
        </is>
      </c>
      <c r="C481" t="inlineStr">
        <is>
          <t>0                      DC 0611000I  27                 B  613         1971</t>
        </is>
      </c>
      <c r="D481" t="inlineStr">
        <is>
          <t>The Ile-de-France; the country around Paris. Translated by J. E. Anderson.</t>
        </is>
      </c>
      <c r="F481" t="inlineStr">
        <is>
          <t>No</t>
        </is>
      </c>
      <c r="G481" t="inlineStr">
        <is>
          <t>1</t>
        </is>
      </c>
      <c r="H481" t="inlineStr">
        <is>
          <t>No</t>
        </is>
      </c>
      <c r="I481" t="inlineStr">
        <is>
          <t>No</t>
        </is>
      </c>
      <c r="J481" t="inlineStr">
        <is>
          <t>0</t>
        </is>
      </c>
      <c r="K481" t="inlineStr">
        <is>
          <t>Bloch, Marc, 1886-1944.</t>
        </is>
      </c>
      <c r="L481" t="inlineStr">
        <is>
          <t>Ithaca, N.Y., Cornell University Press [1971]</t>
        </is>
      </c>
      <c r="M481" t="inlineStr">
        <is>
          <t>1971</t>
        </is>
      </c>
      <c r="O481" t="inlineStr">
        <is>
          <t>eng</t>
        </is>
      </c>
      <c r="P481" t="inlineStr">
        <is>
          <t>nyu</t>
        </is>
      </c>
      <c r="R481" t="inlineStr">
        <is>
          <t xml:space="preserve">DC </t>
        </is>
      </c>
      <c r="S481" t="n">
        <v>1</v>
      </c>
      <c r="T481" t="n">
        <v>1</v>
      </c>
      <c r="U481" t="inlineStr">
        <is>
          <t>2006-09-13</t>
        </is>
      </c>
      <c r="V481" t="inlineStr">
        <is>
          <t>2006-09-13</t>
        </is>
      </c>
      <c r="W481" t="inlineStr">
        <is>
          <t>1996-11-20</t>
        </is>
      </c>
      <c r="X481" t="inlineStr">
        <is>
          <t>1996-11-20</t>
        </is>
      </c>
      <c r="Y481" t="n">
        <v>474</v>
      </c>
      <c r="Z481" t="n">
        <v>445</v>
      </c>
      <c r="AA481" t="n">
        <v>520</v>
      </c>
      <c r="AB481" t="n">
        <v>4</v>
      </c>
      <c r="AC481" t="n">
        <v>4</v>
      </c>
      <c r="AD481" t="n">
        <v>23</v>
      </c>
      <c r="AE481" t="n">
        <v>24</v>
      </c>
      <c r="AF481" t="n">
        <v>6</v>
      </c>
      <c r="AG481" t="n">
        <v>7</v>
      </c>
      <c r="AH481" t="n">
        <v>7</v>
      </c>
      <c r="AI481" t="n">
        <v>7</v>
      </c>
      <c r="AJ481" t="n">
        <v>13</v>
      </c>
      <c r="AK481" t="n">
        <v>14</v>
      </c>
      <c r="AL481" t="n">
        <v>3</v>
      </c>
      <c r="AM481" t="n">
        <v>3</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HYPERLINK("https://creighton-primo.hosted.exlibrisgroup.com/primo-explore/search?tab=default_tab&amp;search_scope=EVERYTHING&amp;vid=01CRU&amp;lang=en_US&amp;offset=0&amp;query=any,contains,991000805579702656","Catalog Record")</f>
        <v/>
      </c>
      <c r="AT481">
        <f>HYPERLINK("http://www.worldcat.org/oclc/140600","WorldCat Record")</f>
        <v/>
      </c>
      <c r="AU481" t="inlineStr">
        <is>
          <t>1303029:eng</t>
        </is>
      </c>
      <c r="AV481" t="inlineStr">
        <is>
          <t>140600</t>
        </is>
      </c>
      <c r="AW481" t="inlineStr">
        <is>
          <t>991000805579702656</t>
        </is>
      </c>
      <c r="AX481" t="inlineStr">
        <is>
          <t>991000805579702656</t>
        </is>
      </c>
      <c r="AY481" t="inlineStr">
        <is>
          <t>2255700580002656</t>
        </is>
      </c>
      <c r="AZ481" t="inlineStr">
        <is>
          <t>BOOK</t>
        </is>
      </c>
      <c r="BB481" t="inlineStr">
        <is>
          <t>9780801406409</t>
        </is>
      </c>
      <c r="BC481" t="inlineStr">
        <is>
          <t>32285002380847</t>
        </is>
      </c>
      <c r="BD481" t="inlineStr">
        <is>
          <t>893602075</t>
        </is>
      </c>
    </row>
    <row r="482">
      <c r="A482" t="inlineStr">
        <is>
          <t>No</t>
        </is>
      </c>
      <c r="B482" t="inlineStr">
        <is>
          <t>DC611.L81 M6713 1997</t>
        </is>
      </c>
      <c r="C482" t="inlineStr">
        <is>
          <t>0                      DC 0611000L  81                 M  6713        1997</t>
        </is>
      </c>
      <c r="D482" t="inlineStr">
        <is>
          <t>Châteaux of the Loire / photographs by Axel M. Mosler ; text by Thorsten Droste ; [translated into English by Isabel Varea].</t>
        </is>
      </c>
      <c r="F482" t="inlineStr">
        <is>
          <t>No</t>
        </is>
      </c>
      <c r="G482" t="inlineStr">
        <is>
          <t>1</t>
        </is>
      </c>
      <c r="H482" t="inlineStr">
        <is>
          <t>No</t>
        </is>
      </c>
      <c r="I482" t="inlineStr">
        <is>
          <t>No</t>
        </is>
      </c>
      <c r="J482" t="inlineStr">
        <is>
          <t>0</t>
        </is>
      </c>
      <c r="K482" t="inlineStr">
        <is>
          <t>Mosler, Axel M., 1953-</t>
        </is>
      </c>
      <c r="L482" t="inlineStr">
        <is>
          <t>London ; New York : Tauris Parke Books, 1997.</t>
        </is>
      </c>
      <c r="M482" t="inlineStr">
        <is>
          <t>1997</t>
        </is>
      </c>
      <c r="O482" t="inlineStr">
        <is>
          <t>eng</t>
        </is>
      </c>
      <c r="P482" t="inlineStr">
        <is>
          <t>enk</t>
        </is>
      </c>
      <c r="R482" t="inlineStr">
        <is>
          <t xml:space="preserve">DC </t>
        </is>
      </c>
      <c r="S482" t="n">
        <v>1</v>
      </c>
      <c r="T482" t="n">
        <v>1</v>
      </c>
      <c r="U482" t="inlineStr">
        <is>
          <t>2010-05-06</t>
        </is>
      </c>
      <c r="V482" t="inlineStr">
        <is>
          <t>2010-05-06</t>
        </is>
      </c>
      <c r="W482" t="inlineStr">
        <is>
          <t>2010-05-06</t>
        </is>
      </c>
      <c r="X482" t="inlineStr">
        <is>
          <t>2010-05-06</t>
        </is>
      </c>
      <c r="Y482" t="n">
        <v>130</v>
      </c>
      <c r="Z482" t="n">
        <v>111</v>
      </c>
      <c r="AA482" t="n">
        <v>112</v>
      </c>
      <c r="AB482" t="n">
        <v>1</v>
      </c>
      <c r="AC482" t="n">
        <v>1</v>
      </c>
      <c r="AD482" t="n">
        <v>2</v>
      </c>
      <c r="AE482" t="n">
        <v>2</v>
      </c>
      <c r="AF482" t="n">
        <v>0</v>
      </c>
      <c r="AG482" t="n">
        <v>0</v>
      </c>
      <c r="AH482" t="n">
        <v>1</v>
      </c>
      <c r="AI482" t="n">
        <v>1</v>
      </c>
      <c r="AJ482" t="n">
        <v>1</v>
      </c>
      <c r="AK482" t="n">
        <v>1</v>
      </c>
      <c r="AL482" t="n">
        <v>0</v>
      </c>
      <c r="AM482" t="n">
        <v>0</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HYPERLINK("https://creighton-primo.hosted.exlibrisgroup.com/primo-explore/search?tab=default_tab&amp;search_scope=EVERYTHING&amp;vid=01CRU&amp;lang=en_US&amp;offset=0&amp;query=any,contains,991005394489702656","Catalog Record")</f>
        <v/>
      </c>
      <c r="AT482">
        <f>HYPERLINK("http://www.worldcat.org/oclc/38059591","WorldCat Record")</f>
        <v/>
      </c>
      <c r="AU482" t="inlineStr">
        <is>
          <t>2973852888:eng</t>
        </is>
      </c>
      <c r="AV482" t="inlineStr">
        <is>
          <t>38059591</t>
        </is>
      </c>
      <c r="AW482" t="inlineStr">
        <is>
          <t>991005394489702656</t>
        </is>
      </c>
      <c r="AX482" t="inlineStr">
        <is>
          <t>991005394489702656</t>
        </is>
      </c>
      <c r="AY482" t="inlineStr">
        <is>
          <t>2260075810002656</t>
        </is>
      </c>
      <c r="AZ482" t="inlineStr">
        <is>
          <t>BOOK</t>
        </is>
      </c>
      <c r="BB482" t="inlineStr">
        <is>
          <t>9781860641640</t>
        </is>
      </c>
      <c r="BC482" t="inlineStr">
        <is>
          <t>32285005581425</t>
        </is>
      </c>
      <c r="BD482" t="inlineStr">
        <is>
          <t>893514655</t>
        </is>
      </c>
    </row>
    <row r="483">
      <c r="A483" t="inlineStr">
        <is>
          <t>No</t>
        </is>
      </c>
      <c r="B483" t="inlineStr">
        <is>
          <t>DC611.N862 L6 2007</t>
        </is>
      </c>
      <c r="C483" t="inlineStr">
        <is>
          <t>0                      DC 0611000N  862                L  6           2007</t>
        </is>
      </c>
      <c r="D483" t="inlineStr">
        <is>
          <t>Adela of Blois : countess and lord (c.1067-1137) / Kimberly A. LoPrete.</t>
        </is>
      </c>
      <c r="F483" t="inlineStr">
        <is>
          <t>No</t>
        </is>
      </c>
      <c r="G483" t="inlineStr">
        <is>
          <t>1</t>
        </is>
      </c>
      <c r="H483" t="inlineStr">
        <is>
          <t>No</t>
        </is>
      </c>
      <c r="I483" t="inlineStr">
        <is>
          <t>No</t>
        </is>
      </c>
      <c r="J483" t="inlineStr">
        <is>
          <t>0</t>
        </is>
      </c>
      <c r="K483" t="inlineStr">
        <is>
          <t>LoPrete, Kimberly A., 1955-</t>
        </is>
      </c>
      <c r="L483" t="inlineStr">
        <is>
          <t>Dublin : Four Courts Press, c2007.</t>
        </is>
      </c>
      <c r="M483" t="inlineStr">
        <is>
          <t>2007</t>
        </is>
      </c>
      <c r="O483" t="inlineStr">
        <is>
          <t>eng</t>
        </is>
      </c>
      <c r="P483" t="inlineStr">
        <is>
          <t xml:space="preserve">ie </t>
        </is>
      </c>
      <c r="R483" t="inlineStr">
        <is>
          <t xml:space="preserve">DC </t>
        </is>
      </c>
      <c r="S483" t="n">
        <v>2</v>
      </c>
      <c r="T483" t="n">
        <v>2</v>
      </c>
      <c r="U483" t="inlineStr">
        <is>
          <t>2008-09-12</t>
        </is>
      </c>
      <c r="V483" t="inlineStr">
        <is>
          <t>2008-09-12</t>
        </is>
      </c>
      <c r="W483" t="inlineStr">
        <is>
          <t>2008-08-27</t>
        </is>
      </c>
      <c r="X483" t="inlineStr">
        <is>
          <t>2008-08-27</t>
        </is>
      </c>
      <c r="Y483" t="n">
        <v>221</v>
      </c>
      <c r="Z483" t="n">
        <v>170</v>
      </c>
      <c r="AA483" t="n">
        <v>172</v>
      </c>
      <c r="AB483" t="n">
        <v>1</v>
      </c>
      <c r="AC483" t="n">
        <v>1</v>
      </c>
      <c r="AD483" t="n">
        <v>13</v>
      </c>
      <c r="AE483" t="n">
        <v>13</v>
      </c>
      <c r="AF483" t="n">
        <v>5</v>
      </c>
      <c r="AG483" t="n">
        <v>5</v>
      </c>
      <c r="AH483" t="n">
        <v>4</v>
      </c>
      <c r="AI483" t="n">
        <v>4</v>
      </c>
      <c r="AJ483" t="n">
        <v>9</v>
      </c>
      <c r="AK483" t="n">
        <v>9</v>
      </c>
      <c r="AL483" t="n">
        <v>0</v>
      </c>
      <c r="AM483" t="n">
        <v>0</v>
      </c>
      <c r="AN483" t="n">
        <v>0</v>
      </c>
      <c r="AO483" t="n">
        <v>0</v>
      </c>
      <c r="AP483" t="inlineStr">
        <is>
          <t>No</t>
        </is>
      </c>
      <c r="AQ483" t="inlineStr">
        <is>
          <t>Yes</t>
        </is>
      </c>
      <c r="AR483">
        <f>HYPERLINK("http://catalog.hathitrust.org/Record/005549147","HathiTrust Record")</f>
        <v/>
      </c>
      <c r="AS483">
        <f>HYPERLINK("https://creighton-primo.hosted.exlibrisgroup.com/primo-explore/search?tab=default_tab&amp;search_scope=EVERYTHING&amp;vid=01CRU&amp;lang=en_US&amp;offset=0&amp;query=any,contains,991005256009702656","Catalog Record")</f>
        <v/>
      </c>
      <c r="AT483">
        <f>HYPERLINK("http://www.worldcat.org/oclc/77790883","WorldCat Record")</f>
        <v/>
      </c>
      <c r="AU483" t="inlineStr">
        <is>
          <t>63318151:eng</t>
        </is>
      </c>
      <c r="AV483" t="inlineStr">
        <is>
          <t>77790883</t>
        </is>
      </c>
      <c r="AW483" t="inlineStr">
        <is>
          <t>991005256009702656</t>
        </is>
      </c>
      <c r="AX483" t="inlineStr">
        <is>
          <t>991005256009702656</t>
        </is>
      </c>
      <c r="AY483" t="inlineStr">
        <is>
          <t>2263036610002656</t>
        </is>
      </c>
      <c r="AZ483" t="inlineStr">
        <is>
          <t>BOOK</t>
        </is>
      </c>
      <c r="BB483" t="inlineStr">
        <is>
          <t>9781851825639</t>
        </is>
      </c>
      <c r="BC483" t="inlineStr">
        <is>
          <t>32285005456396</t>
        </is>
      </c>
      <c r="BD483" t="inlineStr">
        <is>
          <t>893320332</t>
        </is>
      </c>
    </row>
    <row r="484">
      <c r="A484" t="inlineStr">
        <is>
          <t>No</t>
        </is>
      </c>
      <c r="B484" t="inlineStr">
        <is>
          <t>DC611.P42 T46 2002</t>
        </is>
      </c>
      <c r="C484" t="inlineStr">
        <is>
          <t>0                      DC 0611000P  42                 T  46          2002</t>
        </is>
      </c>
      <c r="D484" t="inlineStr">
        <is>
          <t>Power and border lordship in medieval France : the county of the Perche, 1000-1226 / Kathleen Thompson.</t>
        </is>
      </c>
      <c r="F484" t="inlineStr">
        <is>
          <t>No</t>
        </is>
      </c>
      <c r="G484" t="inlineStr">
        <is>
          <t>1</t>
        </is>
      </c>
      <c r="H484" t="inlineStr">
        <is>
          <t>No</t>
        </is>
      </c>
      <c r="I484" t="inlineStr">
        <is>
          <t>No</t>
        </is>
      </c>
      <c r="J484" t="inlineStr">
        <is>
          <t>0</t>
        </is>
      </c>
      <c r="K484" t="inlineStr">
        <is>
          <t>Thompson, Kathleen, 1951-</t>
        </is>
      </c>
      <c r="L484" t="inlineStr">
        <is>
          <t>Woodbridge, Suffolk, U.K. : Royal Historical Society ; Rochester, N.Y. : Boydell Press, 2002.</t>
        </is>
      </c>
      <c r="M484" t="inlineStr">
        <is>
          <t>2002</t>
        </is>
      </c>
      <c r="O484" t="inlineStr">
        <is>
          <t>eng</t>
        </is>
      </c>
      <c r="P484" t="inlineStr">
        <is>
          <t>enk</t>
        </is>
      </c>
      <c r="Q484" t="inlineStr">
        <is>
          <t>Royal Historical Society studies in history. New series</t>
        </is>
      </c>
      <c r="R484" t="inlineStr">
        <is>
          <t xml:space="preserve">DC </t>
        </is>
      </c>
      <c r="S484" t="n">
        <v>2</v>
      </c>
      <c r="T484" t="n">
        <v>2</v>
      </c>
      <c r="U484" t="inlineStr">
        <is>
          <t>2004-01-19</t>
        </is>
      </c>
      <c r="V484" t="inlineStr">
        <is>
          <t>2004-01-19</t>
        </is>
      </c>
      <c r="W484" t="inlineStr">
        <is>
          <t>2003-12-15</t>
        </is>
      </c>
      <c r="X484" t="inlineStr">
        <is>
          <t>2003-12-15</t>
        </is>
      </c>
      <c r="Y484" t="n">
        <v>190</v>
      </c>
      <c r="Z484" t="n">
        <v>123</v>
      </c>
      <c r="AA484" t="n">
        <v>128</v>
      </c>
      <c r="AB484" t="n">
        <v>2</v>
      </c>
      <c r="AC484" t="n">
        <v>2</v>
      </c>
      <c r="AD484" t="n">
        <v>10</v>
      </c>
      <c r="AE484" t="n">
        <v>10</v>
      </c>
      <c r="AF484" t="n">
        <v>4</v>
      </c>
      <c r="AG484" t="n">
        <v>4</v>
      </c>
      <c r="AH484" t="n">
        <v>4</v>
      </c>
      <c r="AI484" t="n">
        <v>4</v>
      </c>
      <c r="AJ484" t="n">
        <v>6</v>
      </c>
      <c r="AK484" t="n">
        <v>6</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HYPERLINK("https://creighton-primo.hosted.exlibrisgroup.com/primo-explore/search?tab=default_tab&amp;search_scope=EVERYTHING&amp;vid=01CRU&amp;lang=en_US&amp;offset=0&amp;query=any,contains,991004155599702656","Catalog Record")</f>
        <v/>
      </c>
      <c r="AT484">
        <f>HYPERLINK("http://www.worldcat.org/oclc/47243867","WorldCat Record")</f>
        <v/>
      </c>
      <c r="AU484" t="inlineStr">
        <is>
          <t>479062672:eng</t>
        </is>
      </c>
      <c r="AV484" t="inlineStr">
        <is>
          <t>47243867</t>
        </is>
      </c>
      <c r="AW484" t="inlineStr">
        <is>
          <t>991004155599702656</t>
        </is>
      </c>
      <c r="AX484" t="inlineStr">
        <is>
          <t>991004155599702656</t>
        </is>
      </c>
      <c r="AY484" t="inlineStr">
        <is>
          <t>2263525960002656</t>
        </is>
      </c>
      <c r="AZ484" t="inlineStr">
        <is>
          <t>BOOK</t>
        </is>
      </c>
      <c r="BB484" t="inlineStr">
        <is>
          <t>9780861932542</t>
        </is>
      </c>
      <c r="BC484" t="inlineStr">
        <is>
          <t>32285004847017</t>
        </is>
      </c>
      <c r="BD484" t="inlineStr">
        <is>
          <t>893687433</t>
        </is>
      </c>
    </row>
    <row r="485">
      <c r="A485" t="inlineStr">
        <is>
          <t>No</t>
        </is>
      </c>
      <c r="B485" t="inlineStr">
        <is>
          <t>DC611.P958 C2</t>
        </is>
      </c>
      <c r="C485" t="inlineStr">
        <is>
          <t>0                      DC 0611000P  958                C  2</t>
        </is>
      </c>
      <c r="D485" t="inlineStr">
        <is>
          <t>Romantic cities of Provence. Illustrated from sketches by Joseph Pennell and Edward M. Synge.</t>
        </is>
      </c>
      <c r="F485" t="inlineStr">
        <is>
          <t>No</t>
        </is>
      </c>
      <c r="G485" t="inlineStr">
        <is>
          <t>1</t>
        </is>
      </c>
      <c r="H485" t="inlineStr">
        <is>
          <t>No</t>
        </is>
      </c>
      <c r="I485" t="inlineStr">
        <is>
          <t>No</t>
        </is>
      </c>
      <c r="J485" t="inlineStr">
        <is>
          <t>0</t>
        </is>
      </c>
      <c r="K485" t="inlineStr">
        <is>
          <t>Caird, Mona.</t>
        </is>
      </c>
      <c r="L485" t="inlineStr">
        <is>
          <t>London, Unwin, 1906.</t>
        </is>
      </c>
      <c r="M485" t="inlineStr">
        <is>
          <t>1906</t>
        </is>
      </c>
      <c r="O485" t="inlineStr">
        <is>
          <t>eng</t>
        </is>
      </c>
      <c r="P485" t="inlineStr">
        <is>
          <t>enk</t>
        </is>
      </c>
      <c r="R485" t="inlineStr">
        <is>
          <t xml:space="preserve">DC </t>
        </is>
      </c>
      <c r="S485" t="n">
        <v>3</v>
      </c>
      <c r="T485" t="n">
        <v>3</v>
      </c>
      <c r="U485" t="inlineStr">
        <is>
          <t>2000-01-05</t>
        </is>
      </c>
      <c r="V485" t="inlineStr">
        <is>
          <t>2000-01-05</t>
        </is>
      </c>
      <c r="W485" t="inlineStr">
        <is>
          <t>1996-11-20</t>
        </is>
      </c>
      <c r="X485" t="inlineStr">
        <is>
          <t>1996-11-20</t>
        </is>
      </c>
      <c r="Y485" t="n">
        <v>58</v>
      </c>
      <c r="Z485" t="n">
        <v>55</v>
      </c>
      <c r="AA485" t="n">
        <v>118</v>
      </c>
      <c r="AB485" t="n">
        <v>1</v>
      </c>
      <c r="AC485" t="n">
        <v>1</v>
      </c>
      <c r="AD485" t="n">
        <v>0</v>
      </c>
      <c r="AE485" t="n">
        <v>4</v>
      </c>
      <c r="AF485" t="n">
        <v>0</v>
      </c>
      <c r="AG485" t="n">
        <v>1</v>
      </c>
      <c r="AH485" t="n">
        <v>0</v>
      </c>
      <c r="AI485" t="n">
        <v>1</v>
      </c>
      <c r="AJ485" t="n">
        <v>0</v>
      </c>
      <c r="AK485" t="n">
        <v>3</v>
      </c>
      <c r="AL485" t="n">
        <v>0</v>
      </c>
      <c r="AM485" t="n">
        <v>0</v>
      </c>
      <c r="AN485" t="n">
        <v>0</v>
      </c>
      <c r="AO485" t="n">
        <v>0</v>
      </c>
      <c r="AP485" t="inlineStr">
        <is>
          <t>Yes</t>
        </is>
      </c>
      <c r="AQ485" t="inlineStr">
        <is>
          <t>No</t>
        </is>
      </c>
      <c r="AR485">
        <f>HYPERLINK("http://catalog.hathitrust.org/Record/006126424","HathiTrust Record")</f>
        <v/>
      </c>
      <c r="AS485">
        <f>HYPERLINK("https://creighton-primo.hosted.exlibrisgroup.com/primo-explore/search?tab=default_tab&amp;search_scope=EVERYTHING&amp;vid=01CRU&amp;lang=en_US&amp;offset=0&amp;query=any,contains,991001668999702656","Catalog Record")</f>
        <v/>
      </c>
      <c r="AT485">
        <f>HYPERLINK("http://www.worldcat.org/oclc/2952740","WorldCat Record")</f>
        <v/>
      </c>
      <c r="AU485" t="inlineStr">
        <is>
          <t>6421044:eng</t>
        </is>
      </c>
      <c r="AV485" t="inlineStr">
        <is>
          <t>2952740</t>
        </is>
      </c>
      <c r="AW485" t="inlineStr">
        <is>
          <t>991001668999702656</t>
        </is>
      </c>
      <c r="AX485" t="inlineStr">
        <is>
          <t>991001668999702656</t>
        </is>
      </c>
      <c r="AY485" t="inlineStr">
        <is>
          <t>2264419690002656</t>
        </is>
      </c>
      <c r="AZ485" t="inlineStr">
        <is>
          <t>BOOK</t>
        </is>
      </c>
      <c r="BC485" t="inlineStr">
        <is>
          <t>32285002380888</t>
        </is>
      </c>
      <c r="BD485" t="inlineStr">
        <is>
          <t>893897962</t>
        </is>
      </c>
    </row>
    <row r="486">
      <c r="A486" t="inlineStr">
        <is>
          <t>No</t>
        </is>
      </c>
      <c r="B486" t="inlineStr">
        <is>
          <t>DC611.P958 P65 1988</t>
        </is>
      </c>
      <c r="C486" t="inlineStr">
        <is>
          <t>0                      DC 0611000P  958                P  65          1988</t>
        </is>
      </c>
      <c r="D486" t="inlineStr">
        <is>
          <t>Aspects of Provence / James Pope-Hennessy.</t>
        </is>
      </c>
      <c r="F486" t="inlineStr">
        <is>
          <t>No</t>
        </is>
      </c>
      <c r="G486" t="inlineStr">
        <is>
          <t>1</t>
        </is>
      </c>
      <c r="H486" t="inlineStr">
        <is>
          <t>No</t>
        </is>
      </c>
      <c r="I486" t="inlineStr">
        <is>
          <t>No</t>
        </is>
      </c>
      <c r="J486" t="inlineStr">
        <is>
          <t>0</t>
        </is>
      </c>
      <c r="K486" t="inlineStr">
        <is>
          <t>Pope-Hennessy, James.</t>
        </is>
      </c>
      <c r="L486" t="inlineStr">
        <is>
          <t>London : Penguin, 1988, c1952.</t>
        </is>
      </c>
      <c r="M486" t="inlineStr">
        <is>
          <t>1988</t>
        </is>
      </c>
      <c r="O486" t="inlineStr">
        <is>
          <t>eng</t>
        </is>
      </c>
      <c r="P486" t="inlineStr">
        <is>
          <t>enk</t>
        </is>
      </c>
      <c r="Q486" t="inlineStr">
        <is>
          <t>Penguin travel library</t>
        </is>
      </c>
      <c r="R486" t="inlineStr">
        <is>
          <t xml:space="preserve">DC </t>
        </is>
      </c>
      <c r="S486" t="n">
        <v>2</v>
      </c>
      <c r="T486" t="n">
        <v>2</v>
      </c>
      <c r="U486" t="inlineStr">
        <is>
          <t>2004-01-05</t>
        </is>
      </c>
      <c r="V486" t="inlineStr">
        <is>
          <t>2004-01-05</t>
        </is>
      </c>
      <c r="W486" t="inlineStr">
        <is>
          <t>2001-07-11</t>
        </is>
      </c>
      <c r="X486" t="inlineStr">
        <is>
          <t>2001-07-11</t>
        </is>
      </c>
      <c r="Y486" t="n">
        <v>38</v>
      </c>
      <c r="Z486" t="n">
        <v>24</v>
      </c>
      <c r="AA486" t="n">
        <v>274</v>
      </c>
      <c r="AB486" t="n">
        <v>1</v>
      </c>
      <c r="AC486" t="n">
        <v>2</v>
      </c>
      <c r="AD486" t="n">
        <v>0</v>
      </c>
      <c r="AE486" t="n">
        <v>10</v>
      </c>
      <c r="AF486" t="n">
        <v>0</v>
      </c>
      <c r="AG486" t="n">
        <v>4</v>
      </c>
      <c r="AH486" t="n">
        <v>0</v>
      </c>
      <c r="AI486" t="n">
        <v>2</v>
      </c>
      <c r="AJ486" t="n">
        <v>0</v>
      </c>
      <c r="AK486" t="n">
        <v>8</v>
      </c>
      <c r="AL486" t="n">
        <v>0</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HYPERLINK("https://creighton-primo.hosted.exlibrisgroup.com/primo-explore/search?tab=default_tab&amp;search_scope=EVERYTHING&amp;vid=01CRU&amp;lang=en_US&amp;offset=0&amp;query=any,contains,991003565099702656","Catalog Record")</f>
        <v/>
      </c>
      <c r="AT486">
        <f>HYPERLINK("http://www.worldcat.org/oclc/18961350","WorldCat Record")</f>
        <v/>
      </c>
      <c r="AU486" t="inlineStr">
        <is>
          <t>2103073:eng</t>
        </is>
      </c>
      <c r="AV486" t="inlineStr">
        <is>
          <t>18961350</t>
        </is>
      </c>
      <c r="AW486" t="inlineStr">
        <is>
          <t>991003565099702656</t>
        </is>
      </c>
      <c r="AX486" t="inlineStr">
        <is>
          <t>991003565099702656</t>
        </is>
      </c>
      <c r="AY486" t="inlineStr">
        <is>
          <t>2261925700002656</t>
        </is>
      </c>
      <c r="AZ486" t="inlineStr">
        <is>
          <t>BOOK</t>
        </is>
      </c>
      <c r="BB486" t="inlineStr">
        <is>
          <t>9780140095821</t>
        </is>
      </c>
      <c r="BC486" t="inlineStr">
        <is>
          <t>32285004331400</t>
        </is>
      </c>
      <c r="BD486" t="inlineStr">
        <is>
          <t>893246491</t>
        </is>
      </c>
    </row>
    <row r="487">
      <c r="A487" t="inlineStr">
        <is>
          <t>No</t>
        </is>
      </c>
      <c r="B487" t="inlineStr">
        <is>
          <t>DC611.T734 C7 1897</t>
        </is>
      </c>
      <c r="C487" t="inlineStr">
        <is>
          <t>0                      DC 0611000T  734                C  7           1897</t>
        </is>
      </c>
      <c r="D487" t="inlineStr">
        <is>
          <t>Old Touraine : the life and history of the famous chateâux of France / by Theodore Andrea Cook.</t>
        </is>
      </c>
      <c r="F487" t="inlineStr">
        <is>
          <t>Yes</t>
        </is>
      </c>
      <c r="G487" t="inlineStr">
        <is>
          <t>1</t>
        </is>
      </c>
      <c r="H487" t="inlineStr">
        <is>
          <t>No</t>
        </is>
      </c>
      <c r="I487" t="inlineStr">
        <is>
          <t>No</t>
        </is>
      </c>
      <c r="J487" t="inlineStr">
        <is>
          <t>0</t>
        </is>
      </c>
      <c r="K487" t="inlineStr">
        <is>
          <t>Cook, Theodore Andrea, 1867-1928.</t>
        </is>
      </c>
      <c r="L487" t="inlineStr">
        <is>
          <t>New York : Brentano's, [1897?]</t>
        </is>
      </c>
      <c r="M487" t="inlineStr">
        <is>
          <t>1897</t>
        </is>
      </c>
      <c r="N487" t="inlineStr">
        <is>
          <t>[3d ed.]</t>
        </is>
      </c>
      <c r="O487" t="inlineStr">
        <is>
          <t>eng</t>
        </is>
      </c>
      <c r="P487" t="inlineStr">
        <is>
          <t>nyu</t>
        </is>
      </c>
      <c r="R487" t="inlineStr">
        <is>
          <t xml:space="preserve">DC </t>
        </is>
      </c>
      <c r="S487" t="n">
        <v>2</v>
      </c>
      <c r="T487" t="n">
        <v>2</v>
      </c>
      <c r="U487" t="inlineStr">
        <is>
          <t>1996-07-07</t>
        </is>
      </c>
      <c r="V487" t="inlineStr">
        <is>
          <t>1996-07-07</t>
        </is>
      </c>
      <c r="W487" t="inlineStr">
        <is>
          <t>1991-01-16</t>
        </is>
      </c>
      <c r="X487" t="inlineStr">
        <is>
          <t>1991-01-16</t>
        </is>
      </c>
      <c r="Y487" t="n">
        <v>14</v>
      </c>
      <c r="Z487" t="n">
        <v>13</v>
      </c>
      <c r="AA487" t="n">
        <v>270</v>
      </c>
      <c r="AB487" t="n">
        <v>1</v>
      </c>
      <c r="AC487" t="n">
        <v>3</v>
      </c>
      <c r="AD487" t="n">
        <v>0</v>
      </c>
      <c r="AE487" t="n">
        <v>12</v>
      </c>
      <c r="AF487" t="n">
        <v>0</v>
      </c>
      <c r="AG487" t="n">
        <v>3</v>
      </c>
      <c r="AH487" t="n">
        <v>0</v>
      </c>
      <c r="AI487" t="n">
        <v>5</v>
      </c>
      <c r="AJ487" t="n">
        <v>0</v>
      </c>
      <c r="AK487" t="n">
        <v>6</v>
      </c>
      <c r="AL487" t="n">
        <v>0</v>
      </c>
      <c r="AM487" t="n">
        <v>2</v>
      </c>
      <c r="AN487" t="n">
        <v>0</v>
      </c>
      <c r="AO487" t="n">
        <v>0</v>
      </c>
      <c r="AP487" t="inlineStr">
        <is>
          <t>Yes</t>
        </is>
      </c>
      <c r="AQ487" t="inlineStr">
        <is>
          <t>No</t>
        </is>
      </c>
      <c r="AR487">
        <f>HYPERLINK("http://catalog.hathitrust.org/Record/011158739","HathiTrust Record")</f>
        <v/>
      </c>
      <c r="AS487">
        <f>HYPERLINK("https://creighton-primo.hosted.exlibrisgroup.com/primo-explore/search?tab=default_tab&amp;search_scope=EVERYTHING&amp;vid=01CRU&amp;lang=en_US&amp;offset=0&amp;query=any,contains,991004542149702656","Catalog Record")</f>
        <v/>
      </c>
      <c r="AT487">
        <f>HYPERLINK("http://www.worldcat.org/oclc/3899363","WorldCat Record")</f>
        <v/>
      </c>
      <c r="AU487" t="inlineStr">
        <is>
          <t>1745038:eng</t>
        </is>
      </c>
      <c r="AV487" t="inlineStr">
        <is>
          <t>3899363</t>
        </is>
      </c>
      <c r="AW487" t="inlineStr">
        <is>
          <t>991004542149702656</t>
        </is>
      </c>
      <c r="AX487" t="inlineStr">
        <is>
          <t>991004542149702656</t>
        </is>
      </c>
      <c r="AY487" t="inlineStr">
        <is>
          <t>2269502650002656</t>
        </is>
      </c>
      <c r="AZ487" t="inlineStr">
        <is>
          <t>BOOK</t>
        </is>
      </c>
      <c r="BC487" t="inlineStr">
        <is>
          <t>32285000455344</t>
        </is>
      </c>
      <c r="BD487" t="inlineStr">
        <is>
          <t>893776134</t>
        </is>
      </c>
    </row>
    <row r="488">
      <c r="A488" t="inlineStr">
        <is>
          <t>No</t>
        </is>
      </c>
      <c r="B488" t="inlineStr">
        <is>
          <t>DC62.C2 L6</t>
        </is>
      </c>
      <c r="C488" t="inlineStr">
        <is>
          <t>0                      DC 0062000C  2                  L  6</t>
        </is>
      </c>
      <c r="D488" t="inlineStr">
        <is>
          <t>Caesar's Gallic war, tr. by the Rev. F. P. Long.</t>
        </is>
      </c>
      <c r="F488" t="inlineStr">
        <is>
          <t>No</t>
        </is>
      </c>
      <c r="G488" t="inlineStr">
        <is>
          <t>1</t>
        </is>
      </c>
      <c r="H488" t="inlineStr">
        <is>
          <t>No</t>
        </is>
      </c>
      <c r="I488" t="inlineStr">
        <is>
          <t>Yes</t>
        </is>
      </c>
      <c r="J488" t="inlineStr">
        <is>
          <t>0</t>
        </is>
      </c>
      <c r="K488" t="inlineStr">
        <is>
          <t>Caesar, Julius.</t>
        </is>
      </c>
      <c r="L488" t="inlineStr">
        <is>
          <t>Oxford, The Clarendon Press, 1911.</t>
        </is>
      </c>
      <c r="M488" t="inlineStr">
        <is>
          <t>1911</t>
        </is>
      </c>
      <c r="O488" t="inlineStr">
        <is>
          <t>eng</t>
        </is>
      </c>
      <c r="P488" t="inlineStr">
        <is>
          <t xml:space="preserve">xx </t>
        </is>
      </c>
      <c r="R488" t="inlineStr">
        <is>
          <t xml:space="preserve">DC </t>
        </is>
      </c>
      <c r="S488" t="n">
        <v>10</v>
      </c>
      <c r="T488" t="n">
        <v>10</v>
      </c>
      <c r="U488" t="inlineStr">
        <is>
          <t>2005-02-01</t>
        </is>
      </c>
      <c r="V488" t="inlineStr">
        <is>
          <t>2005-02-01</t>
        </is>
      </c>
      <c r="W488" t="inlineStr">
        <is>
          <t>1996-10-28</t>
        </is>
      </c>
      <c r="X488" t="inlineStr">
        <is>
          <t>1996-10-28</t>
        </is>
      </c>
      <c r="Y488" t="n">
        <v>54</v>
      </c>
      <c r="Z488" t="n">
        <v>37</v>
      </c>
      <c r="AA488" t="n">
        <v>2019</v>
      </c>
      <c r="AB488" t="n">
        <v>1</v>
      </c>
      <c r="AC488" t="n">
        <v>14</v>
      </c>
      <c r="AD488" t="n">
        <v>1</v>
      </c>
      <c r="AE488" t="n">
        <v>55</v>
      </c>
      <c r="AF488" t="n">
        <v>0</v>
      </c>
      <c r="AG488" t="n">
        <v>23</v>
      </c>
      <c r="AH488" t="n">
        <v>0</v>
      </c>
      <c r="AI488" t="n">
        <v>11</v>
      </c>
      <c r="AJ488" t="n">
        <v>1</v>
      </c>
      <c r="AK488" t="n">
        <v>27</v>
      </c>
      <c r="AL488" t="n">
        <v>0</v>
      </c>
      <c r="AM488" t="n">
        <v>8</v>
      </c>
      <c r="AN488" t="n">
        <v>0</v>
      </c>
      <c r="AO488" t="n">
        <v>0</v>
      </c>
      <c r="AP488" t="inlineStr">
        <is>
          <t>Yes</t>
        </is>
      </c>
      <c r="AQ488" t="inlineStr">
        <is>
          <t>No</t>
        </is>
      </c>
      <c r="AR488">
        <f>HYPERLINK("http://catalog.hathitrust.org/Record/011682489","HathiTrust Record")</f>
        <v/>
      </c>
      <c r="AS488">
        <f>HYPERLINK("https://creighton-primo.hosted.exlibrisgroup.com/primo-explore/search?tab=default_tab&amp;search_scope=EVERYTHING&amp;vid=01CRU&amp;lang=en_US&amp;offset=0&amp;query=any,contains,991005077309702656","Catalog Record")</f>
        <v/>
      </c>
      <c r="AT488">
        <f>HYPERLINK("http://www.worldcat.org/oclc/7143158","WorldCat Record")</f>
        <v/>
      </c>
      <c r="AU488" t="inlineStr">
        <is>
          <t>4575176151:eng</t>
        </is>
      </c>
      <c r="AV488" t="inlineStr">
        <is>
          <t>7143158</t>
        </is>
      </c>
      <c r="AW488" t="inlineStr">
        <is>
          <t>991005077309702656</t>
        </is>
      </c>
      <c r="AX488" t="inlineStr">
        <is>
          <t>991005077309702656</t>
        </is>
      </c>
      <c r="AY488" t="inlineStr">
        <is>
          <t>2268822180002656</t>
        </is>
      </c>
      <c r="AZ488" t="inlineStr">
        <is>
          <t>BOOK</t>
        </is>
      </c>
      <c r="BC488" t="inlineStr">
        <is>
          <t>32285002378890</t>
        </is>
      </c>
      <c r="BD488" t="inlineStr">
        <is>
          <t>893236229</t>
        </is>
      </c>
    </row>
    <row r="489">
      <c r="A489" t="inlineStr">
        <is>
          <t>No</t>
        </is>
      </c>
      <c r="B489" t="inlineStr">
        <is>
          <t>DC63 .D38 1998</t>
        </is>
      </c>
      <c r="C489" t="inlineStr">
        <is>
          <t>0                      DC 0063000D  38          1998</t>
        </is>
      </c>
      <c r="D489" t="inlineStr">
        <is>
          <t>Gods, temples, and ritual practices : the transformation of religious ideas and values in Roman Gaul / Ton Derks.</t>
        </is>
      </c>
      <c r="F489" t="inlineStr">
        <is>
          <t>No</t>
        </is>
      </c>
      <c r="G489" t="inlineStr">
        <is>
          <t>1</t>
        </is>
      </c>
      <c r="H489" t="inlineStr">
        <is>
          <t>No</t>
        </is>
      </c>
      <c r="I489" t="inlineStr">
        <is>
          <t>No</t>
        </is>
      </c>
      <c r="J489" t="inlineStr">
        <is>
          <t>0</t>
        </is>
      </c>
      <c r="K489" t="inlineStr">
        <is>
          <t>Derks, Ton.</t>
        </is>
      </c>
      <c r="L489" t="inlineStr">
        <is>
          <t>Amsterdam : Amsterdam University Press, c1998.</t>
        </is>
      </c>
      <c r="M489" t="inlineStr">
        <is>
          <t>1998</t>
        </is>
      </c>
      <c r="O489" t="inlineStr">
        <is>
          <t>eng</t>
        </is>
      </c>
      <c r="P489" t="inlineStr">
        <is>
          <t xml:space="preserve">ne </t>
        </is>
      </c>
      <c r="Q489" t="inlineStr">
        <is>
          <t>Amsterdam archaeological studies ; 2</t>
        </is>
      </c>
      <c r="R489" t="inlineStr">
        <is>
          <t xml:space="preserve">DC </t>
        </is>
      </c>
      <c r="S489" t="n">
        <v>0</v>
      </c>
      <c r="T489" t="n">
        <v>0</v>
      </c>
      <c r="U489" t="inlineStr">
        <is>
          <t>2002-11-05</t>
        </is>
      </c>
      <c r="V489" t="inlineStr">
        <is>
          <t>2002-11-05</t>
        </is>
      </c>
      <c r="W489" t="inlineStr">
        <is>
          <t>1999-04-21</t>
        </is>
      </c>
      <c r="X489" t="inlineStr">
        <is>
          <t>1999-04-21</t>
        </is>
      </c>
      <c r="Y489" t="n">
        <v>236</v>
      </c>
      <c r="Z489" t="n">
        <v>156</v>
      </c>
      <c r="AA489" t="n">
        <v>156</v>
      </c>
      <c r="AB489" t="n">
        <v>1</v>
      </c>
      <c r="AC489" t="n">
        <v>1</v>
      </c>
      <c r="AD489" t="n">
        <v>12</v>
      </c>
      <c r="AE489" t="n">
        <v>12</v>
      </c>
      <c r="AF489" t="n">
        <v>3</v>
      </c>
      <c r="AG489" t="n">
        <v>3</v>
      </c>
      <c r="AH489" t="n">
        <v>6</v>
      </c>
      <c r="AI489" t="n">
        <v>6</v>
      </c>
      <c r="AJ489" t="n">
        <v>6</v>
      </c>
      <c r="AK489" t="n">
        <v>6</v>
      </c>
      <c r="AL489" t="n">
        <v>0</v>
      </c>
      <c r="AM489" t="n">
        <v>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HYPERLINK("https://creighton-primo.hosted.exlibrisgroup.com/primo-explore/search?tab=default_tab&amp;search_scope=EVERYTHING&amp;vid=01CRU&amp;lang=en_US&amp;offset=0&amp;query=any,contains,991002973149702656","Catalog Record")</f>
        <v/>
      </c>
      <c r="AT489">
        <f>HYPERLINK("http://www.worldcat.org/oclc/39847276","WorldCat Record")</f>
        <v/>
      </c>
      <c r="AU489" t="inlineStr">
        <is>
          <t>807267521:eng</t>
        </is>
      </c>
      <c r="AV489" t="inlineStr">
        <is>
          <t>39847276</t>
        </is>
      </c>
      <c r="AW489" t="inlineStr">
        <is>
          <t>991002973149702656</t>
        </is>
      </c>
      <c r="AX489" t="inlineStr">
        <is>
          <t>991002973149702656</t>
        </is>
      </c>
      <c r="AY489" t="inlineStr">
        <is>
          <t>2270480310002656</t>
        </is>
      </c>
      <c r="AZ489" t="inlineStr">
        <is>
          <t>BOOK</t>
        </is>
      </c>
      <c r="BB489" t="inlineStr">
        <is>
          <t>9789053562543</t>
        </is>
      </c>
      <c r="BC489" t="inlineStr">
        <is>
          <t>32285003554333</t>
        </is>
      </c>
      <c r="BD489" t="inlineStr">
        <is>
          <t>893598123</t>
        </is>
      </c>
    </row>
    <row r="490">
      <c r="A490" t="inlineStr">
        <is>
          <t>No</t>
        </is>
      </c>
      <c r="B490" t="inlineStr">
        <is>
          <t>DC64 .G822</t>
        </is>
      </c>
      <c r="C490" t="inlineStr">
        <is>
          <t>0                      DC 0064000G  822</t>
        </is>
      </c>
      <c r="D490" t="inlineStr">
        <is>
          <t>Histoire des Francs / par Grégoire de Tours.</t>
        </is>
      </c>
      <c r="E490" t="inlineStr">
        <is>
          <t>V.1</t>
        </is>
      </c>
      <c r="F490" t="inlineStr">
        <is>
          <t>Yes</t>
        </is>
      </c>
      <c r="G490" t="inlineStr">
        <is>
          <t>1</t>
        </is>
      </c>
      <c r="H490" t="inlineStr">
        <is>
          <t>No</t>
        </is>
      </c>
      <c r="I490" t="inlineStr">
        <is>
          <t>No</t>
        </is>
      </c>
      <c r="J490" t="inlineStr">
        <is>
          <t>0</t>
        </is>
      </c>
      <c r="K490" t="inlineStr">
        <is>
          <t>Gregory, Bishop of Tours, Saint, 538-594.</t>
        </is>
      </c>
      <c r="L490" t="inlineStr">
        <is>
          <t>Paris : Les Belles Lettres / Denoël, 1963.</t>
        </is>
      </c>
      <c r="M490" t="inlineStr">
        <is>
          <t>1963</t>
        </is>
      </c>
      <c r="O490" t="inlineStr">
        <is>
          <t>fre</t>
        </is>
      </c>
      <c r="P490" t="inlineStr">
        <is>
          <t xml:space="preserve">fr </t>
        </is>
      </c>
      <c r="R490" t="inlineStr">
        <is>
          <t xml:space="preserve">DC </t>
        </is>
      </c>
      <c r="S490" t="n">
        <v>1</v>
      </c>
      <c r="T490" t="n">
        <v>1</v>
      </c>
      <c r="U490" t="inlineStr">
        <is>
          <t>2000-08-28</t>
        </is>
      </c>
      <c r="V490" t="inlineStr">
        <is>
          <t>2000-08-28</t>
        </is>
      </c>
      <c r="W490" t="inlineStr">
        <is>
          <t>1990-11-27</t>
        </is>
      </c>
      <c r="X490" t="inlineStr">
        <is>
          <t>1990-11-27</t>
        </is>
      </c>
      <c r="Y490" t="n">
        <v>158</v>
      </c>
      <c r="Z490" t="n">
        <v>115</v>
      </c>
      <c r="AA490" t="n">
        <v>203</v>
      </c>
      <c r="AB490" t="n">
        <v>3</v>
      </c>
      <c r="AC490" t="n">
        <v>3</v>
      </c>
      <c r="AD490" t="n">
        <v>6</v>
      </c>
      <c r="AE490" t="n">
        <v>12</v>
      </c>
      <c r="AF490" t="n">
        <v>1</v>
      </c>
      <c r="AG490" t="n">
        <v>1</v>
      </c>
      <c r="AH490" t="n">
        <v>1</v>
      </c>
      <c r="AI490" t="n">
        <v>3</v>
      </c>
      <c r="AJ490" t="n">
        <v>4</v>
      </c>
      <c r="AK490" t="n">
        <v>8</v>
      </c>
      <c r="AL490" t="n">
        <v>2</v>
      </c>
      <c r="AM490" t="n">
        <v>2</v>
      </c>
      <c r="AN490" t="n">
        <v>0</v>
      </c>
      <c r="AO490" t="n">
        <v>0</v>
      </c>
      <c r="AP490" t="inlineStr">
        <is>
          <t>No</t>
        </is>
      </c>
      <c r="AQ490" t="inlineStr">
        <is>
          <t>Yes</t>
        </is>
      </c>
      <c r="AR490">
        <f>HYPERLINK("http://catalog.hathitrust.org/Record/006064997","HathiTrust Record")</f>
        <v/>
      </c>
      <c r="AS490">
        <f>HYPERLINK("https://creighton-primo.hosted.exlibrisgroup.com/primo-explore/search?tab=default_tab&amp;search_scope=EVERYTHING&amp;vid=01CRU&amp;lang=en_US&amp;offset=0&amp;query=any,contains,991004585489702656","Catalog Record")</f>
        <v/>
      </c>
      <c r="AT490">
        <f>HYPERLINK("http://www.worldcat.org/oclc/2066224","WorldCat Record")</f>
        <v/>
      </c>
      <c r="AU490" t="inlineStr">
        <is>
          <t>3373651845:fre</t>
        </is>
      </c>
      <c r="AV490" t="inlineStr">
        <is>
          <t>2066224</t>
        </is>
      </c>
      <c r="AW490" t="inlineStr">
        <is>
          <t>991004585489702656</t>
        </is>
      </c>
      <c r="AX490" t="inlineStr">
        <is>
          <t>991004585489702656</t>
        </is>
      </c>
      <c r="AY490" t="inlineStr">
        <is>
          <t>2264236790002656</t>
        </is>
      </c>
      <c r="AZ490" t="inlineStr">
        <is>
          <t>BOOK</t>
        </is>
      </c>
      <c r="BC490" t="inlineStr">
        <is>
          <t>32285000393693</t>
        </is>
      </c>
      <c r="BD490" t="inlineStr">
        <is>
          <t>893869887</t>
        </is>
      </c>
    </row>
    <row r="491">
      <c r="A491" t="inlineStr">
        <is>
          <t>No</t>
        </is>
      </c>
      <c r="B491" t="inlineStr">
        <is>
          <t>DC64 .G822</t>
        </is>
      </c>
      <c r="C491" t="inlineStr">
        <is>
          <t>0                      DC 0064000G  822</t>
        </is>
      </c>
      <c r="D491" t="inlineStr">
        <is>
          <t>Histoire des Francs / par Grégoire de Tours.</t>
        </is>
      </c>
      <c r="E491" t="inlineStr">
        <is>
          <t>V.2</t>
        </is>
      </c>
      <c r="F491" t="inlineStr">
        <is>
          <t>Yes</t>
        </is>
      </c>
      <c r="G491" t="inlineStr">
        <is>
          <t>1</t>
        </is>
      </c>
      <c r="H491" t="inlineStr">
        <is>
          <t>No</t>
        </is>
      </c>
      <c r="I491" t="inlineStr">
        <is>
          <t>No</t>
        </is>
      </c>
      <c r="J491" t="inlineStr">
        <is>
          <t>0</t>
        </is>
      </c>
      <c r="K491" t="inlineStr">
        <is>
          <t>Gregory, Bishop of Tours, Saint, 538-594.</t>
        </is>
      </c>
      <c r="L491" t="inlineStr">
        <is>
          <t>Paris : Les Belles Lettres / Denoël, 1963.</t>
        </is>
      </c>
      <c r="M491" t="inlineStr">
        <is>
          <t>1963</t>
        </is>
      </c>
      <c r="O491" t="inlineStr">
        <is>
          <t>fre</t>
        </is>
      </c>
      <c r="P491" t="inlineStr">
        <is>
          <t xml:space="preserve">fr </t>
        </is>
      </c>
      <c r="R491" t="inlineStr">
        <is>
          <t xml:space="preserve">DC </t>
        </is>
      </c>
      <c r="S491" t="n">
        <v>0</v>
      </c>
      <c r="T491" t="n">
        <v>1</v>
      </c>
      <c r="V491" t="inlineStr">
        <is>
          <t>2000-08-28</t>
        </is>
      </c>
      <c r="W491" t="inlineStr">
        <is>
          <t>1990-11-27</t>
        </is>
      </c>
      <c r="X491" t="inlineStr">
        <is>
          <t>1990-11-27</t>
        </is>
      </c>
      <c r="Y491" t="n">
        <v>158</v>
      </c>
      <c r="Z491" t="n">
        <v>115</v>
      </c>
      <c r="AA491" t="n">
        <v>203</v>
      </c>
      <c r="AB491" t="n">
        <v>3</v>
      </c>
      <c r="AC491" t="n">
        <v>3</v>
      </c>
      <c r="AD491" t="n">
        <v>6</v>
      </c>
      <c r="AE491" t="n">
        <v>12</v>
      </c>
      <c r="AF491" t="n">
        <v>1</v>
      </c>
      <c r="AG491" t="n">
        <v>1</v>
      </c>
      <c r="AH491" t="n">
        <v>1</v>
      </c>
      <c r="AI491" t="n">
        <v>3</v>
      </c>
      <c r="AJ491" t="n">
        <v>4</v>
      </c>
      <c r="AK491" t="n">
        <v>8</v>
      </c>
      <c r="AL491" t="n">
        <v>2</v>
      </c>
      <c r="AM491" t="n">
        <v>2</v>
      </c>
      <c r="AN491" t="n">
        <v>0</v>
      </c>
      <c r="AO491" t="n">
        <v>0</v>
      </c>
      <c r="AP491" t="inlineStr">
        <is>
          <t>No</t>
        </is>
      </c>
      <c r="AQ491" t="inlineStr">
        <is>
          <t>Yes</t>
        </is>
      </c>
      <c r="AR491">
        <f>HYPERLINK("http://catalog.hathitrust.org/Record/006064997","HathiTrust Record")</f>
        <v/>
      </c>
      <c r="AS491">
        <f>HYPERLINK("https://creighton-primo.hosted.exlibrisgroup.com/primo-explore/search?tab=default_tab&amp;search_scope=EVERYTHING&amp;vid=01CRU&amp;lang=en_US&amp;offset=0&amp;query=any,contains,991004585489702656","Catalog Record")</f>
        <v/>
      </c>
      <c r="AT491">
        <f>HYPERLINK("http://www.worldcat.org/oclc/2066224","WorldCat Record")</f>
        <v/>
      </c>
      <c r="AU491" t="inlineStr">
        <is>
          <t>3373651845:fre</t>
        </is>
      </c>
      <c r="AV491" t="inlineStr">
        <is>
          <t>2066224</t>
        </is>
      </c>
      <c r="AW491" t="inlineStr">
        <is>
          <t>991004585489702656</t>
        </is>
      </c>
      <c r="AX491" t="inlineStr">
        <is>
          <t>991004585489702656</t>
        </is>
      </c>
      <c r="AY491" t="inlineStr">
        <is>
          <t>2264236790002656</t>
        </is>
      </c>
      <c r="AZ491" t="inlineStr">
        <is>
          <t>BOOK</t>
        </is>
      </c>
      <c r="BC491" t="inlineStr">
        <is>
          <t>32285000393701</t>
        </is>
      </c>
      <c r="BD491" t="inlineStr">
        <is>
          <t>893888918</t>
        </is>
      </c>
    </row>
    <row r="492">
      <c r="A492" t="inlineStr">
        <is>
          <t>No</t>
        </is>
      </c>
      <c r="B492" t="inlineStr">
        <is>
          <t>DC65 .D5</t>
        </is>
      </c>
      <c r="C492" t="inlineStr">
        <is>
          <t>0                      DC 0065000D  5</t>
        </is>
      </c>
      <c r="D492" t="inlineStr">
        <is>
          <t>Roman society in Gaul in the Merovingian age, by the late Sir Samuel Dill.</t>
        </is>
      </c>
      <c r="F492" t="inlineStr">
        <is>
          <t>No</t>
        </is>
      </c>
      <c r="G492" t="inlineStr">
        <is>
          <t>1</t>
        </is>
      </c>
      <c r="H492" t="inlineStr">
        <is>
          <t>No</t>
        </is>
      </c>
      <c r="I492" t="inlineStr">
        <is>
          <t>No</t>
        </is>
      </c>
      <c r="J492" t="inlineStr">
        <is>
          <t>0</t>
        </is>
      </c>
      <c r="K492" t="inlineStr">
        <is>
          <t>Dill, Samuel, 1844-1924.</t>
        </is>
      </c>
      <c r="L492" t="inlineStr">
        <is>
          <t>London, Macmillan, 1926.</t>
        </is>
      </c>
      <c r="M492" t="inlineStr">
        <is>
          <t>1926</t>
        </is>
      </c>
      <c r="O492" t="inlineStr">
        <is>
          <t>eng</t>
        </is>
      </c>
      <c r="P492" t="inlineStr">
        <is>
          <t>enk</t>
        </is>
      </c>
      <c r="R492" t="inlineStr">
        <is>
          <t xml:space="preserve">DC </t>
        </is>
      </c>
      <c r="S492" t="n">
        <v>2</v>
      </c>
      <c r="T492" t="n">
        <v>2</v>
      </c>
      <c r="U492" t="inlineStr">
        <is>
          <t>2006-04-10</t>
        </is>
      </c>
      <c r="V492" t="inlineStr">
        <is>
          <t>2006-04-10</t>
        </is>
      </c>
      <c r="W492" t="inlineStr">
        <is>
          <t>1996-10-28</t>
        </is>
      </c>
      <c r="X492" t="inlineStr">
        <is>
          <t>1996-10-28</t>
        </is>
      </c>
      <c r="Y492" t="n">
        <v>432</v>
      </c>
      <c r="Z492" t="n">
        <v>317</v>
      </c>
      <c r="AA492" t="n">
        <v>832</v>
      </c>
      <c r="AB492" t="n">
        <v>3</v>
      </c>
      <c r="AC492" t="n">
        <v>8</v>
      </c>
      <c r="AD492" t="n">
        <v>26</v>
      </c>
      <c r="AE492" t="n">
        <v>47</v>
      </c>
      <c r="AF492" t="n">
        <v>9</v>
      </c>
      <c r="AG492" t="n">
        <v>19</v>
      </c>
      <c r="AH492" t="n">
        <v>5</v>
      </c>
      <c r="AI492" t="n">
        <v>9</v>
      </c>
      <c r="AJ492" t="n">
        <v>16</v>
      </c>
      <c r="AK492" t="n">
        <v>21</v>
      </c>
      <c r="AL492" t="n">
        <v>2</v>
      </c>
      <c r="AM492" t="n">
        <v>7</v>
      </c>
      <c r="AN492" t="n">
        <v>0</v>
      </c>
      <c r="AO492" t="n">
        <v>0</v>
      </c>
      <c r="AP492" t="inlineStr">
        <is>
          <t>No</t>
        </is>
      </c>
      <c r="AQ492" t="inlineStr">
        <is>
          <t>No</t>
        </is>
      </c>
      <c r="AR492">
        <f>HYPERLINK("http://catalog.hathitrust.org/Record/000565516","HathiTrust Record")</f>
        <v/>
      </c>
      <c r="AS492">
        <f>HYPERLINK("https://creighton-primo.hosted.exlibrisgroup.com/primo-explore/search?tab=default_tab&amp;search_scope=EVERYTHING&amp;vid=01CRU&amp;lang=en_US&amp;offset=0&amp;query=any,contains,991003894619702656","Catalog Record")</f>
        <v/>
      </c>
      <c r="AT492">
        <f>HYPERLINK("http://www.worldcat.org/oclc/1805967","WorldCat Record")</f>
        <v/>
      </c>
      <c r="AU492" t="inlineStr">
        <is>
          <t>3372663235:eng</t>
        </is>
      </c>
      <c r="AV492" t="inlineStr">
        <is>
          <t>1805967</t>
        </is>
      </c>
      <c r="AW492" t="inlineStr">
        <is>
          <t>991003894619702656</t>
        </is>
      </c>
      <c r="AX492" t="inlineStr">
        <is>
          <t>991003894619702656</t>
        </is>
      </c>
      <c r="AY492" t="inlineStr">
        <is>
          <t>2269734210002656</t>
        </is>
      </c>
      <c r="AZ492" t="inlineStr">
        <is>
          <t>BOOK</t>
        </is>
      </c>
      <c r="BC492" t="inlineStr">
        <is>
          <t>32285002378940</t>
        </is>
      </c>
      <c r="BD492" t="inlineStr">
        <is>
          <t>893234793</t>
        </is>
      </c>
    </row>
    <row r="493">
      <c r="A493" t="inlineStr">
        <is>
          <t>No</t>
        </is>
      </c>
      <c r="B493" t="inlineStr">
        <is>
          <t>DC70 .H313</t>
        </is>
      </c>
      <c r="C493" t="inlineStr">
        <is>
          <t>0                      DC 0070000H  313</t>
        </is>
      </c>
      <c r="D493" t="inlineStr">
        <is>
          <t>Charlemagne and the Carolingian Empire / by Louis Halphen ; translated by Giselle de Nie. --</t>
        </is>
      </c>
      <c r="F493" t="inlineStr">
        <is>
          <t>No</t>
        </is>
      </c>
      <c r="G493" t="inlineStr">
        <is>
          <t>1</t>
        </is>
      </c>
      <c r="H493" t="inlineStr">
        <is>
          <t>No</t>
        </is>
      </c>
      <c r="I493" t="inlineStr">
        <is>
          <t>No</t>
        </is>
      </c>
      <c r="J493" t="inlineStr">
        <is>
          <t>0</t>
        </is>
      </c>
      <c r="K493" t="inlineStr">
        <is>
          <t>Halphen, Louis, 1880-1950.</t>
        </is>
      </c>
      <c r="L493" t="inlineStr">
        <is>
          <t>Amsterdam ; New York : North-Holland Pub. Co., 1977.</t>
        </is>
      </c>
      <c r="M493" t="inlineStr">
        <is>
          <t>1977</t>
        </is>
      </c>
      <c r="O493" t="inlineStr">
        <is>
          <t>eng</t>
        </is>
      </c>
      <c r="P493" t="inlineStr">
        <is>
          <t xml:space="preserve">ne </t>
        </is>
      </c>
      <c r="Q493" t="inlineStr">
        <is>
          <t>Europe in the Middle Ages ; v. 3</t>
        </is>
      </c>
      <c r="R493" t="inlineStr">
        <is>
          <t xml:space="preserve">DC </t>
        </is>
      </c>
      <c r="S493" t="n">
        <v>9</v>
      </c>
      <c r="T493" t="n">
        <v>9</v>
      </c>
      <c r="U493" t="inlineStr">
        <is>
          <t>2007-12-03</t>
        </is>
      </c>
      <c r="V493" t="inlineStr">
        <is>
          <t>2007-12-03</t>
        </is>
      </c>
      <c r="W493" t="inlineStr">
        <is>
          <t>1990-07-19</t>
        </is>
      </c>
      <c r="X493" t="inlineStr">
        <is>
          <t>1990-07-19</t>
        </is>
      </c>
      <c r="Y493" t="n">
        <v>387</v>
      </c>
      <c r="Z493" t="n">
        <v>279</v>
      </c>
      <c r="AA493" t="n">
        <v>281</v>
      </c>
      <c r="AB493" t="n">
        <v>4</v>
      </c>
      <c r="AC493" t="n">
        <v>4</v>
      </c>
      <c r="AD493" t="n">
        <v>17</v>
      </c>
      <c r="AE493" t="n">
        <v>17</v>
      </c>
      <c r="AF493" t="n">
        <v>5</v>
      </c>
      <c r="AG493" t="n">
        <v>5</v>
      </c>
      <c r="AH493" t="n">
        <v>2</v>
      </c>
      <c r="AI493" t="n">
        <v>2</v>
      </c>
      <c r="AJ493" t="n">
        <v>14</v>
      </c>
      <c r="AK493" t="n">
        <v>14</v>
      </c>
      <c r="AL493" t="n">
        <v>3</v>
      </c>
      <c r="AM493" t="n">
        <v>3</v>
      </c>
      <c r="AN493" t="n">
        <v>0</v>
      </c>
      <c r="AO493" t="n">
        <v>0</v>
      </c>
      <c r="AP493" t="inlineStr">
        <is>
          <t>No</t>
        </is>
      </c>
      <c r="AQ493" t="inlineStr">
        <is>
          <t>Yes</t>
        </is>
      </c>
      <c r="AR493">
        <f>HYPERLINK("http://catalog.hathitrust.org/Record/000685044","HathiTrust Record")</f>
        <v/>
      </c>
      <c r="AS493">
        <f>HYPERLINK("https://creighton-primo.hosted.exlibrisgroup.com/primo-explore/search?tab=default_tab&amp;search_scope=EVERYTHING&amp;vid=01CRU&amp;lang=en_US&amp;offset=0&amp;query=any,contains,991003988049702656","Catalog Record")</f>
        <v/>
      </c>
      <c r="AT493">
        <f>HYPERLINK("http://www.worldcat.org/oclc/2035143","WorldCat Record")</f>
        <v/>
      </c>
      <c r="AU493" t="inlineStr">
        <is>
          <t>482599:eng</t>
        </is>
      </c>
      <c r="AV493" t="inlineStr">
        <is>
          <t>2035143</t>
        </is>
      </c>
      <c r="AW493" t="inlineStr">
        <is>
          <t>991003988049702656</t>
        </is>
      </c>
      <c r="AX493" t="inlineStr">
        <is>
          <t>991003988049702656</t>
        </is>
      </c>
      <c r="AY493" t="inlineStr">
        <is>
          <t>2268767150002656</t>
        </is>
      </c>
      <c r="AZ493" t="inlineStr">
        <is>
          <t>BOOK</t>
        </is>
      </c>
      <c r="BB493" t="inlineStr">
        <is>
          <t>9780720490077</t>
        </is>
      </c>
      <c r="BC493" t="inlineStr">
        <is>
          <t>32285000245513</t>
        </is>
      </c>
      <c r="BD493" t="inlineStr">
        <is>
          <t>893618080</t>
        </is>
      </c>
    </row>
    <row r="494">
      <c r="A494" t="inlineStr">
        <is>
          <t>No</t>
        </is>
      </c>
      <c r="B494" t="inlineStr">
        <is>
          <t>DC70 .T5</t>
        </is>
      </c>
      <c r="C494" t="inlineStr">
        <is>
          <t>0                      DC 0070000T  5</t>
        </is>
      </c>
      <c r="D494" t="inlineStr">
        <is>
          <t>The dissolution of the Carolingian fisc in the ninth century / by James Westfall Thompson.</t>
        </is>
      </c>
      <c r="F494" t="inlineStr">
        <is>
          <t>No</t>
        </is>
      </c>
      <c r="G494" t="inlineStr">
        <is>
          <t>1</t>
        </is>
      </c>
      <c r="H494" t="inlineStr">
        <is>
          <t>No</t>
        </is>
      </c>
      <c r="I494" t="inlineStr">
        <is>
          <t>No</t>
        </is>
      </c>
      <c r="J494" t="inlineStr">
        <is>
          <t>0</t>
        </is>
      </c>
      <c r="K494" t="inlineStr">
        <is>
          <t>Thompson, James Westfall, 1869-1941.</t>
        </is>
      </c>
      <c r="L494" t="inlineStr">
        <is>
          <t>Berkeley, Calif. : University of California Press, 1935.</t>
        </is>
      </c>
      <c r="M494" t="inlineStr">
        <is>
          <t>1935</t>
        </is>
      </c>
      <c r="O494" t="inlineStr">
        <is>
          <t>eng</t>
        </is>
      </c>
      <c r="P494" t="inlineStr">
        <is>
          <t>cau</t>
        </is>
      </c>
      <c r="Q494" t="inlineStr">
        <is>
          <t>University of California publications in history ; v. 23</t>
        </is>
      </c>
      <c r="R494" t="inlineStr">
        <is>
          <t xml:space="preserve">DC </t>
        </is>
      </c>
      <c r="S494" t="n">
        <v>0</v>
      </c>
      <c r="T494" t="n">
        <v>0</v>
      </c>
      <c r="U494" t="inlineStr">
        <is>
          <t>2008-07-02</t>
        </is>
      </c>
      <c r="V494" t="inlineStr">
        <is>
          <t>2008-07-02</t>
        </is>
      </c>
      <c r="W494" t="inlineStr">
        <is>
          <t>1996-10-28</t>
        </is>
      </c>
      <c r="X494" t="inlineStr">
        <is>
          <t>1996-10-28</t>
        </is>
      </c>
      <c r="Y494" t="n">
        <v>235</v>
      </c>
      <c r="Z494" t="n">
        <v>180</v>
      </c>
      <c r="AA494" t="n">
        <v>215</v>
      </c>
      <c r="AB494" t="n">
        <v>2</v>
      </c>
      <c r="AC494" t="n">
        <v>2</v>
      </c>
      <c r="AD494" t="n">
        <v>13</v>
      </c>
      <c r="AE494" t="n">
        <v>15</v>
      </c>
      <c r="AF494" t="n">
        <v>5</v>
      </c>
      <c r="AG494" t="n">
        <v>5</v>
      </c>
      <c r="AH494" t="n">
        <v>4</v>
      </c>
      <c r="AI494" t="n">
        <v>5</v>
      </c>
      <c r="AJ494" t="n">
        <v>7</v>
      </c>
      <c r="AK494" t="n">
        <v>9</v>
      </c>
      <c r="AL494" t="n">
        <v>1</v>
      </c>
      <c r="AM494" t="n">
        <v>1</v>
      </c>
      <c r="AN494" t="n">
        <v>0</v>
      </c>
      <c r="AO494" t="n">
        <v>0</v>
      </c>
      <c r="AP494" t="inlineStr">
        <is>
          <t>No</t>
        </is>
      </c>
      <c r="AQ494" t="inlineStr">
        <is>
          <t>Yes</t>
        </is>
      </c>
      <c r="AR494">
        <f>HYPERLINK("http://catalog.hathitrust.org/Record/100190258","HathiTrust Record")</f>
        <v/>
      </c>
      <c r="AS494">
        <f>HYPERLINK("https://creighton-primo.hosted.exlibrisgroup.com/primo-explore/search?tab=default_tab&amp;search_scope=EVERYTHING&amp;vid=01CRU&amp;lang=en_US&amp;offset=0&amp;query=any,contains,991003901119702656","Catalog Record")</f>
        <v/>
      </c>
      <c r="AT494">
        <f>HYPERLINK("http://www.worldcat.org/oclc/1824160","WorldCat Record")</f>
        <v/>
      </c>
      <c r="AU494" t="inlineStr">
        <is>
          <t>2184789:eng</t>
        </is>
      </c>
      <c r="AV494" t="inlineStr">
        <is>
          <t>1824160</t>
        </is>
      </c>
      <c r="AW494" t="inlineStr">
        <is>
          <t>991003901119702656</t>
        </is>
      </c>
      <c r="AX494" t="inlineStr">
        <is>
          <t>991003901119702656</t>
        </is>
      </c>
      <c r="AY494" t="inlineStr">
        <is>
          <t>2257302400002656</t>
        </is>
      </c>
      <c r="AZ494" t="inlineStr">
        <is>
          <t>BOOK</t>
        </is>
      </c>
      <c r="BC494" t="inlineStr">
        <is>
          <t>32285002378981</t>
        </is>
      </c>
      <c r="BD494" t="inlineStr">
        <is>
          <t>893611650</t>
        </is>
      </c>
    </row>
    <row r="495">
      <c r="A495" t="inlineStr">
        <is>
          <t>No</t>
        </is>
      </c>
      <c r="B495" t="inlineStr">
        <is>
          <t>DC707 .H55 1955</t>
        </is>
      </c>
      <c r="C495" t="inlineStr">
        <is>
          <t>0                      DC 0707000H  55          1955</t>
        </is>
      </c>
      <c r="D495" t="inlineStr">
        <is>
          <t>Histoire de Paris.</t>
        </is>
      </c>
      <c r="F495" t="inlineStr">
        <is>
          <t>No</t>
        </is>
      </c>
      <c r="G495" t="inlineStr">
        <is>
          <t>1</t>
        </is>
      </c>
      <c r="H495" t="inlineStr">
        <is>
          <t>No</t>
        </is>
      </c>
      <c r="I495" t="inlineStr">
        <is>
          <t>No</t>
        </is>
      </c>
      <c r="J495" t="inlineStr">
        <is>
          <t>0</t>
        </is>
      </c>
      <c r="K495" t="inlineStr">
        <is>
          <t>Héron de Villefosse, René, 1903-1985.</t>
        </is>
      </c>
      <c r="L495" t="inlineStr">
        <is>
          <t>Paris, B. Grasset [1955]</t>
        </is>
      </c>
      <c r="M495" t="inlineStr">
        <is>
          <t>1955</t>
        </is>
      </c>
      <c r="N495" t="inlineStr">
        <is>
          <t>Nouv. éd., illustrée, rev. et augm. d'une préf. et d'un chapitre inédits.</t>
        </is>
      </c>
      <c r="O495" t="inlineStr">
        <is>
          <t>fre</t>
        </is>
      </c>
      <c r="P495" t="inlineStr">
        <is>
          <t xml:space="preserve">xx </t>
        </is>
      </c>
      <c r="R495" t="inlineStr">
        <is>
          <t xml:space="preserve">DC </t>
        </is>
      </c>
      <c r="S495" t="n">
        <v>4</v>
      </c>
      <c r="T495" t="n">
        <v>4</v>
      </c>
      <c r="U495" t="inlineStr">
        <is>
          <t>1999-05-14</t>
        </is>
      </c>
      <c r="V495" t="inlineStr">
        <is>
          <t>1999-05-14</t>
        </is>
      </c>
      <c r="W495" t="inlineStr">
        <is>
          <t>1996-11-20</t>
        </is>
      </c>
      <c r="X495" t="inlineStr">
        <is>
          <t>1996-11-20</t>
        </is>
      </c>
      <c r="Y495" t="n">
        <v>57</v>
      </c>
      <c r="Z495" t="n">
        <v>41</v>
      </c>
      <c r="AA495" t="n">
        <v>88</v>
      </c>
      <c r="AB495" t="n">
        <v>1</v>
      </c>
      <c r="AC495" t="n">
        <v>1</v>
      </c>
      <c r="AD495" t="n">
        <v>1</v>
      </c>
      <c r="AE495" t="n">
        <v>1</v>
      </c>
      <c r="AF495" t="n">
        <v>0</v>
      </c>
      <c r="AG495" t="n">
        <v>0</v>
      </c>
      <c r="AH495" t="n">
        <v>0</v>
      </c>
      <c r="AI495" t="n">
        <v>0</v>
      </c>
      <c r="AJ495" t="n">
        <v>1</v>
      </c>
      <c r="AK495" t="n">
        <v>1</v>
      </c>
      <c r="AL495" t="n">
        <v>0</v>
      </c>
      <c r="AM495" t="n">
        <v>0</v>
      </c>
      <c r="AN495" t="n">
        <v>0</v>
      </c>
      <c r="AO495" t="n">
        <v>0</v>
      </c>
      <c r="AP495" t="inlineStr">
        <is>
          <t>No</t>
        </is>
      </c>
      <c r="AQ495" t="inlineStr">
        <is>
          <t>Yes</t>
        </is>
      </c>
      <c r="AR495">
        <f>HYPERLINK("http://catalog.hathitrust.org/Record/000347163","HathiTrust Record")</f>
        <v/>
      </c>
      <c r="AS495">
        <f>HYPERLINK("https://creighton-primo.hosted.exlibrisgroup.com/primo-explore/search?tab=default_tab&amp;search_scope=EVERYTHING&amp;vid=01CRU&amp;lang=en_US&amp;offset=0&amp;query=any,contains,991002895489702656","Catalog Record")</f>
        <v/>
      </c>
      <c r="AT495">
        <f>HYPERLINK("http://www.worldcat.org/oclc/514070","WorldCat Record")</f>
        <v/>
      </c>
      <c r="AU495" t="inlineStr">
        <is>
          <t>154680260:fre</t>
        </is>
      </c>
      <c r="AV495" t="inlineStr">
        <is>
          <t>514070</t>
        </is>
      </c>
      <c r="AW495" t="inlineStr">
        <is>
          <t>991002895489702656</t>
        </is>
      </c>
      <c r="AX495" t="inlineStr">
        <is>
          <t>991002895489702656</t>
        </is>
      </c>
      <c r="AY495" t="inlineStr">
        <is>
          <t>2262206780002656</t>
        </is>
      </c>
      <c r="AZ495" t="inlineStr">
        <is>
          <t>BOOK</t>
        </is>
      </c>
      <c r="BC495" t="inlineStr">
        <is>
          <t>32285002380938</t>
        </is>
      </c>
      <c r="BD495" t="inlineStr">
        <is>
          <t>893774159</t>
        </is>
      </c>
    </row>
    <row r="496">
      <c r="A496" t="inlineStr">
        <is>
          <t>No</t>
        </is>
      </c>
      <c r="B496" t="inlineStr">
        <is>
          <t>DC707 .M442 2006</t>
        </is>
      </c>
      <c r="C496" t="inlineStr">
        <is>
          <t>0                      DC 0707000M  442         2006</t>
        </is>
      </c>
      <c r="D496" t="inlineStr">
        <is>
          <t>Paris discovered : explorations in the City of Light / Mary McAuliffe.</t>
        </is>
      </c>
      <c r="F496" t="inlineStr">
        <is>
          <t>No</t>
        </is>
      </c>
      <c r="G496" t="inlineStr">
        <is>
          <t>1</t>
        </is>
      </c>
      <c r="H496" t="inlineStr">
        <is>
          <t>No</t>
        </is>
      </c>
      <c r="I496" t="inlineStr">
        <is>
          <t>No</t>
        </is>
      </c>
      <c r="J496" t="inlineStr">
        <is>
          <t>0</t>
        </is>
      </c>
      <c r="K496" t="inlineStr">
        <is>
          <t>McAuliffe, Mary Sperling, 1943-</t>
        </is>
      </c>
      <c r="L496" t="inlineStr">
        <is>
          <t>Hightstown, NJ : Elysian Editions, c2006.</t>
        </is>
      </c>
      <c r="M496" t="inlineStr">
        <is>
          <t>2006</t>
        </is>
      </c>
      <c r="O496" t="inlineStr">
        <is>
          <t>eng</t>
        </is>
      </c>
      <c r="P496" t="inlineStr">
        <is>
          <t>nju</t>
        </is>
      </c>
      <c r="R496" t="inlineStr">
        <is>
          <t xml:space="preserve">DC </t>
        </is>
      </c>
      <c r="S496" t="n">
        <v>4</v>
      </c>
      <c r="T496" t="n">
        <v>4</v>
      </c>
      <c r="U496" t="inlineStr">
        <is>
          <t>2007-08-22</t>
        </is>
      </c>
      <c r="V496" t="inlineStr">
        <is>
          <t>2007-08-22</t>
        </is>
      </c>
      <c r="W496" t="inlineStr">
        <is>
          <t>2007-04-19</t>
        </is>
      </c>
      <c r="X496" t="inlineStr">
        <is>
          <t>2007-04-19</t>
        </is>
      </c>
      <c r="Y496" t="n">
        <v>182</v>
      </c>
      <c r="Z496" t="n">
        <v>166</v>
      </c>
      <c r="AA496" t="n">
        <v>181</v>
      </c>
      <c r="AB496" t="n">
        <v>1</v>
      </c>
      <c r="AC496" t="n">
        <v>2</v>
      </c>
      <c r="AD496" t="n">
        <v>0</v>
      </c>
      <c r="AE496" t="n">
        <v>2</v>
      </c>
      <c r="AF496" t="n">
        <v>0</v>
      </c>
      <c r="AG496" t="n">
        <v>1</v>
      </c>
      <c r="AH496" t="n">
        <v>0</v>
      </c>
      <c r="AI496" t="n">
        <v>1</v>
      </c>
      <c r="AJ496" t="n">
        <v>0</v>
      </c>
      <c r="AK496" t="n">
        <v>0</v>
      </c>
      <c r="AL496" t="n">
        <v>0</v>
      </c>
      <c r="AM496" t="n">
        <v>1</v>
      </c>
      <c r="AN496" t="n">
        <v>0</v>
      </c>
      <c r="AO496" t="n">
        <v>0</v>
      </c>
      <c r="AP496" t="inlineStr">
        <is>
          <t>No</t>
        </is>
      </c>
      <c r="AQ496" t="inlineStr">
        <is>
          <t>Yes</t>
        </is>
      </c>
      <c r="AR496">
        <f>HYPERLINK("http://catalog.hathitrust.org/Record/007040648","HathiTrust Record")</f>
        <v/>
      </c>
      <c r="AS496">
        <f>HYPERLINK("https://creighton-primo.hosted.exlibrisgroup.com/primo-explore/search?tab=default_tab&amp;search_scope=EVERYTHING&amp;vid=01CRU&amp;lang=en_US&amp;offset=0&amp;query=any,contains,991005068499702656","Catalog Record")</f>
        <v/>
      </c>
      <c r="AT496">
        <f>HYPERLINK("http://www.worldcat.org/oclc/68221529","WorldCat Record")</f>
        <v/>
      </c>
      <c r="AU496" t="inlineStr">
        <is>
          <t>198184065:eng</t>
        </is>
      </c>
      <c r="AV496" t="inlineStr">
        <is>
          <t>68221529</t>
        </is>
      </c>
      <c r="AW496" t="inlineStr">
        <is>
          <t>991005068499702656</t>
        </is>
      </c>
      <c r="AX496" t="inlineStr">
        <is>
          <t>991005068499702656</t>
        </is>
      </c>
      <c r="AY496" t="inlineStr">
        <is>
          <t>2259347270002656</t>
        </is>
      </c>
      <c r="AZ496" t="inlineStr">
        <is>
          <t>BOOK</t>
        </is>
      </c>
      <c r="BB496" t="inlineStr">
        <is>
          <t>9780871272874</t>
        </is>
      </c>
      <c r="BC496" t="inlineStr">
        <is>
          <t>32285005288476</t>
        </is>
      </c>
      <c r="BD496" t="inlineStr">
        <is>
          <t>893443345</t>
        </is>
      </c>
    </row>
    <row r="497">
      <c r="A497" t="inlineStr">
        <is>
          <t>No</t>
        </is>
      </c>
      <c r="B497" t="inlineStr">
        <is>
          <t>DC707 .P228 1993</t>
        </is>
      </c>
      <c r="C497" t="inlineStr">
        <is>
          <t>0                      DC 0707000P  228         1993</t>
        </is>
      </c>
      <c r="D497" t="inlineStr">
        <is>
          <t>Paris, histoire d'une ville / sous la direction de Jean-Robert Pitte.</t>
        </is>
      </c>
      <c r="F497" t="inlineStr">
        <is>
          <t>No</t>
        </is>
      </c>
      <c r="G497" t="inlineStr">
        <is>
          <t>1</t>
        </is>
      </c>
      <c r="H497" t="inlineStr">
        <is>
          <t>No</t>
        </is>
      </c>
      <c r="I497" t="inlineStr">
        <is>
          <t>No</t>
        </is>
      </c>
      <c r="J497" t="inlineStr">
        <is>
          <t>0</t>
        </is>
      </c>
      <c r="L497" t="inlineStr">
        <is>
          <t>Paris : Hachette, 1993.</t>
        </is>
      </c>
      <c r="M497" t="inlineStr">
        <is>
          <t>1993</t>
        </is>
      </c>
      <c r="O497" t="inlineStr">
        <is>
          <t>fre</t>
        </is>
      </c>
      <c r="P497" t="inlineStr">
        <is>
          <t xml:space="preserve">fr </t>
        </is>
      </c>
      <c r="Q497" t="inlineStr">
        <is>
          <t>Les Atlas Hachette</t>
        </is>
      </c>
      <c r="R497" t="inlineStr">
        <is>
          <t xml:space="preserve">DC </t>
        </is>
      </c>
      <c r="S497" t="n">
        <v>9</v>
      </c>
      <c r="T497" t="n">
        <v>9</v>
      </c>
      <c r="U497" t="inlineStr">
        <is>
          <t>2004-04-28</t>
        </is>
      </c>
      <c r="V497" t="inlineStr">
        <is>
          <t>2004-04-28</t>
        </is>
      </c>
      <c r="W497" t="inlineStr">
        <is>
          <t>1999-12-10</t>
        </is>
      </c>
      <c r="X497" t="inlineStr">
        <is>
          <t>1999-12-10</t>
        </is>
      </c>
      <c r="Y497" t="n">
        <v>65</v>
      </c>
      <c r="Z497" t="n">
        <v>42</v>
      </c>
      <c r="AA497" t="n">
        <v>42</v>
      </c>
      <c r="AB497" t="n">
        <v>1</v>
      </c>
      <c r="AC497" t="n">
        <v>1</v>
      </c>
      <c r="AD497" t="n">
        <v>4</v>
      </c>
      <c r="AE497" t="n">
        <v>4</v>
      </c>
      <c r="AF497" t="n">
        <v>1</v>
      </c>
      <c r="AG497" t="n">
        <v>1</v>
      </c>
      <c r="AH497" t="n">
        <v>2</v>
      </c>
      <c r="AI497" t="n">
        <v>2</v>
      </c>
      <c r="AJ497" t="n">
        <v>2</v>
      </c>
      <c r="AK497" t="n">
        <v>2</v>
      </c>
      <c r="AL497" t="n">
        <v>0</v>
      </c>
      <c r="AM497" t="n">
        <v>0</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HYPERLINK("https://creighton-primo.hosted.exlibrisgroup.com/primo-explore/search?tab=default_tab&amp;search_scope=EVERYTHING&amp;vid=01CRU&amp;lang=en_US&amp;offset=0&amp;query=any,contains,991005418379702656","Catalog Record")</f>
        <v/>
      </c>
      <c r="AT497">
        <f>HYPERLINK("http://www.worldcat.org/oclc/29745461","WorldCat Record")</f>
        <v/>
      </c>
      <c r="AU497" t="inlineStr">
        <is>
          <t>32429413:fre</t>
        </is>
      </c>
      <c r="AV497" t="inlineStr">
        <is>
          <t>29745461</t>
        </is>
      </c>
      <c r="AW497" t="inlineStr">
        <is>
          <t>991005418379702656</t>
        </is>
      </c>
      <c r="AX497" t="inlineStr">
        <is>
          <t>991005418379702656</t>
        </is>
      </c>
      <c r="AY497" t="inlineStr">
        <is>
          <t>2269042760002656</t>
        </is>
      </c>
      <c r="AZ497" t="inlineStr">
        <is>
          <t>BOOK</t>
        </is>
      </c>
      <c r="BB497" t="inlineStr">
        <is>
          <t>9782010171215</t>
        </is>
      </c>
      <c r="BC497" t="inlineStr">
        <is>
          <t>32285003564647</t>
        </is>
      </c>
      <c r="BD497" t="inlineStr">
        <is>
          <t>893619974</t>
        </is>
      </c>
    </row>
    <row r="498">
      <c r="A498" t="inlineStr">
        <is>
          <t>No</t>
        </is>
      </c>
      <c r="B498" t="inlineStr">
        <is>
          <t>DC707 .R52 1976</t>
        </is>
      </c>
      <c r="C498" t="inlineStr">
        <is>
          <t>0                      DC 0707000R  52          1976</t>
        </is>
      </c>
      <c r="D498" t="inlineStr">
        <is>
          <t>Thomas Jefferson's Paris / by Howard C. Rice, Jr.</t>
        </is>
      </c>
      <c r="F498" t="inlineStr">
        <is>
          <t>No</t>
        </is>
      </c>
      <c r="G498" t="inlineStr">
        <is>
          <t>1</t>
        </is>
      </c>
      <c r="H498" t="inlineStr">
        <is>
          <t>No</t>
        </is>
      </c>
      <c r="I498" t="inlineStr">
        <is>
          <t>No</t>
        </is>
      </c>
      <c r="J498" t="inlineStr">
        <is>
          <t>0</t>
        </is>
      </c>
      <c r="K498" t="inlineStr">
        <is>
          <t>Rice, Howard C. (Howard Crosby), 1904-1980.</t>
        </is>
      </c>
      <c r="L498" t="inlineStr">
        <is>
          <t>Princeton, N.J. : Princeton University Press, 1976.</t>
        </is>
      </c>
      <c r="M498" t="inlineStr">
        <is>
          <t>1976</t>
        </is>
      </c>
      <c r="O498" t="inlineStr">
        <is>
          <t>eng</t>
        </is>
      </c>
      <c r="P498" t="inlineStr">
        <is>
          <t>nju</t>
        </is>
      </c>
      <c r="R498" t="inlineStr">
        <is>
          <t xml:space="preserve">DC </t>
        </is>
      </c>
      <c r="S498" t="n">
        <v>6</v>
      </c>
      <c r="T498" t="n">
        <v>6</v>
      </c>
      <c r="U498" t="inlineStr">
        <is>
          <t>1995-03-03</t>
        </is>
      </c>
      <c r="V498" t="inlineStr">
        <is>
          <t>1995-03-03</t>
        </is>
      </c>
      <c r="W498" t="inlineStr">
        <is>
          <t>1991-01-16</t>
        </is>
      </c>
      <c r="X498" t="inlineStr">
        <is>
          <t>1991-01-16</t>
        </is>
      </c>
      <c r="Y498" t="n">
        <v>736</v>
      </c>
      <c r="Z498" t="n">
        <v>644</v>
      </c>
      <c r="AA498" t="n">
        <v>854</v>
      </c>
      <c r="AB498" t="n">
        <v>4</v>
      </c>
      <c r="AC498" t="n">
        <v>6</v>
      </c>
      <c r="AD498" t="n">
        <v>28</v>
      </c>
      <c r="AE498" t="n">
        <v>37</v>
      </c>
      <c r="AF498" t="n">
        <v>6</v>
      </c>
      <c r="AG498" t="n">
        <v>14</v>
      </c>
      <c r="AH498" t="n">
        <v>9</v>
      </c>
      <c r="AI498" t="n">
        <v>10</v>
      </c>
      <c r="AJ498" t="n">
        <v>17</v>
      </c>
      <c r="AK498" t="n">
        <v>18</v>
      </c>
      <c r="AL498" t="n">
        <v>3</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HYPERLINK("https://creighton-primo.hosted.exlibrisgroup.com/primo-explore/search?tab=default_tab&amp;search_scope=EVERYTHING&amp;vid=01CRU&amp;lang=en_US&amp;offset=0&amp;query=any,contains,991003952799702656","Catalog Record")</f>
        <v/>
      </c>
      <c r="AT498">
        <f>HYPERLINK("http://www.worldcat.org/oclc/1959426","WorldCat Record")</f>
        <v/>
      </c>
      <c r="AU498" t="inlineStr">
        <is>
          <t>2637403:eng</t>
        </is>
      </c>
      <c r="AV498" t="inlineStr">
        <is>
          <t>1959426</t>
        </is>
      </c>
      <c r="AW498" t="inlineStr">
        <is>
          <t>991003952799702656</t>
        </is>
      </c>
      <c r="AX498" t="inlineStr">
        <is>
          <t>991003952799702656</t>
        </is>
      </c>
      <c r="AY498" t="inlineStr">
        <is>
          <t>2266139160002656</t>
        </is>
      </c>
      <c r="AZ498" t="inlineStr">
        <is>
          <t>BOOK</t>
        </is>
      </c>
      <c r="BB498" t="inlineStr">
        <is>
          <t>9780691052328</t>
        </is>
      </c>
      <c r="BC498" t="inlineStr">
        <is>
          <t>32285000455351</t>
        </is>
      </c>
      <c r="BD498" t="inlineStr">
        <is>
          <t>893687172</t>
        </is>
      </c>
    </row>
    <row r="499">
      <c r="A499" t="inlineStr">
        <is>
          <t>No</t>
        </is>
      </c>
      <c r="B499" t="inlineStr">
        <is>
          <t>DC708 .G82</t>
        </is>
      </c>
      <c r="C499" t="inlineStr">
        <is>
          <t>0                      DC 0708000G  82</t>
        </is>
      </c>
      <c r="D499" t="inlineStr">
        <is>
          <t>Guide de Paris mystérieux ... [Sous la direction de François Caradec et Jean-Robert Masson]</t>
        </is>
      </c>
      <c r="F499" t="inlineStr">
        <is>
          <t>No</t>
        </is>
      </c>
      <c r="G499" t="inlineStr">
        <is>
          <t>1</t>
        </is>
      </c>
      <c r="H499" t="inlineStr">
        <is>
          <t>No</t>
        </is>
      </c>
      <c r="I499" t="inlineStr">
        <is>
          <t>No</t>
        </is>
      </c>
      <c r="J499" t="inlineStr">
        <is>
          <t>0</t>
        </is>
      </c>
      <c r="L499" t="inlineStr">
        <is>
          <t>Paris, Tchou, 1966.</t>
        </is>
      </c>
      <c r="M499" t="inlineStr">
        <is>
          <t>1966</t>
        </is>
      </c>
      <c r="O499" t="inlineStr">
        <is>
          <t>fre</t>
        </is>
      </c>
      <c r="P499" t="inlineStr">
        <is>
          <t xml:space="preserve">fr </t>
        </is>
      </c>
      <c r="Q499" t="inlineStr">
        <is>
          <t>Les Guides noirs, 5</t>
        </is>
      </c>
      <c r="R499" t="inlineStr">
        <is>
          <t xml:space="preserve">DC </t>
        </is>
      </c>
      <c r="S499" t="n">
        <v>5</v>
      </c>
      <c r="T499" t="n">
        <v>5</v>
      </c>
      <c r="U499" t="inlineStr">
        <is>
          <t>2004-04-28</t>
        </is>
      </c>
      <c r="V499" t="inlineStr">
        <is>
          <t>2004-04-28</t>
        </is>
      </c>
      <c r="W499" t="inlineStr">
        <is>
          <t>1996-11-20</t>
        </is>
      </c>
      <c r="X499" t="inlineStr">
        <is>
          <t>1996-11-20</t>
        </is>
      </c>
      <c r="Y499" t="n">
        <v>92</v>
      </c>
      <c r="Z499" t="n">
        <v>60</v>
      </c>
      <c r="AA499" t="n">
        <v>65</v>
      </c>
      <c r="AB499" t="n">
        <v>1</v>
      </c>
      <c r="AC499" t="n">
        <v>1</v>
      </c>
      <c r="AD499" t="n">
        <v>2</v>
      </c>
      <c r="AE499" t="n">
        <v>2</v>
      </c>
      <c r="AF499" t="n">
        <v>1</v>
      </c>
      <c r="AG499" t="n">
        <v>1</v>
      </c>
      <c r="AH499" t="n">
        <v>0</v>
      </c>
      <c r="AI499" t="n">
        <v>0</v>
      </c>
      <c r="AJ499" t="n">
        <v>1</v>
      </c>
      <c r="AK499" t="n">
        <v>1</v>
      </c>
      <c r="AL499" t="n">
        <v>0</v>
      </c>
      <c r="AM499" t="n">
        <v>0</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HYPERLINK("https://creighton-primo.hosted.exlibrisgroup.com/primo-explore/search?tab=default_tab&amp;search_scope=EVERYTHING&amp;vid=01CRU&amp;lang=en_US&amp;offset=0&amp;query=any,contains,991004250379702656","Catalog Record")</f>
        <v/>
      </c>
      <c r="AT499">
        <f>HYPERLINK("http://www.worldcat.org/oclc/2809661","WorldCat Record")</f>
        <v/>
      </c>
      <c r="AU499" t="inlineStr">
        <is>
          <t>5090413845:fre</t>
        </is>
      </c>
      <c r="AV499" t="inlineStr">
        <is>
          <t>2809661</t>
        </is>
      </c>
      <c r="AW499" t="inlineStr">
        <is>
          <t>991004250379702656</t>
        </is>
      </c>
      <c r="AX499" t="inlineStr">
        <is>
          <t>991004250379702656</t>
        </is>
      </c>
      <c r="AY499" t="inlineStr">
        <is>
          <t>2264715330002656</t>
        </is>
      </c>
      <c r="AZ499" t="inlineStr">
        <is>
          <t>BOOK</t>
        </is>
      </c>
      <c r="BC499" t="inlineStr">
        <is>
          <t>32285002380979</t>
        </is>
      </c>
      <c r="BD499" t="inlineStr">
        <is>
          <t>893706153</t>
        </is>
      </c>
    </row>
    <row r="500">
      <c r="A500" t="inlineStr">
        <is>
          <t>No</t>
        </is>
      </c>
      <c r="B500" t="inlineStr">
        <is>
          <t>DC715 .A48 2005</t>
        </is>
      </c>
      <c r="C500" t="inlineStr">
        <is>
          <t>0                      DC 0715000A  48          2005</t>
        </is>
      </c>
      <c r="D500" t="inlineStr">
        <is>
          <t>Popular front Paris and the poetics of culture / Dudley Andrew and Steven Ungar.</t>
        </is>
      </c>
      <c r="F500" t="inlineStr">
        <is>
          <t>No</t>
        </is>
      </c>
      <c r="G500" t="inlineStr">
        <is>
          <t>1</t>
        </is>
      </c>
      <c r="H500" t="inlineStr">
        <is>
          <t>No</t>
        </is>
      </c>
      <c r="I500" t="inlineStr">
        <is>
          <t>No</t>
        </is>
      </c>
      <c r="J500" t="inlineStr">
        <is>
          <t>0</t>
        </is>
      </c>
      <c r="K500" t="inlineStr">
        <is>
          <t>Andrew, Dudley, 1945-</t>
        </is>
      </c>
      <c r="L500" t="inlineStr">
        <is>
          <t>Cambridge, Mass. : Belknap Press of Harvard University Press, 2005.</t>
        </is>
      </c>
      <c r="M500" t="inlineStr">
        <is>
          <t>2005</t>
        </is>
      </c>
      <c r="O500" t="inlineStr">
        <is>
          <t>eng</t>
        </is>
      </c>
      <c r="P500" t="inlineStr">
        <is>
          <t>mau</t>
        </is>
      </c>
      <c r="R500" t="inlineStr">
        <is>
          <t xml:space="preserve">DC </t>
        </is>
      </c>
      <c r="S500" t="n">
        <v>1</v>
      </c>
      <c r="T500" t="n">
        <v>1</v>
      </c>
      <c r="U500" t="inlineStr">
        <is>
          <t>2006-07-31</t>
        </is>
      </c>
      <c r="V500" t="inlineStr">
        <is>
          <t>2006-07-31</t>
        </is>
      </c>
      <c r="W500" t="inlineStr">
        <is>
          <t>2006-07-31</t>
        </is>
      </c>
      <c r="X500" t="inlineStr">
        <is>
          <t>2006-07-31</t>
        </is>
      </c>
      <c r="Y500" t="n">
        <v>495</v>
      </c>
      <c r="Z500" t="n">
        <v>394</v>
      </c>
      <c r="AA500" t="n">
        <v>404</v>
      </c>
      <c r="AB500" t="n">
        <v>4</v>
      </c>
      <c r="AC500" t="n">
        <v>4</v>
      </c>
      <c r="AD500" t="n">
        <v>27</v>
      </c>
      <c r="AE500" t="n">
        <v>28</v>
      </c>
      <c r="AF500" t="n">
        <v>12</v>
      </c>
      <c r="AG500" t="n">
        <v>13</v>
      </c>
      <c r="AH500" t="n">
        <v>6</v>
      </c>
      <c r="AI500" t="n">
        <v>6</v>
      </c>
      <c r="AJ500" t="n">
        <v>13</v>
      </c>
      <c r="AK500" t="n">
        <v>14</v>
      </c>
      <c r="AL500" t="n">
        <v>3</v>
      </c>
      <c r="AM500" t="n">
        <v>3</v>
      </c>
      <c r="AN500" t="n">
        <v>0</v>
      </c>
      <c r="AO500" t="n">
        <v>0</v>
      </c>
      <c r="AP500" t="inlineStr">
        <is>
          <t>No</t>
        </is>
      </c>
      <c r="AQ500" t="inlineStr">
        <is>
          <t>Yes</t>
        </is>
      </c>
      <c r="AR500">
        <f>HYPERLINK("http://catalog.hathitrust.org/Record/004980501","HathiTrust Record")</f>
        <v/>
      </c>
      <c r="AS500">
        <f>HYPERLINK("https://creighton-primo.hosted.exlibrisgroup.com/primo-explore/search?tab=default_tab&amp;search_scope=EVERYTHING&amp;vid=01CRU&amp;lang=en_US&amp;offset=0&amp;query=any,contains,991004857539702656","Catalog Record")</f>
        <v/>
      </c>
      <c r="AT500">
        <f>HYPERLINK("http://www.worldcat.org/oclc/56840579","WorldCat Record")</f>
        <v/>
      </c>
      <c r="AU500" t="inlineStr">
        <is>
          <t>18182217:eng</t>
        </is>
      </c>
      <c r="AV500" t="inlineStr">
        <is>
          <t>56840579</t>
        </is>
      </c>
      <c r="AW500" t="inlineStr">
        <is>
          <t>991004857539702656</t>
        </is>
      </c>
      <c r="AX500" t="inlineStr">
        <is>
          <t>991004857539702656</t>
        </is>
      </c>
      <c r="AY500" t="inlineStr">
        <is>
          <t>2256267520002656</t>
        </is>
      </c>
      <c r="AZ500" t="inlineStr">
        <is>
          <t>BOOK</t>
        </is>
      </c>
      <c r="BB500" t="inlineStr">
        <is>
          <t>9780674017030</t>
        </is>
      </c>
      <c r="BC500" t="inlineStr">
        <is>
          <t>32285005198717</t>
        </is>
      </c>
      <c r="BD500" t="inlineStr">
        <is>
          <t>893789177</t>
        </is>
      </c>
    </row>
    <row r="501">
      <c r="A501" t="inlineStr">
        <is>
          <t>No</t>
        </is>
      </c>
      <c r="B501" t="inlineStr">
        <is>
          <t>DC715 .B328 1993</t>
        </is>
      </c>
      <c r="C501" t="inlineStr">
        <is>
          <t>0                      DC 0715000B  328         1993</t>
        </is>
      </c>
      <c r="D501" t="inlineStr">
        <is>
          <t>Fireworks at dusk : Paris in the Thirties / Olivier Bernier.</t>
        </is>
      </c>
      <c r="F501" t="inlineStr">
        <is>
          <t>No</t>
        </is>
      </c>
      <c r="G501" t="inlineStr">
        <is>
          <t>1</t>
        </is>
      </c>
      <c r="H501" t="inlineStr">
        <is>
          <t>No</t>
        </is>
      </c>
      <c r="I501" t="inlineStr">
        <is>
          <t>No</t>
        </is>
      </c>
      <c r="J501" t="inlineStr">
        <is>
          <t>0</t>
        </is>
      </c>
      <c r="K501" t="inlineStr">
        <is>
          <t>Bernier, Olivier.</t>
        </is>
      </c>
      <c r="L501" t="inlineStr">
        <is>
          <t>Boston : Little, Brown and Company, c1993.</t>
        </is>
      </c>
      <c r="M501" t="inlineStr">
        <is>
          <t>1993</t>
        </is>
      </c>
      <c r="N501" t="inlineStr">
        <is>
          <t>1st ed.</t>
        </is>
      </c>
      <c r="O501" t="inlineStr">
        <is>
          <t>eng</t>
        </is>
      </c>
      <c r="P501" t="inlineStr">
        <is>
          <t>mau</t>
        </is>
      </c>
      <c r="R501" t="inlineStr">
        <is>
          <t xml:space="preserve">DC </t>
        </is>
      </c>
      <c r="S501" t="n">
        <v>4</v>
      </c>
      <c r="T501" t="n">
        <v>4</v>
      </c>
      <c r="U501" t="inlineStr">
        <is>
          <t>1999-08-12</t>
        </is>
      </c>
      <c r="V501" t="inlineStr">
        <is>
          <t>1999-08-12</t>
        </is>
      </c>
      <c r="W501" t="inlineStr">
        <is>
          <t>1993-09-21</t>
        </is>
      </c>
      <c r="X501" t="inlineStr">
        <is>
          <t>1993-09-21</t>
        </is>
      </c>
      <c r="Y501" t="n">
        <v>666</v>
      </c>
      <c r="Z501" t="n">
        <v>589</v>
      </c>
      <c r="AA501" t="n">
        <v>594</v>
      </c>
      <c r="AB501" t="n">
        <v>3</v>
      </c>
      <c r="AC501" t="n">
        <v>3</v>
      </c>
      <c r="AD501" t="n">
        <v>23</v>
      </c>
      <c r="AE501" t="n">
        <v>23</v>
      </c>
      <c r="AF501" t="n">
        <v>7</v>
      </c>
      <c r="AG501" t="n">
        <v>7</v>
      </c>
      <c r="AH501" t="n">
        <v>7</v>
      </c>
      <c r="AI501" t="n">
        <v>7</v>
      </c>
      <c r="AJ501" t="n">
        <v>15</v>
      </c>
      <c r="AK501" t="n">
        <v>15</v>
      </c>
      <c r="AL501" t="n">
        <v>2</v>
      </c>
      <c r="AM501" t="n">
        <v>2</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HYPERLINK("https://creighton-primo.hosted.exlibrisgroup.com/primo-explore/search?tab=default_tab&amp;search_scope=EVERYTHING&amp;vid=01CRU&amp;lang=en_US&amp;offset=0&amp;query=any,contains,991002065549702656","Catalog Record")</f>
        <v/>
      </c>
      <c r="AT501">
        <f>HYPERLINK("http://www.worldcat.org/oclc/26402924","WorldCat Record")</f>
        <v/>
      </c>
      <c r="AU501" t="inlineStr">
        <is>
          <t>836748369:eng</t>
        </is>
      </c>
      <c r="AV501" t="inlineStr">
        <is>
          <t>26402924</t>
        </is>
      </c>
      <c r="AW501" t="inlineStr">
        <is>
          <t>991002065549702656</t>
        </is>
      </c>
      <c r="AX501" t="inlineStr">
        <is>
          <t>991002065549702656</t>
        </is>
      </c>
      <c r="AY501" t="inlineStr">
        <is>
          <t>2266678920002656</t>
        </is>
      </c>
      <c r="AZ501" t="inlineStr">
        <is>
          <t>BOOK</t>
        </is>
      </c>
      <c r="BB501" t="inlineStr">
        <is>
          <t>9780316092753</t>
        </is>
      </c>
      <c r="BC501" t="inlineStr">
        <is>
          <t>32285001759280</t>
        </is>
      </c>
      <c r="BD501" t="inlineStr">
        <is>
          <t>893684912</t>
        </is>
      </c>
    </row>
    <row r="502">
      <c r="A502" t="inlineStr">
        <is>
          <t>No</t>
        </is>
      </c>
      <c r="B502" t="inlineStr">
        <is>
          <t>DC715 .C513</t>
        </is>
      </c>
      <c r="C502" t="inlineStr">
        <is>
          <t>0                      DC 0715000C  513</t>
        </is>
      </c>
      <c r="D502" t="inlineStr">
        <is>
          <t>L'assassinat de Paris / Louis Chevalier.</t>
        </is>
      </c>
      <c r="F502" t="inlineStr">
        <is>
          <t>No</t>
        </is>
      </c>
      <c r="G502" t="inlineStr">
        <is>
          <t>1</t>
        </is>
      </c>
      <c r="H502" t="inlineStr">
        <is>
          <t>No</t>
        </is>
      </c>
      <c r="I502" t="inlineStr">
        <is>
          <t>No</t>
        </is>
      </c>
      <c r="J502" t="inlineStr">
        <is>
          <t>0</t>
        </is>
      </c>
      <c r="K502" t="inlineStr">
        <is>
          <t>Chevalier, Louis, 1911-2001.</t>
        </is>
      </c>
      <c r="L502" t="inlineStr">
        <is>
          <t>Paris : Calmann-Lévy, c1977.</t>
        </is>
      </c>
      <c r="M502" t="inlineStr">
        <is>
          <t>1977</t>
        </is>
      </c>
      <c r="O502" t="inlineStr">
        <is>
          <t>fre</t>
        </is>
      </c>
      <c r="P502" t="inlineStr">
        <is>
          <t xml:space="preserve">fr </t>
        </is>
      </c>
      <c r="Q502" t="inlineStr">
        <is>
          <t>Archives des sciences sociales</t>
        </is>
      </c>
      <c r="R502" t="inlineStr">
        <is>
          <t xml:space="preserve">DC </t>
        </is>
      </c>
      <c r="S502" t="n">
        <v>7</v>
      </c>
      <c r="T502" t="n">
        <v>7</v>
      </c>
      <c r="U502" t="inlineStr">
        <is>
          <t>2001-05-08</t>
        </is>
      </c>
      <c r="V502" t="inlineStr">
        <is>
          <t>2001-05-08</t>
        </is>
      </c>
      <c r="W502" t="inlineStr">
        <is>
          <t>1996-11-20</t>
        </is>
      </c>
      <c r="X502" t="inlineStr">
        <is>
          <t>1996-11-20</t>
        </is>
      </c>
      <c r="Y502" t="n">
        <v>118</v>
      </c>
      <c r="Z502" t="n">
        <v>66</v>
      </c>
      <c r="AA502" t="n">
        <v>73</v>
      </c>
      <c r="AB502" t="n">
        <v>1</v>
      </c>
      <c r="AC502" t="n">
        <v>1</v>
      </c>
      <c r="AD502" t="n">
        <v>2</v>
      </c>
      <c r="AE502" t="n">
        <v>2</v>
      </c>
      <c r="AF502" t="n">
        <v>0</v>
      </c>
      <c r="AG502" t="n">
        <v>0</v>
      </c>
      <c r="AH502" t="n">
        <v>1</v>
      </c>
      <c r="AI502" t="n">
        <v>1</v>
      </c>
      <c r="AJ502" t="n">
        <v>2</v>
      </c>
      <c r="AK502" t="n">
        <v>2</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HYPERLINK("https://creighton-primo.hosted.exlibrisgroup.com/primo-explore/search?tab=default_tab&amp;search_scope=EVERYTHING&amp;vid=01CRU&amp;lang=en_US&amp;offset=0&amp;query=any,contains,991005371139702656","Catalog Record")</f>
        <v/>
      </c>
      <c r="AT502">
        <f>HYPERLINK("http://www.worldcat.org/oclc/3465297","WorldCat Record")</f>
        <v/>
      </c>
      <c r="AU502" t="inlineStr">
        <is>
          <t>328789:fre</t>
        </is>
      </c>
      <c r="AV502" t="inlineStr">
        <is>
          <t>3465297</t>
        </is>
      </c>
      <c r="AW502" t="inlineStr">
        <is>
          <t>991005371139702656</t>
        </is>
      </c>
      <c r="AX502" t="inlineStr">
        <is>
          <t>991005371139702656</t>
        </is>
      </c>
      <c r="AY502" t="inlineStr">
        <is>
          <t>2254873150002656</t>
        </is>
      </c>
      <c r="AZ502" t="inlineStr">
        <is>
          <t>BOOK</t>
        </is>
      </c>
      <c r="BB502" t="inlineStr">
        <is>
          <t>9782702101766</t>
        </is>
      </c>
      <c r="BC502" t="inlineStr">
        <is>
          <t>32285002381001</t>
        </is>
      </c>
      <c r="BD502" t="inlineStr">
        <is>
          <t>893883780</t>
        </is>
      </c>
    </row>
    <row r="503">
      <c r="A503" t="inlineStr">
        <is>
          <t>No</t>
        </is>
      </c>
      <c r="B503" t="inlineStr">
        <is>
          <t>DC715 .R6413 1987</t>
        </is>
      </c>
      <c r="C503" t="inlineStr">
        <is>
          <t>0                      DC 0715000R  6413        1987</t>
        </is>
      </c>
      <c r="D503" t="inlineStr">
        <is>
          <t>The people of Paris : an essay in popular culture in the 18th century / Daniel Roche ; translated by Marie Evans in association with Gwynne Lewis.</t>
        </is>
      </c>
      <c r="F503" t="inlineStr">
        <is>
          <t>No</t>
        </is>
      </c>
      <c r="G503" t="inlineStr">
        <is>
          <t>1</t>
        </is>
      </c>
      <c r="H503" t="inlineStr">
        <is>
          <t>No</t>
        </is>
      </c>
      <c r="I503" t="inlineStr">
        <is>
          <t>No</t>
        </is>
      </c>
      <c r="J503" t="inlineStr">
        <is>
          <t>0</t>
        </is>
      </c>
      <c r="K503" t="inlineStr">
        <is>
          <t>Roche, Daniel.</t>
        </is>
      </c>
      <c r="L503" t="inlineStr">
        <is>
          <t>Berkeley : University of California Press, 1987.</t>
        </is>
      </c>
      <c r="M503" t="inlineStr">
        <is>
          <t>1987</t>
        </is>
      </c>
      <c r="O503" t="inlineStr">
        <is>
          <t>eng</t>
        </is>
      </c>
      <c r="P503" t="inlineStr">
        <is>
          <t>cau</t>
        </is>
      </c>
      <c r="Q503" t="inlineStr">
        <is>
          <t>Studies on the history of society and culture ; 2</t>
        </is>
      </c>
      <c r="R503" t="inlineStr">
        <is>
          <t xml:space="preserve">DC </t>
        </is>
      </c>
      <c r="S503" t="n">
        <v>1</v>
      </c>
      <c r="T503" t="n">
        <v>1</v>
      </c>
      <c r="U503" t="inlineStr">
        <is>
          <t>1997-12-19</t>
        </is>
      </c>
      <c r="V503" t="inlineStr">
        <is>
          <t>1997-12-19</t>
        </is>
      </c>
      <c r="W503" t="inlineStr">
        <is>
          <t>1997-11-24</t>
        </is>
      </c>
      <c r="X503" t="inlineStr">
        <is>
          <t>1997-11-24</t>
        </is>
      </c>
      <c r="Y503" t="n">
        <v>603</v>
      </c>
      <c r="Z503" t="n">
        <v>539</v>
      </c>
      <c r="AA503" t="n">
        <v>595</v>
      </c>
      <c r="AB503" t="n">
        <v>4</v>
      </c>
      <c r="AC503" t="n">
        <v>5</v>
      </c>
      <c r="AD503" t="n">
        <v>34</v>
      </c>
      <c r="AE503" t="n">
        <v>35</v>
      </c>
      <c r="AF503" t="n">
        <v>14</v>
      </c>
      <c r="AG503" t="n">
        <v>14</v>
      </c>
      <c r="AH503" t="n">
        <v>10</v>
      </c>
      <c r="AI503" t="n">
        <v>10</v>
      </c>
      <c r="AJ503" t="n">
        <v>16</v>
      </c>
      <c r="AK503" t="n">
        <v>16</v>
      </c>
      <c r="AL503" t="n">
        <v>3</v>
      </c>
      <c r="AM503" t="n">
        <v>4</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HYPERLINK("https://creighton-primo.hosted.exlibrisgroup.com/primo-explore/search?tab=default_tab&amp;search_scope=EVERYTHING&amp;vid=01CRU&amp;lang=en_US&amp;offset=0&amp;query=any,contains,991000934509702656","Catalog Record")</f>
        <v/>
      </c>
      <c r="AT503">
        <f>HYPERLINK("http://www.worldcat.org/oclc/14357500","WorldCat Record")</f>
        <v/>
      </c>
      <c r="AU503" t="inlineStr">
        <is>
          <t>1151039430:eng</t>
        </is>
      </c>
      <c r="AV503" t="inlineStr">
        <is>
          <t>14357500</t>
        </is>
      </c>
      <c r="AW503" t="inlineStr">
        <is>
          <t>991000934509702656</t>
        </is>
      </c>
      <c r="AX503" t="inlineStr">
        <is>
          <t>991000934509702656</t>
        </is>
      </c>
      <c r="AY503" t="inlineStr">
        <is>
          <t>2256068820002656</t>
        </is>
      </c>
      <c r="AZ503" t="inlineStr">
        <is>
          <t>BOOK</t>
        </is>
      </c>
      <c r="BB503" t="inlineStr">
        <is>
          <t>9780520058576</t>
        </is>
      </c>
      <c r="BC503" t="inlineStr">
        <is>
          <t>32285003272878</t>
        </is>
      </c>
      <c r="BD503" t="inlineStr">
        <is>
          <t>893502947</t>
        </is>
      </c>
    </row>
    <row r="504">
      <c r="A504" t="inlineStr">
        <is>
          <t>No</t>
        </is>
      </c>
      <c r="B504" t="inlineStr">
        <is>
          <t>DC723 .H57</t>
        </is>
      </c>
      <c r="C504" t="inlineStr">
        <is>
          <t>0                      DC 0723000H  57</t>
        </is>
      </c>
      <c r="D504" t="inlineStr">
        <is>
          <t>Histoire de Paris et des parisiens / réalisé sous la direction générale de Robert Laffont.</t>
        </is>
      </c>
      <c r="F504" t="inlineStr">
        <is>
          <t>No</t>
        </is>
      </c>
      <c r="G504" t="inlineStr">
        <is>
          <t>1</t>
        </is>
      </c>
      <c r="H504" t="inlineStr">
        <is>
          <t>No</t>
        </is>
      </c>
      <c r="I504" t="inlineStr">
        <is>
          <t>No</t>
        </is>
      </c>
      <c r="J504" t="inlineStr">
        <is>
          <t>0</t>
        </is>
      </c>
      <c r="L504" t="inlineStr">
        <is>
          <t>Paris : Laffont, [1958]</t>
        </is>
      </c>
      <c r="M504" t="inlineStr">
        <is>
          <t>1958</t>
        </is>
      </c>
      <c r="O504" t="inlineStr">
        <is>
          <t>fre</t>
        </is>
      </c>
      <c r="P504" t="inlineStr">
        <is>
          <t xml:space="preserve">fr </t>
        </is>
      </c>
      <c r="Q504" t="inlineStr">
        <is>
          <t>Panoramas d'histoire ; [1]</t>
        </is>
      </c>
      <c r="R504" t="inlineStr">
        <is>
          <t xml:space="preserve">DC </t>
        </is>
      </c>
      <c r="S504" t="n">
        <v>5</v>
      </c>
      <c r="T504" t="n">
        <v>5</v>
      </c>
      <c r="U504" t="inlineStr">
        <is>
          <t>2004-04-28</t>
        </is>
      </c>
      <c r="V504" t="inlineStr">
        <is>
          <t>2004-04-28</t>
        </is>
      </c>
      <c r="W504" t="inlineStr">
        <is>
          <t>1992-06-04</t>
        </is>
      </c>
      <c r="X504" t="inlineStr">
        <is>
          <t>1992-06-04</t>
        </is>
      </c>
      <c r="Y504" t="n">
        <v>7</v>
      </c>
      <c r="Z504" t="n">
        <v>4</v>
      </c>
      <c r="AA504" t="n">
        <v>96</v>
      </c>
      <c r="AB504" t="n">
        <v>1</v>
      </c>
      <c r="AC504" t="n">
        <v>2</v>
      </c>
      <c r="AD504" t="n">
        <v>0</v>
      </c>
      <c r="AE504" t="n">
        <v>3</v>
      </c>
      <c r="AF504" t="n">
        <v>0</v>
      </c>
      <c r="AG504" t="n">
        <v>1</v>
      </c>
      <c r="AH504" t="n">
        <v>0</v>
      </c>
      <c r="AI504" t="n">
        <v>0</v>
      </c>
      <c r="AJ504" t="n">
        <v>0</v>
      </c>
      <c r="AK504" t="n">
        <v>2</v>
      </c>
      <c r="AL504" t="n">
        <v>0</v>
      </c>
      <c r="AM504" t="n">
        <v>1</v>
      </c>
      <c r="AN504" t="n">
        <v>0</v>
      </c>
      <c r="AO504" t="n">
        <v>0</v>
      </c>
      <c r="AP504" t="inlineStr">
        <is>
          <t>No</t>
        </is>
      </c>
      <c r="AQ504" t="inlineStr">
        <is>
          <t>Yes</t>
        </is>
      </c>
      <c r="AR504">
        <f>HYPERLINK("http://catalog.hathitrust.org/Record/000346619","HathiTrust Record")</f>
        <v/>
      </c>
      <c r="AS504">
        <f>HYPERLINK("https://creighton-primo.hosted.exlibrisgroup.com/primo-explore/search?tab=default_tab&amp;search_scope=EVERYTHING&amp;vid=01CRU&amp;lang=en_US&amp;offset=0&amp;query=any,contains,991001863329702656","Catalog Record")</f>
        <v/>
      </c>
      <c r="AT504">
        <f>HYPERLINK("http://www.worldcat.org/oclc/23403059","WorldCat Record")</f>
        <v/>
      </c>
      <c r="AU504" t="inlineStr">
        <is>
          <t>53634974:fre</t>
        </is>
      </c>
      <c r="AV504" t="inlineStr">
        <is>
          <t>23403059</t>
        </is>
      </c>
      <c r="AW504" t="inlineStr">
        <is>
          <t>991001863329702656</t>
        </is>
      </c>
      <c r="AX504" t="inlineStr">
        <is>
          <t>991001863329702656</t>
        </is>
      </c>
      <c r="AY504" t="inlineStr">
        <is>
          <t>2261586930002656</t>
        </is>
      </c>
      <c r="AZ504" t="inlineStr">
        <is>
          <t>BOOK</t>
        </is>
      </c>
      <c r="BC504" t="inlineStr">
        <is>
          <t>32285001130441</t>
        </is>
      </c>
      <c r="BD504" t="inlineStr">
        <is>
          <t>893414557</t>
        </is>
      </c>
    </row>
    <row r="505">
      <c r="A505" t="inlineStr">
        <is>
          <t>No</t>
        </is>
      </c>
      <c r="B505" t="inlineStr">
        <is>
          <t>DC727 .L437 2006</t>
        </is>
      </c>
      <c r="C505" t="inlineStr">
        <is>
          <t>0                      DC 0727000L  437         2006</t>
        </is>
      </c>
      <c r="D505" t="inlineStr">
        <is>
          <t>Paris au temps d'Ignace de Loyola, 1528-1535 / Philippe Lécrivain.</t>
        </is>
      </c>
      <c r="F505" t="inlineStr">
        <is>
          <t>No</t>
        </is>
      </c>
      <c r="G505" t="inlineStr">
        <is>
          <t>1</t>
        </is>
      </c>
      <c r="H505" t="inlineStr">
        <is>
          <t>No</t>
        </is>
      </c>
      <c r="I505" t="inlineStr">
        <is>
          <t>No</t>
        </is>
      </c>
      <c r="J505" t="inlineStr">
        <is>
          <t>0</t>
        </is>
      </c>
      <c r="K505" t="inlineStr">
        <is>
          <t>Lécrivain, Philippe.</t>
        </is>
      </c>
      <c r="L505" t="inlineStr">
        <is>
          <t>Paris : Editions Facultés jésuites de Paris, c2006.</t>
        </is>
      </c>
      <c r="M505" t="inlineStr">
        <is>
          <t>2006</t>
        </is>
      </c>
      <c r="O505" t="inlineStr">
        <is>
          <t>fre</t>
        </is>
      </c>
      <c r="P505" t="inlineStr">
        <is>
          <t xml:space="preserve">fr </t>
        </is>
      </c>
      <c r="R505" t="inlineStr">
        <is>
          <t xml:space="preserve">DC </t>
        </is>
      </c>
      <c r="S505" t="n">
        <v>1</v>
      </c>
      <c r="T505" t="n">
        <v>1</v>
      </c>
      <c r="U505" t="inlineStr">
        <is>
          <t>2009-12-03</t>
        </is>
      </c>
      <c r="V505" t="inlineStr">
        <is>
          <t>2009-12-03</t>
        </is>
      </c>
      <c r="W505" t="inlineStr">
        <is>
          <t>2009-12-03</t>
        </is>
      </c>
      <c r="X505" t="inlineStr">
        <is>
          <t>2009-12-03</t>
        </is>
      </c>
      <c r="Y505" t="n">
        <v>26</v>
      </c>
      <c r="Z505" t="n">
        <v>21</v>
      </c>
      <c r="AA505" t="n">
        <v>26</v>
      </c>
      <c r="AB505" t="n">
        <v>1</v>
      </c>
      <c r="AC505" t="n">
        <v>1</v>
      </c>
      <c r="AD505" t="n">
        <v>3</v>
      </c>
      <c r="AE505" t="n">
        <v>3</v>
      </c>
      <c r="AF505" t="n">
        <v>0</v>
      </c>
      <c r="AG505" t="n">
        <v>0</v>
      </c>
      <c r="AH505" t="n">
        <v>1</v>
      </c>
      <c r="AI505" t="n">
        <v>1</v>
      </c>
      <c r="AJ505" t="n">
        <v>3</v>
      </c>
      <c r="AK505" t="n">
        <v>3</v>
      </c>
      <c r="AL505" t="n">
        <v>0</v>
      </c>
      <c r="AM505" t="n">
        <v>0</v>
      </c>
      <c r="AN505" t="n">
        <v>0</v>
      </c>
      <c r="AO505" t="n">
        <v>0</v>
      </c>
      <c r="AP505" t="inlineStr">
        <is>
          <t>No</t>
        </is>
      </c>
      <c r="AQ505" t="inlineStr">
        <is>
          <t>Yes</t>
        </is>
      </c>
      <c r="AR505">
        <f>HYPERLINK("http://catalog.hathitrust.org/Record/005213556","HathiTrust Record")</f>
        <v/>
      </c>
      <c r="AS505">
        <f>HYPERLINK("https://creighton-primo.hosted.exlibrisgroup.com/primo-explore/search?tab=default_tab&amp;search_scope=EVERYTHING&amp;vid=01CRU&amp;lang=en_US&amp;offset=0&amp;query=any,contains,991005345309702656","Catalog Record")</f>
        <v/>
      </c>
      <c r="AT505">
        <f>HYPERLINK("http://www.worldcat.org/oclc/64400049","WorldCat Record")</f>
        <v/>
      </c>
      <c r="AU505" t="inlineStr">
        <is>
          <t>1807287216:fre</t>
        </is>
      </c>
      <c r="AV505" t="inlineStr">
        <is>
          <t>64400049</t>
        </is>
      </c>
      <c r="AW505" t="inlineStr">
        <is>
          <t>991005345309702656</t>
        </is>
      </c>
      <c r="AX505" t="inlineStr">
        <is>
          <t>991005345309702656</t>
        </is>
      </c>
      <c r="AY505" t="inlineStr">
        <is>
          <t>2272007990002656</t>
        </is>
      </c>
      <c r="AZ505" t="inlineStr">
        <is>
          <t>BOOK</t>
        </is>
      </c>
      <c r="BB505" t="inlineStr">
        <is>
          <t>9782848470092</t>
        </is>
      </c>
      <c r="BC505" t="inlineStr">
        <is>
          <t>32285005553663</t>
        </is>
      </c>
      <c r="BD505" t="inlineStr">
        <is>
          <t>893896250</t>
        </is>
      </c>
    </row>
    <row r="506">
      <c r="A506" t="inlineStr">
        <is>
          <t>No</t>
        </is>
      </c>
      <c r="B506" t="inlineStr">
        <is>
          <t>DC729 .B45</t>
        </is>
      </c>
      <c r="C506" t="inlineStr">
        <is>
          <t>0                      DC 0729000B  45</t>
        </is>
      </c>
      <c r="D506" t="inlineStr">
        <is>
          <t>The emerging city: Paris in the age of Louis XIV.</t>
        </is>
      </c>
      <c r="F506" t="inlineStr">
        <is>
          <t>No</t>
        </is>
      </c>
      <c r="G506" t="inlineStr">
        <is>
          <t>1</t>
        </is>
      </c>
      <c r="H506" t="inlineStr">
        <is>
          <t>No</t>
        </is>
      </c>
      <c r="I506" t="inlineStr">
        <is>
          <t>No</t>
        </is>
      </c>
      <c r="J506" t="inlineStr">
        <is>
          <t>0</t>
        </is>
      </c>
      <c r="K506" t="inlineStr">
        <is>
          <t>Bernard, Leon, 1917-</t>
        </is>
      </c>
      <c r="L506" t="inlineStr">
        <is>
          <t>Durham, N.C., Duke University Press, 1970.</t>
        </is>
      </c>
      <c r="M506" t="inlineStr">
        <is>
          <t>1970</t>
        </is>
      </c>
      <c r="O506" t="inlineStr">
        <is>
          <t>eng</t>
        </is>
      </c>
      <c r="P506" t="inlineStr">
        <is>
          <t>ncu</t>
        </is>
      </c>
      <c r="R506" t="inlineStr">
        <is>
          <t xml:space="preserve">DC </t>
        </is>
      </c>
      <c r="S506" t="n">
        <v>1</v>
      </c>
      <c r="T506" t="n">
        <v>1</v>
      </c>
      <c r="U506" t="inlineStr">
        <is>
          <t>2001-05-09</t>
        </is>
      </c>
      <c r="V506" t="inlineStr">
        <is>
          <t>2001-05-09</t>
        </is>
      </c>
      <c r="W506" t="inlineStr">
        <is>
          <t>1996-11-20</t>
        </is>
      </c>
      <c r="X506" t="inlineStr">
        <is>
          <t>1996-11-20</t>
        </is>
      </c>
      <c r="Y506" t="n">
        <v>729</v>
      </c>
      <c r="Z506" t="n">
        <v>607</v>
      </c>
      <c r="AA506" t="n">
        <v>611</v>
      </c>
      <c r="AB506" t="n">
        <v>4</v>
      </c>
      <c r="AC506" t="n">
        <v>4</v>
      </c>
      <c r="AD506" t="n">
        <v>28</v>
      </c>
      <c r="AE506" t="n">
        <v>28</v>
      </c>
      <c r="AF506" t="n">
        <v>9</v>
      </c>
      <c r="AG506" t="n">
        <v>9</v>
      </c>
      <c r="AH506" t="n">
        <v>8</v>
      </c>
      <c r="AI506" t="n">
        <v>8</v>
      </c>
      <c r="AJ506" t="n">
        <v>17</v>
      </c>
      <c r="AK506" t="n">
        <v>17</v>
      </c>
      <c r="AL506" t="n">
        <v>3</v>
      </c>
      <c r="AM506" t="n">
        <v>3</v>
      </c>
      <c r="AN506" t="n">
        <v>0</v>
      </c>
      <c r="AO506" t="n">
        <v>0</v>
      </c>
      <c r="AP506" t="inlineStr">
        <is>
          <t>No</t>
        </is>
      </c>
      <c r="AQ506" t="inlineStr">
        <is>
          <t>Yes</t>
        </is>
      </c>
      <c r="AR506">
        <f>HYPERLINK("http://catalog.hathitrust.org/Record/000001113","HathiTrust Record")</f>
        <v/>
      </c>
      <c r="AS506">
        <f>HYPERLINK("https://creighton-primo.hosted.exlibrisgroup.com/primo-explore/search?tab=default_tab&amp;search_scope=EVERYTHING&amp;vid=01CRU&amp;lang=en_US&amp;offset=0&amp;query=any,contains,991000515689702656","Catalog Record")</f>
        <v/>
      </c>
      <c r="AT506">
        <f>HYPERLINK("http://www.worldcat.org/oclc/85566","WorldCat Record")</f>
        <v/>
      </c>
      <c r="AU506" t="inlineStr">
        <is>
          <t>486024:eng</t>
        </is>
      </c>
      <c r="AV506" t="inlineStr">
        <is>
          <t>85566</t>
        </is>
      </c>
      <c r="AW506" t="inlineStr">
        <is>
          <t>991000515689702656</t>
        </is>
      </c>
      <c r="AX506" t="inlineStr">
        <is>
          <t>991000515689702656</t>
        </is>
      </c>
      <c r="AY506" t="inlineStr">
        <is>
          <t>2267067490002656</t>
        </is>
      </c>
      <c r="AZ506" t="inlineStr">
        <is>
          <t>BOOK</t>
        </is>
      </c>
      <c r="BC506" t="inlineStr">
        <is>
          <t>32285002381100</t>
        </is>
      </c>
      <c r="BD506" t="inlineStr">
        <is>
          <t>893601815</t>
        </is>
      </c>
    </row>
    <row r="507">
      <c r="A507" t="inlineStr">
        <is>
          <t>No</t>
        </is>
      </c>
      <c r="B507" t="inlineStr">
        <is>
          <t>DC729 .G3</t>
        </is>
      </c>
      <c r="C507" t="inlineStr">
        <is>
          <t>0                      DC 0729000G  3</t>
        </is>
      </c>
      <c r="D507" t="inlineStr">
        <is>
          <t>The diary of David Garrick, being a record of his memorable trip to Paris in 1751 / now first printed from the original ms. and edited by Ryliss Clair Alexander ; with illustrations and collotype facsimiles of the ms.</t>
        </is>
      </c>
      <c r="F507" t="inlineStr">
        <is>
          <t>No</t>
        </is>
      </c>
      <c r="G507" t="inlineStr">
        <is>
          <t>1</t>
        </is>
      </c>
      <c r="H507" t="inlineStr">
        <is>
          <t>Yes</t>
        </is>
      </c>
      <c r="I507" t="inlineStr">
        <is>
          <t>No</t>
        </is>
      </c>
      <c r="J507" t="inlineStr">
        <is>
          <t>0</t>
        </is>
      </c>
      <c r="K507" t="inlineStr">
        <is>
          <t>Garrick, David, 1717-1779.</t>
        </is>
      </c>
      <c r="L507" t="inlineStr">
        <is>
          <t>New York : Oxford University Press, 1928.</t>
        </is>
      </c>
      <c r="M507" t="inlineStr">
        <is>
          <t>1928</t>
        </is>
      </c>
      <c r="O507" t="inlineStr">
        <is>
          <t>eng</t>
        </is>
      </c>
      <c r="P507" t="inlineStr">
        <is>
          <t xml:space="preserve">xx </t>
        </is>
      </c>
      <c r="R507" t="inlineStr">
        <is>
          <t xml:space="preserve">DC </t>
        </is>
      </c>
      <c r="S507" t="n">
        <v>1</v>
      </c>
      <c r="T507" t="n">
        <v>1</v>
      </c>
      <c r="U507" t="inlineStr">
        <is>
          <t>1997-04-21</t>
        </is>
      </c>
      <c r="V507" t="inlineStr">
        <is>
          <t>1997-04-21</t>
        </is>
      </c>
      <c r="W507" t="inlineStr">
        <is>
          <t>1996-11-20</t>
        </is>
      </c>
      <c r="X507" t="inlineStr">
        <is>
          <t>2005-08-22</t>
        </is>
      </c>
      <c r="Y507" t="n">
        <v>173</v>
      </c>
      <c r="Z507" t="n">
        <v>152</v>
      </c>
      <c r="AA507" t="n">
        <v>382</v>
      </c>
      <c r="AB507" t="n">
        <v>3</v>
      </c>
      <c r="AC507" t="n">
        <v>3</v>
      </c>
      <c r="AD507" t="n">
        <v>6</v>
      </c>
      <c r="AE507" t="n">
        <v>21</v>
      </c>
      <c r="AF507" t="n">
        <v>1</v>
      </c>
      <c r="AG507" t="n">
        <v>9</v>
      </c>
      <c r="AH507" t="n">
        <v>1</v>
      </c>
      <c r="AI507" t="n">
        <v>5</v>
      </c>
      <c r="AJ507" t="n">
        <v>3</v>
      </c>
      <c r="AK507" t="n">
        <v>11</v>
      </c>
      <c r="AL507" t="n">
        <v>2</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HYPERLINK("https://creighton-primo.hosted.exlibrisgroup.com/primo-explore/search?tab=default_tab&amp;search_scope=EVERYTHING&amp;vid=01CRU&amp;lang=en_US&amp;offset=0&amp;query=any,contains,991003799919702656","Catalog Record")</f>
        <v/>
      </c>
      <c r="AT507">
        <f>HYPERLINK("http://www.worldcat.org/oclc/1526452","WorldCat Record")</f>
        <v/>
      </c>
      <c r="AU507" t="inlineStr">
        <is>
          <t>1259491:eng</t>
        </is>
      </c>
      <c r="AV507" t="inlineStr">
        <is>
          <t>1526452</t>
        </is>
      </c>
      <c r="AW507" t="inlineStr">
        <is>
          <t>991003799919702656</t>
        </is>
      </c>
      <c r="AX507" t="inlineStr">
        <is>
          <t>991003799919702656</t>
        </is>
      </c>
      <c r="AY507" t="inlineStr">
        <is>
          <t>2258797400002656</t>
        </is>
      </c>
      <c r="AZ507" t="inlineStr">
        <is>
          <t>BOOK</t>
        </is>
      </c>
      <c r="BC507" t="inlineStr">
        <is>
          <t>32285002381126</t>
        </is>
      </c>
      <c r="BD507" t="inlineStr">
        <is>
          <t>893800182</t>
        </is>
      </c>
    </row>
    <row r="508">
      <c r="A508" t="inlineStr">
        <is>
          <t>No</t>
        </is>
      </c>
      <c r="B508" t="inlineStr">
        <is>
          <t>DC729 .I84 1986</t>
        </is>
      </c>
      <c r="C508" t="inlineStr">
        <is>
          <t>0                      DC 0729000I  84          1986</t>
        </is>
      </c>
      <c r="D508" t="inlineStr">
        <is>
          <t>Farce and fantasy : popular entertainment in eighteenth-century Paris / Robert M. Isherwood.</t>
        </is>
      </c>
      <c r="F508" t="inlineStr">
        <is>
          <t>No</t>
        </is>
      </c>
      <c r="G508" t="inlineStr">
        <is>
          <t>1</t>
        </is>
      </c>
      <c r="H508" t="inlineStr">
        <is>
          <t>No</t>
        </is>
      </c>
      <c r="I508" t="inlineStr">
        <is>
          <t>No</t>
        </is>
      </c>
      <c r="J508" t="inlineStr">
        <is>
          <t>0</t>
        </is>
      </c>
      <c r="K508" t="inlineStr">
        <is>
          <t>Isherwood, Robert M., 1935-2007.</t>
        </is>
      </c>
      <c r="L508" t="inlineStr">
        <is>
          <t>New York : Oxford University Press, 1986.</t>
        </is>
      </c>
      <c r="M508" t="inlineStr">
        <is>
          <t>1986</t>
        </is>
      </c>
      <c r="O508" t="inlineStr">
        <is>
          <t>eng</t>
        </is>
      </c>
      <c r="P508" t="inlineStr">
        <is>
          <t>nyu</t>
        </is>
      </c>
      <c r="R508" t="inlineStr">
        <is>
          <t xml:space="preserve">DC </t>
        </is>
      </c>
      <c r="S508" t="n">
        <v>3</v>
      </c>
      <c r="T508" t="n">
        <v>3</v>
      </c>
      <c r="U508" t="inlineStr">
        <is>
          <t>1997-01-27</t>
        </is>
      </c>
      <c r="V508" t="inlineStr">
        <is>
          <t>1997-01-27</t>
        </is>
      </c>
      <c r="W508" t="inlineStr">
        <is>
          <t>1991-01-16</t>
        </is>
      </c>
      <c r="X508" t="inlineStr">
        <is>
          <t>1991-01-16</t>
        </is>
      </c>
      <c r="Y508" t="n">
        <v>712</v>
      </c>
      <c r="Z508" t="n">
        <v>572</v>
      </c>
      <c r="AA508" t="n">
        <v>596</v>
      </c>
      <c r="AB508" t="n">
        <v>4</v>
      </c>
      <c r="AC508" t="n">
        <v>4</v>
      </c>
      <c r="AD508" t="n">
        <v>28</v>
      </c>
      <c r="AE508" t="n">
        <v>29</v>
      </c>
      <c r="AF508" t="n">
        <v>13</v>
      </c>
      <c r="AG508" t="n">
        <v>13</v>
      </c>
      <c r="AH508" t="n">
        <v>8</v>
      </c>
      <c r="AI508" t="n">
        <v>9</v>
      </c>
      <c r="AJ508" t="n">
        <v>12</v>
      </c>
      <c r="AK508" t="n">
        <v>12</v>
      </c>
      <c r="AL508" t="n">
        <v>3</v>
      </c>
      <c r="AM508" t="n">
        <v>3</v>
      </c>
      <c r="AN508" t="n">
        <v>0</v>
      </c>
      <c r="AO508" t="n">
        <v>0</v>
      </c>
      <c r="AP508" t="inlineStr">
        <is>
          <t>No</t>
        </is>
      </c>
      <c r="AQ508" t="inlineStr">
        <is>
          <t>Yes</t>
        </is>
      </c>
      <c r="AR508">
        <f>HYPERLINK("http://catalog.hathitrust.org/Record/000382616","HathiTrust Record")</f>
        <v/>
      </c>
      <c r="AS508">
        <f>HYPERLINK("https://creighton-primo.hosted.exlibrisgroup.com/primo-explore/search?tab=default_tab&amp;search_scope=EVERYTHING&amp;vid=01CRU&amp;lang=en_US&amp;offset=0&amp;query=any,contains,991000590129702656","Catalog Record")</f>
        <v/>
      </c>
      <c r="AT508">
        <f>HYPERLINK("http://www.worldcat.org/oclc/11784518","WorldCat Record")</f>
        <v/>
      </c>
      <c r="AU508" t="inlineStr">
        <is>
          <t>198247197:eng</t>
        </is>
      </c>
      <c r="AV508" t="inlineStr">
        <is>
          <t>11784518</t>
        </is>
      </c>
      <c r="AW508" t="inlineStr">
        <is>
          <t>991000590129702656</t>
        </is>
      </c>
      <c r="AX508" t="inlineStr">
        <is>
          <t>991000590129702656</t>
        </is>
      </c>
      <c r="AY508" t="inlineStr">
        <is>
          <t>2256945340002656</t>
        </is>
      </c>
      <c r="AZ508" t="inlineStr">
        <is>
          <t>BOOK</t>
        </is>
      </c>
      <c r="BB508" t="inlineStr">
        <is>
          <t>9780195036480</t>
        </is>
      </c>
      <c r="BC508" t="inlineStr">
        <is>
          <t>32285000455369</t>
        </is>
      </c>
      <c r="BD508" t="inlineStr">
        <is>
          <t>893345798</t>
        </is>
      </c>
    </row>
    <row r="509">
      <c r="A509" t="inlineStr">
        <is>
          <t>No</t>
        </is>
      </c>
      <c r="B509" t="inlineStr">
        <is>
          <t>DC729 .R3</t>
        </is>
      </c>
      <c r="C509" t="inlineStr">
        <is>
          <t>0                      DC 0729000R  3</t>
        </is>
      </c>
      <c r="D509" t="inlineStr">
        <is>
          <t>Paris in the age of absolutism; an essay [by] Orest Ranum.</t>
        </is>
      </c>
      <c r="F509" t="inlineStr">
        <is>
          <t>No</t>
        </is>
      </c>
      <c r="G509" t="inlineStr">
        <is>
          <t>1</t>
        </is>
      </c>
      <c r="H509" t="inlineStr">
        <is>
          <t>No</t>
        </is>
      </c>
      <c r="I509" t="inlineStr">
        <is>
          <t>No</t>
        </is>
      </c>
      <c r="J509" t="inlineStr">
        <is>
          <t>0</t>
        </is>
      </c>
      <c r="K509" t="inlineStr">
        <is>
          <t>Ranum, Orest A.</t>
        </is>
      </c>
      <c r="L509" t="inlineStr">
        <is>
          <t>New York, Wiley [1968]</t>
        </is>
      </c>
      <c r="M509" t="inlineStr">
        <is>
          <t>1968</t>
        </is>
      </c>
      <c r="O509" t="inlineStr">
        <is>
          <t>eng</t>
        </is>
      </c>
      <c r="P509" t="inlineStr">
        <is>
          <t>nyu</t>
        </is>
      </c>
      <c r="Q509" t="inlineStr">
        <is>
          <t>New dimensions in history. Historical cities</t>
        </is>
      </c>
      <c r="R509" t="inlineStr">
        <is>
          <t xml:space="preserve">DC </t>
        </is>
      </c>
      <c r="S509" t="n">
        <v>4</v>
      </c>
      <c r="T509" t="n">
        <v>4</v>
      </c>
      <c r="U509" t="inlineStr">
        <is>
          <t>2001-10-12</t>
        </is>
      </c>
      <c r="V509" t="inlineStr">
        <is>
          <t>2001-10-12</t>
        </is>
      </c>
      <c r="W509" t="inlineStr">
        <is>
          <t>1996-11-20</t>
        </is>
      </c>
      <c r="X509" t="inlineStr">
        <is>
          <t>1996-11-20</t>
        </is>
      </c>
      <c r="Y509" t="n">
        <v>656</v>
      </c>
      <c r="Z509" t="n">
        <v>532</v>
      </c>
      <c r="AA509" t="n">
        <v>826</v>
      </c>
      <c r="AB509" t="n">
        <v>3</v>
      </c>
      <c r="AC509" t="n">
        <v>13</v>
      </c>
      <c r="AD509" t="n">
        <v>21</v>
      </c>
      <c r="AE509" t="n">
        <v>37</v>
      </c>
      <c r="AF509" t="n">
        <v>4</v>
      </c>
      <c r="AG509" t="n">
        <v>10</v>
      </c>
      <c r="AH509" t="n">
        <v>4</v>
      </c>
      <c r="AI509" t="n">
        <v>6</v>
      </c>
      <c r="AJ509" t="n">
        <v>16</v>
      </c>
      <c r="AK509" t="n">
        <v>20</v>
      </c>
      <c r="AL509" t="n">
        <v>2</v>
      </c>
      <c r="AM509" t="n">
        <v>8</v>
      </c>
      <c r="AN509" t="n">
        <v>0</v>
      </c>
      <c r="AO509" t="n">
        <v>0</v>
      </c>
      <c r="AP509" t="inlineStr">
        <is>
          <t>No</t>
        </is>
      </c>
      <c r="AQ509" t="inlineStr">
        <is>
          <t>Yes</t>
        </is>
      </c>
      <c r="AR509">
        <f>HYPERLINK("http://catalog.hathitrust.org/Record/000369162","HathiTrust Record")</f>
        <v/>
      </c>
      <c r="AS509">
        <f>HYPERLINK("https://creighton-primo.hosted.exlibrisgroup.com/primo-explore/search?tab=default_tab&amp;search_scope=EVERYTHING&amp;vid=01CRU&amp;lang=en_US&amp;offset=0&amp;query=any,contains,991001180009702656","Catalog Record")</f>
        <v/>
      </c>
      <c r="AT509">
        <f>HYPERLINK("http://www.worldcat.org/oclc/189903","WorldCat Record")</f>
        <v/>
      </c>
      <c r="AU509" t="inlineStr">
        <is>
          <t>3943363753:eng</t>
        </is>
      </c>
      <c r="AV509" t="inlineStr">
        <is>
          <t>189903</t>
        </is>
      </c>
      <c r="AW509" t="inlineStr">
        <is>
          <t>991001180009702656</t>
        </is>
      </c>
      <c r="AX509" t="inlineStr">
        <is>
          <t>991001180009702656</t>
        </is>
      </c>
      <c r="AY509" t="inlineStr">
        <is>
          <t>2268482580002656</t>
        </is>
      </c>
      <c r="AZ509" t="inlineStr">
        <is>
          <t>BOOK</t>
        </is>
      </c>
      <c r="BB509" t="inlineStr">
        <is>
          <t>9780471708186</t>
        </is>
      </c>
      <c r="BC509" t="inlineStr">
        <is>
          <t>32285002381134</t>
        </is>
      </c>
      <c r="BD509" t="inlineStr">
        <is>
          <t>893709061</t>
        </is>
      </c>
    </row>
    <row r="510">
      <c r="A510" t="inlineStr">
        <is>
          <t>No</t>
        </is>
      </c>
      <c r="B510" t="inlineStr">
        <is>
          <t>DC73 .B8 1966</t>
        </is>
      </c>
      <c r="C510" t="inlineStr">
        <is>
          <t>0                      DC 0073000B  8           1966</t>
        </is>
      </c>
      <c r="D510" t="inlineStr">
        <is>
          <t>The age of Charlemagne / text by Donald Bullough. Photos. by Edwin Smith and others.</t>
        </is>
      </c>
      <c r="F510" t="inlineStr">
        <is>
          <t>No</t>
        </is>
      </c>
      <c r="G510" t="inlineStr">
        <is>
          <t>1</t>
        </is>
      </c>
      <c r="H510" t="inlineStr">
        <is>
          <t>No</t>
        </is>
      </c>
      <c r="I510" t="inlineStr">
        <is>
          <t>No</t>
        </is>
      </c>
      <c r="J510" t="inlineStr">
        <is>
          <t>0</t>
        </is>
      </c>
      <c r="K510" t="inlineStr">
        <is>
          <t>Bullough, Donald A.</t>
        </is>
      </c>
      <c r="L510" t="inlineStr">
        <is>
          <t>New York : Putnam, [1966, c1965]</t>
        </is>
      </c>
      <c r="M510" t="inlineStr">
        <is>
          <t>1966</t>
        </is>
      </c>
      <c r="N510" t="inlineStr">
        <is>
          <t>[1st American ed.]</t>
        </is>
      </c>
      <c r="O510" t="inlineStr">
        <is>
          <t>eng</t>
        </is>
      </c>
      <c r="P510" t="inlineStr">
        <is>
          <t>nyu</t>
        </is>
      </c>
      <c r="R510" t="inlineStr">
        <is>
          <t xml:space="preserve">DC </t>
        </is>
      </c>
      <c r="S510" t="n">
        <v>4</v>
      </c>
      <c r="T510" t="n">
        <v>4</v>
      </c>
      <c r="U510" t="inlineStr">
        <is>
          <t>2002-11-06</t>
        </is>
      </c>
      <c r="V510" t="inlineStr">
        <is>
          <t>2002-11-06</t>
        </is>
      </c>
      <c r="W510" t="inlineStr">
        <is>
          <t>1994-01-12</t>
        </is>
      </c>
      <c r="X510" t="inlineStr">
        <is>
          <t>1994-01-12</t>
        </is>
      </c>
      <c r="Y510" t="n">
        <v>645</v>
      </c>
      <c r="Z510" t="n">
        <v>628</v>
      </c>
      <c r="AA510" t="n">
        <v>1101</v>
      </c>
      <c r="AB510" t="n">
        <v>3</v>
      </c>
      <c r="AC510" t="n">
        <v>5</v>
      </c>
      <c r="AD510" t="n">
        <v>16</v>
      </c>
      <c r="AE510" t="n">
        <v>29</v>
      </c>
      <c r="AF510" t="n">
        <v>5</v>
      </c>
      <c r="AG510" t="n">
        <v>10</v>
      </c>
      <c r="AH510" t="n">
        <v>5</v>
      </c>
      <c r="AI510" t="n">
        <v>8</v>
      </c>
      <c r="AJ510" t="n">
        <v>9</v>
      </c>
      <c r="AK510" t="n">
        <v>16</v>
      </c>
      <c r="AL510" t="n">
        <v>1</v>
      </c>
      <c r="AM510" t="n">
        <v>2</v>
      </c>
      <c r="AN510" t="n">
        <v>0</v>
      </c>
      <c r="AO510" t="n">
        <v>0</v>
      </c>
      <c r="AP510" t="inlineStr">
        <is>
          <t>No</t>
        </is>
      </c>
      <c r="AQ510" t="inlineStr">
        <is>
          <t>Yes</t>
        </is>
      </c>
      <c r="AR510">
        <f>HYPERLINK("http://catalog.hathitrust.org/Record/004405863","HathiTrust Record")</f>
        <v/>
      </c>
      <c r="AS510">
        <f>HYPERLINK("https://creighton-primo.hosted.exlibrisgroup.com/primo-explore/search?tab=default_tab&amp;search_scope=EVERYTHING&amp;vid=01CRU&amp;lang=en_US&amp;offset=0&amp;query=any,contains,991002691489702656","Catalog Record")</f>
        <v/>
      </c>
      <c r="AT510">
        <f>HYPERLINK("http://www.worldcat.org/oclc/401738","WorldCat Record")</f>
        <v/>
      </c>
      <c r="AU510" t="inlineStr">
        <is>
          <t>553191:eng</t>
        </is>
      </c>
      <c r="AV510" t="inlineStr">
        <is>
          <t>401738</t>
        </is>
      </c>
      <c r="AW510" t="inlineStr">
        <is>
          <t>991002691489702656</t>
        </is>
      </c>
      <c r="AX510" t="inlineStr">
        <is>
          <t>991002691489702656</t>
        </is>
      </c>
      <c r="AY510" t="inlineStr">
        <is>
          <t>2268306570002656</t>
        </is>
      </c>
      <c r="AZ510" t="inlineStr">
        <is>
          <t>BOOK</t>
        </is>
      </c>
      <c r="BC510" t="inlineStr">
        <is>
          <t>32285001829372</t>
        </is>
      </c>
      <c r="BD510" t="inlineStr">
        <is>
          <t>893523931</t>
        </is>
      </c>
    </row>
    <row r="511">
      <c r="A511" t="inlineStr">
        <is>
          <t>No</t>
        </is>
      </c>
      <c r="B511" t="inlineStr">
        <is>
          <t>DC73 .G34</t>
        </is>
      </c>
      <c r="C511" t="inlineStr">
        <is>
          <t>0                      DC 0073000G  34</t>
        </is>
      </c>
      <c r="D511" t="inlineStr">
        <is>
          <t>The Carolingians and the Frankish monarchy; studies in Carolingian history [by] F. L. Ganshof. Translated by Janet Sondheimer.</t>
        </is>
      </c>
      <c r="F511" t="inlineStr">
        <is>
          <t>No</t>
        </is>
      </c>
      <c r="G511" t="inlineStr">
        <is>
          <t>1</t>
        </is>
      </c>
      <c r="H511" t="inlineStr">
        <is>
          <t>No</t>
        </is>
      </c>
      <c r="I511" t="inlineStr">
        <is>
          <t>No</t>
        </is>
      </c>
      <c r="J511" t="inlineStr">
        <is>
          <t>0</t>
        </is>
      </c>
      <c r="K511" t="inlineStr">
        <is>
          <t>Ganshof, F. L. (François Louis), 1895-1980.</t>
        </is>
      </c>
      <c r="L511" t="inlineStr">
        <is>
          <t>Ithaca, N.Y., Cornell University Press [1971]</t>
        </is>
      </c>
      <c r="M511" t="inlineStr">
        <is>
          <t>1971</t>
        </is>
      </c>
      <c r="O511" t="inlineStr">
        <is>
          <t>eng</t>
        </is>
      </c>
      <c r="P511" t="inlineStr">
        <is>
          <t>nyu</t>
        </is>
      </c>
      <c r="R511" t="inlineStr">
        <is>
          <t xml:space="preserve">DC </t>
        </is>
      </c>
      <c r="S511" t="n">
        <v>3</v>
      </c>
      <c r="T511" t="n">
        <v>3</v>
      </c>
      <c r="U511" t="inlineStr">
        <is>
          <t>2006-02-20</t>
        </is>
      </c>
      <c r="V511" t="inlineStr">
        <is>
          <t>2006-02-20</t>
        </is>
      </c>
      <c r="W511" t="inlineStr">
        <is>
          <t>1992-10-20</t>
        </is>
      </c>
      <c r="X511" t="inlineStr">
        <is>
          <t>1992-10-20</t>
        </is>
      </c>
      <c r="Y511" t="n">
        <v>593</v>
      </c>
      <c r="Z511" t="n">
        <v>543</v>
      </c>
      <c r="AA511" t="n">
        <v>546</v>
      </c>
      <c r="AB511" t="n">
        <v>6</v>
      </c>
      <c r="AC511" t="n">
        <v>6</v>
      </c>
      <c r="AD511" t="n">
        <v>25</v>
      </c>
      <c r="AE511" t="n">
        <v>25</v>
      </c>
      <c r="AF511" t="n">
        <v>7</v>
      </c>
      <c r="AG511" t="n">
        <v>7</v>
      </c>
      <c r="AH511" t="n">
        <v>6</v>
      </c>
      <c r="AI511" t="n">
        <v>6</v>
      </c>
      <c r="AJ511" t="n">
        <v>13</v>
      </c>
      <c r="AK511" t="n">
        <v>13</v>
      </c>
      <c r="AL511" t="n">
        <v>5</v>
      </c>
      <c r="AM511" t="n">
        <v>5</v>
      </c>
      <c r="AN511" t="n">
        <v>0</v>
      </c>
      <c r="AO511" t="n">
        <v>0</v>
      </c>
      <c r="AP511" t="inlineStr">
        <is>
          <t>No</t>
        </is>
      </c>
      <c r="AQ511" t="inlineStr">
        <is>
          <t>Yes</t>
        </is>
      </c>
      <c r="AR511">
        <f>HYPERLINK("http://catalog.hathitrust.org/Record/000453946","HathiTrust Record")</f>
        <v/>
      </c>
      <c r="AS511">
        <f>HYPERLINK("https://creighton-primo.hosted.exlibrisgroup.com/primo-explore/search?tab=default_tab&amp;search_scope=EVERYTHING&amp;vid=01CRU&amp;lang=en_US&amp;offset=0&amp;query=any,contains,991000819639702656","Catalog Record")</f>
        <v/>
      </c>
      <c r="AT511">
        <f>HYPERLINK("http://www.worldcat.org/oclc/144155","WorldCat Record")</f>
        <v/>
      </c>
      <c r="AU511" t="inlineStr">
        <is>
          <t>1317583:eng</t>
        </is>
      </c>
      <c r="AV511" t="inlineStr">
        <is>
          <t>144155</t>
        </is>
      </c>
      <c r="AW511" t="inlineStr">
        <is>
          <t>991000819639702656</t>
        </is>
      </c>
      <c r="AX511" t="inlineStr">
        <is>
          <t>991000819639702656</t>
        </is>
      </c>
      <c r="AY511" t="inlineStr">
        <is>
          <t>2257595400002656</t>
        </is>
      </c>
      <c r="AZ511" t="inlineStr">
        <is>
          <t>BOOK</t>
        </is>
      </c>
      <c r="BB511" t="inlineStr">
        <is>
          <t>9780801406355</t>
        </is>
      </c>
      <c r="BC511" t="inlineStr">
        <is>
          <t>32285001372290</t>
        </is>
      </c>
      <c r="BD511" t="inlineStr">
        <is>
          <t>893602088</t>
        </is>
      </c>
    </row>
    <row r="512">
      <c r="A512" t="inlineStr">
        <is>
          <t>No</t>
        </is>
      </c>
      <c r="B512" t="inlineStr">
        <is>
          <t>DC73 .S94 2006</t>
        </is>
      </c>
      <c r="C512" t="inlineStr">
        <is>
          <t>0                      DC 0073000S  94          2006</t>
        </is>
      </c>
      <c r="D512" t="inlineStr">
        <is>
          <t>Becoming Charlemagne : Europe, Baghdad, and the empires of A.D. 800 / Jeff Sypeck.</t>
        </is>
      </c>
      <c r="F512" t="inlineStr">
        <is>
          <t>No</t>
        </is>
      </c>
      <c r="G512" t="inlineStr">
        <is>
          <t>1</t>
        </is>
      </c>
      <c r="H512" t="inlineStr">
        <is>
          <t>No</t>
        </is>
      </c>
      <c r="I512" t="inlineStr">
        <is>
          <t>No</t>
        </is>
      </c>
      <c r="J512" t="inlineStr">
        <is>
          <t>0</t>
        </is>
      </c>
      <c r="K512" t="inlineStr">
        <is>
          <t>Sypeck, Jeff.</t>
        </is>
      </c>
      <c r="L512" t="inlineStr">
        <is>
          <t>New York : Ecco, c2006.</t>
        </is>
      </c>
      <c r="M512" t="inlineStr">
        <is>
          <t>2006</t>
        </is>
      </c>
      <c r="N512" t="inlineStr">
        <is>
          <t>1st ed.</t>
        </is>
      </c>
      <c r="O512" t="inlineStr">
        <is>
          <t>eng</t>
        </is>
      </c>
      <c r="P512" t="inlineStr">
        <is>
          <t>nyu</t>
        </is>
      </c>
      <c r="R512" t="inlineStr">
        <is>
          <t xml:space="preserve">DC </t>
        </is>
      </c>
      <c r="S512" t="n">
        <v>4</v>
      </c>
      <c r="T512" t="n">
        <v>4</v>
      </c>
      <c r="U512" t="inlineStr">
        <is>
          <t>2010-04-15</t>
        </is>
      </c>
      <c r="V512" t="inlineStr">
        <is>
          <t>2010-04-15</t>
        </is>
      </c>
      <c r="W512" t="inlineStr">
        <is>
          <t>2006-12-05</t>
        </is>
      </c>
      <c r="X512" t="inlineStr">
        <is>
          <t>2006-12-05</t>
        </is>
      </c>
      <c r="Y512" t="n">
        <v>1103</v>
      </c>
      <c r="Z512" t="n">
        <v>1036</v>
      </c>
      <c r="AA512" t="n">
        <v>1110</v>
      </c>
      <c r="AB512" t="n">
        <v>8</v>
      </c>
      <c r="AC512" t="n">
        <v>8</v>
      </c>
      <c r="AD512" t="n">
        <v>22</v>
      </c>
      <c r="AE512" t="n">
        <v>23</v>
      </c>
      <c r="AF512" t="n">
        <v>6</v>
      </c>
      <c r="AG512" t="n">
        <v>6</v>
      </c>
      <c r="AH512" t="n">
        <v>7</v>
      </c>
      <c r="AI512" t="n">
        <v>7</v>
      </c>
      <c r="AJ512" t="n">
        <v>9</v>
      </c>
      <c r="AK512" t="n">
        <v>10</v>
      </c>
      <c r="AL512" t="n">
        <v>4</v>
      </c>
      <c r="AM512" t="n">
        <v>4</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HYPERLINK("https://creighton-primo.hosted.exlibrisgroup.com/primo-explore/search?tab=default_tab&amp;search_scope=EVERYTHING&amp;vid=01CRU&amp;lang=en_US&amp;offset=0&amp;query=any,contains,991004935869702656","Catalog Record")</f>
        <v/>
      </c>
      <c r="AT512">
        <f>HYPERLINK("http://www.worldcat.org/oclc/68694586","WorldCat Record")</f>
        <v/>
      </c>
      <c r="AU512" t="inlineStr">
        <is>
          <t>196075588:eng</t>
        </is>
      </c>
      <c r="AV512" t="inlineStr">
        <is>
          <t>68694586</t>
        </is>
      </c>
      <c r="AW512" t="inlineStr">
        <is>
          <t>991004935869702656</t>
        </is>
      </c>
      <c r="AX512" t="inlineStr">
        <is>
          <t>991004935869702656</t>
        </is>
      </c>
      <c r="AY512" t="inlineStr">
        <is>
          <t>2270331260002656</t>
        </is>
      </c>
      <c r="AZ512" t="inlineStr">
        <is>
          <t>BOOK</t>
        </is>
      </c>
      <c r="BB512" t="inlineStr">
        <is>
          <t>9780060797065</t>
        </is>
      </c>
      <c r="BC512" t="inlineStr">
        <is>
          <t>32285005265102</t>
        </is>
      </c>
      <c r="BD512" t="inlineStr">
        <is>
          <t>893325956</t>
        </is>
      </c>
    </row>
    <row r="513">
      <c r="A513" t="inlineStr">
        <is>
          <t>No</t>
        </is>
      </c>
      <c r="B513" t="inlineStr">
        <is>
          <t>DC73 .W5</t>
        </is>
      </c>
      <c r="C513" t="inlineStr">
        <is>
          <t>0                      DC 0073000W  5</t>
        </is>
      </c>
      <c r="D513" t="inlineStr">
        <is>
          <t>Charlemagne: from the hammer to the cross.</t>
        </is>
      </c>
      <c r="F513" t="inlineStr">
        <is>
          <t>No</t>
        </is>
      </c>
      <c r="G513" t="inlineStr">
        <is>
          <t>1</t>
        </is>
      </c>
      <c r="H513" t="inlineStr">
        <is>
          <t>No</t>
        </is>
      </c>
      <c r="I513" t="inlineStr">
        <is>
          <t>No</t>
        </is>
      </c>
      <c r="J513" t="inlineStr">
        <is>
          <t>0</t>
        </is>
      </c>
      <c r="K513" t="inlineStr">
        <is>
          <t>Winston, Richard.</t>
        </is>
      </c>
      <c r="L513" t="inlineStr">
        <is>
          <t>Indianapolis, Bobbs-Merrill [1954]</t>
        </is>
      </c>
      <c r="M513" t="inlineStr">
        <is>
          <t>1954</t>
        </is>
      </c>
      <c r="N513" t="inlineStr">
        <is>
          <t>[1st ed.]</t>
        </is>
      </c>
      <c r="O513" t="inlineStr">
        <is>
          <t>eng</t>
        </is>
      </c>
      <c r="P513" t="inlineStr">
        <is>
          <t>inu</t>
        </is>
      </c>
      <c r="R513" t="inlineStr">
        <is>
          <t xml:space="preserve">DC </t>
        </is>
      </c>
      <c r="S513" t="n">
        <v>2</v>
      </c>
      <c r="T513" t="n">
        <v>2</v>
      </c>
      <c r="U513" t="inlineStr">
        <is>
          <t>2002-09-22</t>
        </is>
      </c>
      <c r="V513" t="inlineStr">
        <is>
          <t>2002-09-22</t>
        </is>
      </c>
      <c r="W513" t="inlineStr">
        <is>
          <t>1996-10-28</t>
        </is>
      </c>
      <c r="X513" t="inlineStr">
        <is>
          <t>1996-10-28</t>
        </is>
      </c>
      <c r="Y513" t="n">
        <v>694</v>
      </c>
      <c r="Z513" t="n">
        <v>662</v>
      </c>
      <c r="AA513" t="n">
        <v>1785</v>
      </c>
      <c r="AB513" t="n">
        <v>4</v>
      </c>
      <c r="AC513" t="n">
        <v>11</v>
      </c>
      <c r="AD513" t="n">
        <v>32</v>
      </c>
      <c r="AE513" t="n">
        <v>46</v>
      </c>
      <c r="AF513" t="n">
        <v>15</v>
      </c>
      <c r="AG513" t="n">
        <v>19</v>
      </c>
      <c r="AH513" t="n">
        <v>8</v>
      </c>
      <c r="AI513" t="n">
        <v>11</v>
      </c>
      <c r="AJ513" t="n">
        <v>17</v>
      </c>
      <c r="AK513" t="n">
        <v>24</v>
      </c>
      <c r="AL513" t="n">
        <v>2</v>
      </c>
      <c r="AM513" t="n">
        <v>5</v>
      </c>
      <c r="AN513" t="n">
        <v>0</v>
      </c>
      <c r="AO513" t="n">
        <v>0</v>
      </c>
      <c r="AP513" t="inlineStr">
        <is>
          <t>No</t>
        </is>
      </c>
      <c r="AQ513" t="inlineStr">
        <is>
          <t>Yes</t>
        </is>
      </c>
      <c r="AR513">
        <f>HYPERLINK("http://catalog.hathitrust.org/Record/000453977","HathiTrust Record")</f>
        <v/>
      </c>
      <c r="AS513">
        <f>HYPERLINK("https://creighton-primo.hosted.exlibrisgroup.com/primo-explore/search?tab=default_tab&amp;search_scope=EVERYTHING&amp;vid=01CRU&amp;lang=en_US&amp;offset=0&amp;query=any,contains,991003117519702656","Catalog Record")</f>
        <v/>
      </c>
      <c r="AT513">
        <f>HYPERLINK("http://www.worldcat.org/oclc/663779","WorldCat Record")</f>
        <v/>
      </c>
      <c r="AU513" t="inlineStr">
        <is>
          <t>1665672:eng</t>
        </is>
      </c>
      <c r="AV513" t="inlineStr">
        <is>
          <t>663779</t>
        </is>
      </c>
      <c r="AW513" t="inlineStr">
        <is>
          <t>991003117519702656</t>
        </is>
      </c>
      <c r="AX513" t="inlineStr">
        <is>
          <t>991003117519702656</t>
        </is>
      </c>
      <c r="AY513" t="inlineStr">
        <is>
          <t>2269906930002656</t>
        </is>
      </c>
      <c r="AZ513" t="inlineStr">
        <is>
          <t>BOOK</t>
        </is>
      </c>
      <c r="BC513" t="inlineStr">
        <is>
          <t>32285002379013</t>
        </is>
      </c>
      <c r="BD513" t="inlineStr">
        <is>
          <t>893893392</t>
        </is>
      </c>
    </row>
    <row r="514">
      <c r="A514" t="inlineStr">
        <is>
          <t>No</t>
        </is>
      </c>
      <c r="B514" t="inlineStr">
        <is>
          <t>DC73 .W6 1935</t>
        </is>
      </c>
      <c r="C514" t="inlineStr">
        <is>
          <t>0                      DC 0073000W  6           1935</t>
        </is>
      </c>
      <c r="D514" t="inlineStr">
        <is>
          <t>Charlemagne / by Douglas Woodruff.</t>
        </is>
      </c>
      <c r="F514" t="inlineStr">
        <is>
          <t>No</t>
        </is>
      </c>
      <c r="G514" t="inlineStr">
        <is>
          <t>1</t>
        </is>
      </c>
      <c r="H514" t="inlineStr">
        <is>
          <t>No</t>
        </is>
      </c>
      <c r="I514" t="inlineStr">
        <is>
          <t>No</t>
        </is>
      </c>
      <c r="J514" t="inlineStr">
        <is>
          <t>0</t>
        </is>
      </c>
      <c r="K514" t="inlineStr">
        <is>
          <t>Woodruff, Douglas, 1897-1978.</t>
        </is>
      </c>
      <c r="L514" t="inlineStr">
        <is>
          <t>New York, London, D. Appleton-Century company, incorporated, 1935.</t>
        </is>
      </c>
      <c r="M514" t="inlineStr">
        <is>
          <t>1935</t>
        </is>
      </c>
      <c r="O514" t="inlineStr">
        <is>
          <t>eng</t>
        </is>
      </c>
      <c r="P514" t="inlineStr">
        <is>
          <t>nyu</t>
        </is>
      </c>
      <c r="Q514" t="inlineStr">
        <is>
          <t>Appleton biographies</t>
        </is>
      </c>
      <c r="R514" t="inlineStr">
        <is>
          <t xml:space="preserve">DC </t>
        </is>
      </c>
      <c r="S514" t="n">
        <v>4</v>
      </c>
      <c r="T514" t="n">
        <v>4</v>
      </c>
      <c r="U514" t="inlineStr">
        <is>
          <t>2007-12-03</t>
        </is>
      </c>
      <c r="V514" t="inlineStr">
        <is>
          <t>2007-12-03</t>
        </is>
      </c>
      <c r="W514" t="inlineStr">
        <is>
          <t>1990-04-04</t>
        </is>
      </c>
      <c r="X514" t="inlineStr">
        <is>
          <t>1990-04-04</t>
        </is>
      </c>
      <c r="Y514" t="n">
        <v>139</v>
      </c>
      <c r="Z514" t="n">
        <v>137</v>
      </c>
      <c r="AA514" t="n">
        <v>178</v>
      </c>
      <c r="AB514" t="n">
        <v>1</v>
      </c>
      <c r="AC514" t="n">
        <v>1</v>
      </c>
      <c r="AD514" t="n">
        <v>9</v>
      </c>
      <c r="AE514" t="n">
        <v>14</v>
      </c>
      <c r="AF514" t="n">
        <v>1</v>
      </c>
      <c r="AG514" t="n">
        <v>4</v>
      </c>
      <c r="AH514" t="n">
        <v>1</v>
      </c>
      <c r="AI514" t="n">
        <v>2</v>
      </c>
      <c r="AJ514" t="n">
        <v>8</v>
      </c>
      <c r="AK514" t="n">
        <v>10</v>
      </c>
      <c r="AL514" t="n">
        <v>0</v>
      </c>
      <c r="AM514" t="n">
        <v>0</v>
      </c>
      <c r="AN514" t="n">
        <v>0</v>
      </c>
      <c r="AO514" t="n">
        <v>0</v>
      </c>
      <c r="AP514" t="inlineStr">
        <is>
          <t>No</t>
        </is>
      </c>
      <c r="AQ514" t="inlineStr">
        <is>
          <t>Yes</t>
        </is>
      </c>
      <c r="AR514">
        <f>HYPERLINK("http://catalog.hathitrust.org/Record/006065001","HathiTrust Record")</f>
        <v/>
      </c>
      <c r="AS514">
        <f>HYPERLINK("https://creighton-primo.hosted.exlibrisgroup.com/primo-explore/search?tab=default_tab&amp;search_scope=EVERYTHING&amp;vid=01CRU&amp;lang=en_US&amp;offset=0&amp;query=any,contains,991004304699702656","Catalog Record")</f>
        <v/>
      </c>
      <c r="AT514">
        <f>HYPERLINK("http://www.worldcat.org/oclc/1039003","WorldCat Record")</f>
        <v/>
      </c>
      <c r="AU514" t="inlineStr">
        <is>
          <t>48844024:eng</t>
        </is>
      </c>
      <c r="AV514" t="inlineStr">
        <is>
          <t>1039003</t>
        </is>
      </c>
      <c r="AW514" t="inlineStr">
        <is>
          <t>991004304699702656</t>
        </is>
      </c>
      <c r="AX514" t="inlineStr">
        <is>
          <t>991004304699702656</t>
        </is>
      </c>
      <c r="AY514" t="inlineStr">
        <is>
          <t>2261784860002656</t>
        </is>
      </c>
      <c r="AZ514" t="inlineStr">
        <is>
          <t>BOOK</t>
        </is>
      </c>
      <c r="BC514" t="inlineStr">
        <is>
          <t>32285000110642</t>
        </is>
      </c>
      <c r="BD514" t="inlineStr">
        <is>
          <t>893423642</t>
        </is>
      </c>
    </row>
    <row r="515">
      <c r="A515" t="inlineStr">
        <is>
          <t>No</t>
        </is>
      </c>
      <c r="B515" t="inlineStr">
        <is>
          <t>DC73.3 1984</t>
        </is>
      </c>
      <c r="C515" t="inlineStr">
        <is>
          <t>0                      DC 0073300               1984</t>
        </is>
      </c>
      <c r="D515" t="inlineStr">
        <is>
          <t>Vita Karoli Magni / Einhard ; [commentary by] John F. Collins.</t>
        </is>
      </c>
      <c r="F515" t="inlineStr">
        <is>
          <t>No</t>
        </is>
      </c>
      <c r="G515" t="inlineStr">
        <is>
          <t>1</t>
        </is>
      </c>
      <c r="H515" t="inlineStr">
        <is>
          <t>No</t>
        </is>
      </c>
      <c r="I515" t="inlineStr">
        <is>
          <t>No</t>
        </is>
      </c>
      <c r="J515" t="inlineStr">
        <is>
          <t>0</t>
        </is>
      </c>
      <c r="K515" t="inlineStr">
        <is>
          <t>Einhard, approximately 770-840.</t>
        </is>
      </c>
      <c r="L515" t="inlineStr">
        <is>
          <t>Bryn Mawr : Thomas Library, Bryn Mawr College, c1984.</t>
        </is>
      </c>
      <c r="M515" t="inlineStr">
        <is>
          <t>1984</t>
        </is>
      </c>
      <c r="O515" t="inlineStr">
        <is>
          <t>lat</t>
        </is>
      </c>
      <c r="P515" t="inlineStr">
        <is>
          <t>pau</t>
        </is>
      </c>
      <c r="Q515" t="inlineStr">
        <is>
          <t>Bryn Mawr Latin commentaries</t>
        </is>
      </c>
      <c r="R515" t="inlineStr">
        <is>
          <t xml:space="preserve">DC </t>
        </is>
      </c>
      <c r="S515" t="n">
        <v>1</v>
      </c>
      <c r="T515" t="n">
        <v>1</v>
      </c>
      <c r="U515" t="inlineStr">
        <is>
          <t>2005-11-01</t>
        </is>
      </c>
      <c r="V515" t="inlineStr">
        <is>
          <t>2005-11-01</t>
        </is>
      </c>
      <c r="W515" t="inlineStr">
        <is>
          <t>2005-11-01</t>
        </is>
      </c>
      <c r="X515" t="inlineStr">
        <is>
          <t>2005-11-01</t>
        </is>
      </c>
      <c r="Y515" t="n">
        <v>61</v>
      </c>
      <c r="Z515" t="n">
        <v>54</v>
      </c>
      <c r="AA515" t="n">
        <v>73</v>
      </c>
      <c r="AB515" t="n">
        <v>1</v>
      </c>
      <c r="AC515" t="n">
        <v>1</v>
      </c>
      <c r="AD515" t="n">
        <v>4</v>
      </c>
      <c r="AE515" t="n">
        <v>5</v>
      </c>
      <c r="AF515" t="n">
        <v>0</v>
      </c>
      <c r="AG515" t="n">
        <v>0</v>
      </c>
      <c r="AH515" t="n">
        <v>1</v>
      </c>
      <c r="AI515" t="n">
        <v>1</v>
      </c>
      <c r="AJ515" t="n">
        <v>4</v>
      </c>
      <c r="AK515" t="n">
        <v>5</v>
      </c>
      <c r="AL515" t="n">
        <v>0</v>
      </c>
      <c r="AM515" t="n">
        <v>0</v>
      </c>
      <c r="AN515" t="n">
        <v>0</v>
      </c>
      <c r="AO515" t="n">
        <v>0</v>
      </c>
      <c r="AP515" t="inlineStr">
        <is>
          <t>No</t>
        </is>
      </c>
      <c r="AQ515" t="inlineStr">
        <is>
          <t>Yes</t>
        </is>
      </c>
      <c r="AR515">
        <f>HYPERLINK("http://catalog.hathitrust.org/Record/004295391","HathiTrust Record")</f>
        <v/>
      </c>
      <c r="AS515">
        <f>HYPERLINK("https://creighton-primo.hosted.exlibrisgroup.com/primo-explore/search?tab=default_tab&amp;search_scope=EVERYTHING&amp;vid=01CRU&amp;lang=en_US&amp;offset=0&amp;query=any,contains,991004667239702656","Catalog Record")</f>
        <v/>
      </c>
      <c r="AT515">
        <f>HYPERLINK("http://www.worldcat.org/oclc/13243832","WorldCat Record")</f>
        <v/>
      </c>
      <c r="AU515" t="inlineStr">
        <is>
          <t>4535813846:lat</t>
        </is>
      </c>
      <c r="AV515" t="inlineStr">
        <is>
          <t>13243832</t>
        </is>
      </c>
      <c r="AW515" t="inlineStr">
        <is>
          <t>991004667239702656</t>
        </is>
      </c>
      <c r="AX515" t="inlineStr">
        <is>
          <t>991004667239702656</t>
        </is>
      </c>
      <c r="AY515" t="inlineStr">
        <is>
          <t>2272377300002656</t>
        </is>
      </c>
      <c r="AZ515" t="inlineStr">
        <is>
          <t>BOOK</t>
        </is>
      </c>
      <c r="BC515" t="inlineStr">
        <is>
          <t>32285005144125</t>
        </is>
      </c>
      <c r="BD515" t="inlineStr">
        <is>
          <t>893260021</t>
        </is>
      </c>
    </row>
    <row r="516">
      <c r="A516" t="inlineStr">
        <is>
          <t>No</t>
        </is>
      </c>
      <c r="B516" t="inlineStr">
        <is>
          <t>DC73.32 .T45 1969b</t>
        </is>
      </c>
      <c r="C516" t="inlineStr">
        <is>
          <t>0                      DC 0073320T  45          1969b</t>
        </is>
      </c>
      <c r="D516" t="inlineStr">
        <is>
          <t>Two lives of Charlemagne / translated [from the Latin] with an introduction by Lewis Thorpe.</t>
        </is>
      </c>
      <c r="F516" t="inlineStr">
        <is>
          <t>No</t>
        </is>
      </c>
      <c r="G516" t="inlineStr">
        <is>
          <t>1</t>
        </is>
      </c>
      <c r="H516" t="inlineStr">
        <is>
          <t>No</t>
        </is>
      </c>
      <c r="I516" t="inlineStr">
        <is>
          <t>No</t>
        </is>
      </c>
      <c r="J516" t="inlineStr">
        <is>
          <t>0</t>
        </is>
      </c>
      <c r="K516" t="inlineStr">
        <is>
          <t>Thorpe, Lewis, 1913-1977 compiler.</t>
        </is>
      </c>
      <c r="L516" t="inlineStr">
        <is>
          <t>Harmondsworth : Penguin, 1969</t>
        </is>
      </c>
      <c r="M516" t="inlineStr">
        <is>
          <t>1987</t>
        </is>
      </c>
      <c r="O516" t="inlineStr">
        <is>
          <t>eng</t>
        </is>
      </c>
      <c r="P516" t="inlineStr">
        <is>
          <t>enk</t>
        </is>
      </c>
      <c r="Q516" t="inlineStr">
        <is>
          <t>Penguin classics</t>
        </is>
      </c>
      <c r="R516" t="inlineStr">
        <is>
          <t xml:space="preserve">DC </t>
        </is>
      </c>
      <c r="S516" t="n">
        <v>7</v>
      </c>
      <c r="T516" t="n">
        <v>7</v>
      </c>
      <c r="U516" t="inlineStr">
        <is>
          <t>2008-02-04</t>
        </is>
      </c>
      <c r="V516" t="inlineStr">
        <is>
          <t>2008-02-04</t>
        </is>
      </c>
      <c r="W516" t="inlineStr">
        <is>
          <t>1993-10-28</t>
        </is>
      </c>
      <c r="X516" t="inlineStr">
        <is>
          <t>1993-10-28</t>
        </is>
      </c>
      <c r="Y516" t="n">
        <v>607</v>
      </c>
      <c r="Z516" t="n">
        <v>486</v>
      </c>
      <c r="AA516" t="n">
        <v>864</v>
      </c>
      <c r="AB516" t="n">
        <v>3</v>
      </c>
      <c r="AC516" t="n">
        <v>4</v>
      </c>
      <c r="AD516" t="n">
        <v>15</v>
      </c>
      <c r="AE516" t="n">
        <v>27</v>
      </c>
      <c r="AF516" t="n">
        <v>7</v>
      </c>
      <c r="AG516" t="n">
        <v>10</v>
      </c>
      <c r="AH516" t="n">
        <v>3</v>
      </c>
      <c r="AI516" t="n">
        <v>7</v>
      </c>
      <c r="AJ516" t="n">
        <v>9</v>
      </c>
      <c r="AK516" t="n">
        <v>15</v>
      </c>
      <c r="AL516" t="n">
        <v>1</v>
      </c>
      <c r="AM516" t="n">
        <v>2</v>
      </c>
      <c r="AN516" t="n">
        <v>0</v>
      </c>
      <c r="AO516" t="n">
        <v>0</v>
      </c>
      <c r="AP516" t="inlineStr">
        <is>
          <t>No</t>
        </is>
      </c>
      <c r="AQ516" t="inlineStr">
        <is>
          <t>Yes</t>
        </is>
      </c>
      <c r="AR516">
        <f>HYPERLINK("http://catalog.hathitrust.org/Record/000000941","HathiTrust Record")</f>
        <v/>
      </c>
      <c r="AS516">
        <f>HYPERLINK("https://creighton-primo.hosted.exlibrisgroup.com/primo-explore/search?tab=default_tab&amp;search_scope=EVERYTHING&amp;vid=01CRU&amp;lang=en_US&amp;offset=0&amp;query=any,contains,991000461969702656","Catalog Record")</f>
        <v/>
      </c>
      <c r="AT516">
        <f>HYPERLINK("http://www.worldcat.org/oclc/78604","WorldCat Record")</f>
        <v/>
      </c>
      <c r="AU516" t="inlineStr">
        <is>
          <t>2863394848:eng</t>
        </is>
      </c>
      <c r="AV516" t="inlineStr">
        <is>
          <t>78604</t>
        </is>
      </c>
      <c r="AW516" t="inlineStr">
        <is>
          <t>991000461969702656</t>
        </is>
      </c>
      <c r="AX516" t="inlineStr">
        <is>
          <t>991000461969702656</t>
        </is>
      </c>
      <c r="AY516" t="inlineStr">
        <is>
          <t>2255193580002656</t>
        </is>
      </c>
      <c r="AZ516" t="inlineStr">
        <is>
          <t>BOOK</t>
        </is>
      </c>
      <c r="BB516" t="inlineStr">
        <is>
          <t>9780140442137</t>
        </is>
      </c>
      <c r="BC516" t="inlineStr">
        <is>
          <t>32285001801181</t>
        </is>
      </c>
      <c r="BD516" t="inlineStr">
        <is>
          <t>893802785</t>
        </is>
      </c>
    </row>
    <row r="517">
      <c r="A517" t="inlineStr">
        <is>
          <t>No</t>
        </is>
      </c>
      <c r="B517" t="inlineStr">
        <is>
          <t>DC735 .J3</t>
        </is>
      </c>
      <c r="C517" t="inlineStr">
        <is>
          <t>0                      DC 0735000J  3</t>
        </is>
      </c>
      <c r="D517" t="inlineStr">
        <is>
          <t>Parisian sketches; letters to the New York tribune, 1875-1876. Edited with an introd. by Leon Edel and Ilse Dusoir Lind.</t>
        </is>
      </c>
      <c r="F517" t="inlineStr">
        <is>
          <t>No</t>
        </is>
      </c>
      <c r="G517" t="inlineStr">
        <is>
          <t>1</t>
        </is>
      </c>
      <c r="H517" t="inlineStr">
        <is>
          <t>No</t>
        </is>
      </c>
      <c r="I517" t="inlineStr">
        <is>
          <t>No</t>
        </is>
      </c>
      <c r="J517" t="inlineStr">
        <is>
          <t>0</t>
        </is>
      </c>
      <c r="K517" t="inlineStr">
        <is>
          <t>James, Henry, 1843-1916.</t>
        </is>
      </c>
      <c r="L517" t="inlineStr">
        <is>
          <t>[New York] New York University Press, 1957.</t>
        </is>
      </c>
      <c r="M517" t="inlineStr">
        <is>
          <t>1957</t>
        </is>
      </c>
      <c r="O517" t="inlineStr">
        <is>
          <t>eng</t>
        </is>
      </c>
      <c r="P517" t="inlineStr">
        <is>
          <t>nyu</t>
        </is>
      </c>
      <c r="R517" t="inlineStr">
        <is>
          <t xml:space="preserve">DC </t>
        </is>
      </c>
      <c r="S517" t="n">
        <v>3</v>
      </c>
      <c r="T517" t="n">
        <v>3</v>
      </c>
      <c r="U517" t="inlineStr">
        <is>
          <t>2000-05-11</t>
        </is>
      </c>
      <c r="V517" t="inlineStr">
        <is>
          <t>2000-05-11</t>
        </is>
      </c>
      <c r="W517" t="inlineStr">
        <is>
          <t>1996-11-20</t>
        </is>
      </c>
      <c r="X517" t="inlineStr">
        <is>
          <t>1996-11-20</t>
        </is>
      </c>
      <c r="Y517" t="n">
        <v>585</v>
      </c>
      <c r="Z517" t="n">
        <v>520</v>
      </c>
      <c r="AA517" t="n">
        <v>645</v>
      </c>
      <c r="AB517" t="n">
        <v>4</v>
      </c>
      <c r="AC517" t="n">
        <v>4</v>
      </c>
      <c r="AD517" t="n">
        <v>27</v>
      </c>
      <c r="AE517" t="n">
        <v>31</v>
      </c>
      <c r="AF517" t="n">
        <v>11</v>
      </c>
      <c r="AG517" t="n">
        <v>13</v>
      </c>
      <c r="AH517" t="n">
        <v>5</v>
      </c>
      <c r="AI517" t="n">
        <v>6</v>
      </c>
      <c r="AJ517" t="n">
        <v>15</v>
      </c>
      <c r="AK517" t="n">
        <v>17</v>
      </c>
      <c r="AL517" t="n">
        <v>3</v>
      </c>
      <c r="AM517" t="n">
        <v>3</v>
      </c>
      <c r="AN517" t="n">
        <v>1</v>
      </c>
      <c r="AO517" t="n">
        <v>1</v>
      </c>
      <c r="AP517" t="inlineStr">
        <is>
          <t>No</t>
        </is>
      </c>
      <c r="AQ517" t="inlineStr">
        <is>
          <t>No</t>
        </is>
      </c>
      <c r="AS517">
        <f>HYPERLINK("https://creighton-primo.hosted.exlibrisgroup.com/primo-explore/search?tab=default_tab&amp;search_scope=EVERYTHING&amp;vid=01CRU&amp;lang=en_US&amp;offset=0&amp;query=any,contains,991003266429702656","Catalog Record")</f>
        <v/>
      </c>
      <c r="AT517">
        <f>HYPERLINK("http://www.worldcat.org/oclc/792876","WorldCat Record")</f>
        <v/>
      </c>
      <c r="AU517" t="inlineStr">
        <is>
          <t>1747659:eng</t>
        </is>
      </c>
      <c r="AV517" t="inlineStr">
        <is>
          <t>792876</t>
        </is>
      </c>
      <c r="AW517" t="inlineStr">
        <is>
          <t>991003266429702656</t>
        </is>
      </c>
      <c r="AX517" t="inlineStr">
        <is>
          <t>991003266429702656</t>
        </is>
      </c>
      <c r="AY517" t="inlineStr">
        <is>
          <t>2260784560002656</t>
        </is>
      </c>
      <c r="AZ517" t="inlineStr">
        <is>
          <t>BOOK</t>
        </is>
      </c>
      <c r="BC517" t="inlineStr">
        <is>
          <t>32285002381159</t>
        </is>
      </c>
      <c r="BD517" t="inlineStr">
        <is>
          <t>893511757</t>
        </is>
      </c>
    </row>
    <row r="518">
      <c r="A518" t="inlineStr">
        <is>
          <t>No</t>
        </is>
      </c>
      <c r="B518" t="inlineStr">
        <is>
          <t>DC737 .E3</t>
        </is>
      </c>
      <c r="C518" t="inlineStr">
        <is>
          <t>0                      DC 0737000E  3</t>
        </is>
      </c>
      <c r="D518" t="inlineStr">
        <is>
          <t>Paris; with drawings in color and monotone, by George Wharton Edwards.</t>
        </is>
      </c>
      <c r="F518" t="inlineStr">
        <is>
          <t>No</t>
        </is>
      </c>
      <c r="G518" t="inlineStr">
        <is>
          <t>1</t>
        </is>
      </c>
      <c r="H518" t="inlineStr">
        <is>
          <t>No</t>
        </is>
      </c>
      <c r="I518" t="inlineStr">
        <is>
          <t>No</t>
        </is>
      </c>
      <c r="J518" t="inlineStr">
        <is>
          <t>0</t>
        </is>
      </c>
      <c r="K518" t="inlineStr">
        <is>
          <t>Edwards, George Wharton, 1859-1950.</t>
        </is>
      </c>
      <c r="L518" t="inlineStr">
        <is>
          <t>Philadelphia, Penn Pub. Co. [c1924]</t>
        </is>
      </c>
      <c r="M518" t="inlineStr">
        <is>
          <t>1924</t>
        </is>
      </c>
      <c r="O518" t="inlineStr">
        <is>
          <t>eng</t>
        </is>
      </c>
      <c r="P518" t="inlineStr">
        <is>
          <t xml:space="preserve">xx </t>
        </is>
      </c>
      <c r="R518" t="inlineStr">
        <is>
          <t xml:space="preserve">DC </t>
        </is>
      </c>
      <c r="S518" t="n">
        <v>2</v>
      </c>
      <c r="T518" t="n">
        <v>2</v>
      </c>
      <c r="U518" t="inlineStr">
        <is>
          <t>1998-05-13</t>
        </is>
      </c>
      <c r="V518" t="inlineStr">
        <is>
          <t>1998-05-13</t>
        </is>
      </c>
      <c r="W518" t="inlineStr">
        <is>
          <t>1996-11-20</t>
        </is>
      </c>
      <c r="X518" t="inlineStr">
        <is>
          <t>1996-11-20</t>
        </is>
      </c>
      <c r="Y518" t="n">
        <v>155</v>
      </c>
      <c r="Z518" t="n">
        <v>153</v>
      </c>
      <c r="AA518" t="n">
        <v>161</v>
      </c>
      <c r="AB518" t="n">
        <v>3</v>
      </c>
      <c r="AC518" t="n">
        <v>3</v>
      </c>
      <c r="AD518" t="n">
        <v>6</v>
      </c>
      <c r="AE518" t="n">
        <v>6</v>
      </c>
      <c r="AF518" t="n">
        <v>0</v>
      </c>
      <c r="AG518" t="n">
        <v>0</v>
      </c>
      <c r="AH518" t="n">
        <v>2</v>
      </c>
      <c r="AI518" t="n">
        <v>2</v>
      </c>
      <c r="AJ518" t="n">
        <v>4</v>
      </c>
      <c r="AK518" t="n">
        <v>4</v>
      </c>
      <c r="AL518" t="n">
        <v>1</v>
      </c>
      <c r="AM518" t="n">
        <v>1</v>
      </c>
      <c r="AN518" t="n">
        <v>0</v>
      </c>
      <c r="AO518" t="n">
        <v>0</v>
      </c>
      <c r="AP518" t="inlineStr">
        <is>
          <t>Yes</t>
        </is>
      </c>
      <c r="AQ518" t="inlineStr">
        <is>
          <t>No</t>
        </is>
      </c>
      <c r="AR518">
        <f>HYPERLINK("http://catalog.hathitrust.org/Record/009907238","HathiTrust Record")</f>
        <v/>
      </c>
      <c r="AS518">
        <f>HYPERLINK("https://creighton-primo.hosted.exlibrisgroup.com/primo-explore/search?tab=default_tab&amp;search_scope=EVERYTHING&amp;vid=01CRU&amp;lang=en_US&amp;offset=0&amp;query=any,contains,991003607739702656","Catalog Record")</f>
        <v/>
      </c>
      <c r="AT518">
        <f>HYPERLINK("http://www.worldcat.org/oclc/1188858","WorldCat Record")</f>
        <v/>
      </c>
      <c r="AU518" t="inlineStr">
        <is>
          <t>998663869:eng</t>
        </is>
      </c>
      <c r="AV518" t="inlineStr">
        <is>
          <t>1188858</t>
        </is>
      </c>
      <c r="AW518" t="inlineStr">
        <is>
          <t>991003607739702656</t>
        </is>
      </c>
      <c r="AX518" t="inlineStr">
        <is>
          <t>991003607739702656</t>
        </is>
      </c>
      <c r="AY518" t="inlineStr">
        <is>
          <t>2266110640002656</t>
        </is>
      </c>
      <c r="AZ518" t="inlineStr">
        <is>
          <t>BOOK</t>
        </is>
      </c>
      <c r="BC518" t="inlineStr">
        <is>
          <t>32285002381167</t>
        </is>
      </c>
      <c r="BD518" t="inlineStr">
        <is>
          <t>893623675</t>
        </is>
      </c>
    </row>
    <row r="519">
      <c r="A519" t="inlineStr">
        <is>
          <t>No</t>
        </is>
      </c>
      <c r="B519" t="inlineStr">
        <is>
          <t>DC737 .P38</t>
        </is>
      </c>
      <c r="C519" t="inlineStr">
        <is>
          <t>0                      DC 0737000P  38</t>
        </is>
      </c>
      <c r="D519" t="inlineStr">
        <is>
          <t>The last time I saw Paris, by Elliot Paul.</t>
        </is>
      </c>
      <c r="F519" t="inlineStr">
        <is>
          <t>No</t>
        </is>
      </c>
      <c r="G519" t="inlineStr">
        <is>
          <t>1</t>
        </is>
      </c>
      <c r="H519" t="inlineStr">
        <is>
          <t>No</t>
        </is>
      </c>
      <c r="I519" t="inlineStr">
        <is>
          <t>No</t>
        </is>
      </c>
      <c r="J519" t="inlineStr">
        <is>
          <t>0</t>
        </is>
      </c>
      <c r="K519" t="inlineStr">
        <is>
          <t>Paul, Elliot, 1891-1958.</t>
        </is>
      </c>
      <c r="L519" t="inlineStr">
        <is>
          <t>New York, Random House [1942]</t>
        </is>
      </c>
      <c r="M519" t="inlineStr">
        <is>
          <t>1942</t>
        </is>
      </c>
      <c r="O519" t="inlineStr">
        <is>
          <t>eng</t>
        </is>
      </c>
      <c r="P519" t="inlineStr">
        <is>
          <t>nyu</t>
        </is>
      </c>
      <c r="R519" t="inlineStr">
        <is>
          <t xml:space="preserve">DC </t>
        </is>
      </c>
      <c r="S519" t="n">
        <v>3</v>
      </c>
      <c r="T519" t="n">
        <v>3</v>
      </c>
      <c r="U519" t="inlineStr">
        <is>
          <t>1999-08-12</t>
        </is>
      </c>
      <c r="V519" t="inlineStr">
        <is>
          <t>1999-08-12</t>
        </is>
      </c>
      <c r="W519" t="inlineStr">
        <is>
          <t>1996-11-20</t>
        </is>
      </c>
      <c r="X519" t="inlineStr">
        <is>
          <t>1996-11-20</t>
        </is>
      </c>
      <c r="Y519" t="n">
        <v>781</v>
      </c>
      <c r="Z519" t="n">
        <v>733</v>
      </c>
      <c r="AA519" t="n">
        <v>869</v>
      </c>
      <c r="AB519" t="n">
        <v>6</v>
      </c>
      <c r="AC519" t="n">
        <v>8</v>
      </c>
      <c r="AD519" t="n">
        <v>29</v>
      </c>
      <c r="AE519" t="n">
        <v>34</v>
      </c>
      <c r="AF519" t="n">
        <v>12</v>
      </c>
      <c r="AG519" t="n">
        <v>15</v>
      </c>
      <c r="AH519" t="n">
        <v>5</v>
      </c>
      <c r="AI519" t="n">
        <v>6</v>
      </c>
      <c r="AJ519" t="n">
        <v>16</v>
      </c>
      <c r="AK519" t="n">
        <v>17</v>
      </c>
      <c r="AL519" t="n">
        <v>4</v>
      </c>
      <c r="AM519" t="n">
        <v>5</v>
      </c>
      <c r="AN519" t="n">
        <v>0</v>
      </c>
      <c r="AO519" t="n">
        <v>0</v>
      </c>
      <c r="AP519" t="inlineStr">
        <is>
          <t>No</t>
        </is>
      </c>
      <c r="AQ519" t="inlineStr">
        <is>
          <t>Yes</t>
        </is>
      </c>
      <c r="AR519">
        <f>HYPERLINK("http://catalog.hathitrust.org/Record/000369059","HathiTrust Record")</f>
        <v/>
      </c>
      <c r="AS519">
        <f>HYPERLINK("https://creighton-primo.hosted.exlibrisgroup.com/primo-explore/search?tab=default_tab&amp;search_scope=EVERYTHING&amp;vid=01CRU&amp;lang=en_US&amp;offset=0&amp;query=any,contains,991001155929702656","Catalog Record")</f>
        <v/>
      </c>
      <c r="AT519">
        <f>HYPERLINK("http://www.worldcat.org/oclc/185944","WorldCat Record")</f>
        <v/>
      </c>
      <c r="AU519" t="inlineStr">
        <is>
          <t>1335531:eng</t>
        </is>
      </c>
      <c r="AV519" t="inlineStr">
        <is>
          <t>185944</t>
        </is>
      </c>
      <c r="AW519" t="inlineStr">
        <is>
          <t>991001155929702656</t>
        </is>
      </c>
      <c r="AX519" t="inlineStr">
        <is>
          <t>991001155929702656</t>
        </is>
      </c>
      <c r="AY519" t="inlineStr">
        <is>
          <t>2268987220002656</t>
        </is>
      </c>
      <c r="AZ519" t="inlineStr">
        <is>
          <t>BOOK</t>
        </is>
      </c>
      <c r="BC519" t="inlineStr">
        <is>
          <t>32285002381183</t>
        </is>
      </c>
      <c r="BD519" t="inlineStr">
        <is>
          <t>893528703</t>
        </is>
      </c>
    </row>
    <row r="520">
      <c r="A520" t="inlineStr">
        <is>
          <t>No</t>
        </is>
      </c>
      <c r="B520" t="inlineStr">
        <is>
          <t>DC737 .W555 1983</t>
        </is>
      </c>
      <c r="C520" t="inlineStr">
        <is>
          <t>0                      DC 0737000W  555         1983</t>
        </is>
      </c>
      <c r="D520" t="inlineStr">
        <is>
          <t>The crazy years : Paris in the twenties / William Wiser.</t>
        </is>
      </c>
      <c r="F520" t="inlineStr">
        <is>
          <t>No</t>
        </is>
      </c>
      <c r="G520" t="inlineStr">
        <is>
          <t>1</t>
        </is>
      </c>
      <c r="H520" t="inlineStr">
        <is>
          <t>No</t>
        </is>
      </c>
      <c r="I520" t="inlineStr">
        <is>
          <t>No</t>
        </is>
      </c>
      <c r="J520" t="inlineStr">
        <is>
          <t>0</t>
        </is>
      </c>
      <c r="K520" t="inlineStr">
        <is>
          <t>Wiser, William.</t>
        </is>
      </c>
      <c r="L520" t="inlineStr">
        <is>
          <t>New York : Atheneum, c1983.</t>
        </is>
      </c>
      <c r="M520" t="inlineStr">
        <is>
          <t>1983</t>
        </is>
      </c>
      <c r="N520" t="inlineStr">
        <is>
          <t>1st ed.</t>
        </is>
      </c>
      <c r="O520" t="inlineStr">
        <is>
          <t>eng</t>
        </is>
      </c>
      <c r="P520" t="inlineStr">
        <is>
          <t>nyu</t>
        </is>
      </c>
      <c r="R520" t="inlineStr">
        <is>
          <t xml:space="preserve">DC </t>
        </is>
      </c>
      <c r="S520" t="n">
        <v>4</v>
      </c>
      <c r="T520" t="n">
        <v>4</v>
      </c>
      <c r="U520" t="inlineStr">
        <is>
          <t>2008-11-12</t>
        </is>
      </c>
      <c r="V520" t="inlineStr">
        <is>
          <t>2008-11-12</t>
        </is>
      </c>
      <c r="W520" t="inlineStr">
        <is>
          <t>2000-08-21</t>
        </is>
      </c>
      <c r="X520" t="inlineStr">
        <is>
          <t>2000-08-21</t>
        </is>
      </c>
      <c r="Y520" t="n">
        <v>252</v>
      </c>
      <c r="Z520" t="n">
        <v>225</v>
      </c>
      <c r="AA520" t="n">
        <v>653</v>
      </c>
      <c r="AB520" t="n">
        <v>2</v>
      </c>
      <c r="AC520" t="n">
        <v>4</v>
      </c>
      <c r="AD520" t="n">
        <v>4</v>
      </c>
      <c r="AE520" t="n">
        <v>17</v>
      </c>
      <c r="AF520" t="n">
        <v>1</v>
      </c>
      <c r="AG520" t="n">
        <v>10</v>
      </c>
      <c r="AH520" t="n">
        <v>0</v>
      </c>
      <c r="AI520" t="n">
        <v>3</v>
      </c>
      <c r="AJ520" t="n">
        <v>2</v>
      </c>
      <c r="AK520" t="n">
        <v>8</v>
      </c>
      <c r="AL520" t="n">
        <v>1</v>
      </c>
      <c r="AM520" t="n">
        <v>1</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HYPERLINK("https://creighton-primo.hosted.exlibrisgroup.com/primo-explore/search?tab=default_tab&amp;search_scope=EVERYTHING&amp;vid=01CRU&amp;lang=en_US&amp;offset=0&amp;query=any,contains,991003269049702656","Catalog Record")</f>
        <v/>
      </c>
      <c r="AT520">
        <f>HYPERLINK("http://www.worldcat.org/oclc/10743961","WorldCat Record")</f>
        <v/>
      </c>
      <c r="AU520" t="inlineStr">
        <is>
          <t>3551774:eng</t>
        </is>
      </c>
      <c r="AV520" t="inlineStr">
        <is>
          <t>10743961</t>
        </is>
      </c>
      <c r="AW520" t="inlineStr">
        <is>
          <t>991003269049702656</t>
        </is>
      </c>
      <c r="AX520" t="inlineStr">
        <is>
          <t>991003269049702656</t>
        </is>
      </c>
      <c r="AY520" t="inlineStr">
        <is>
          <t>2261497110002656</t>
        </is>
      </c>
      <c r="AZ520" t="inlineStr">
        <is>
          <t>BOOK</t>
        </is>
      </c>
      <c r="BB520" t="inlineStr">
        <is>
          <t>9780689114199</t>
        </is>
      </c>
      <c r="BC520" t="inlineStr">
        <is>
          <t>32285003757837</t>
        </is>
      </c>
      <c r="BD520" t="inlineStr">
        <is>
          <t>893434823</t>
        </is>
      </c>
    </row>
    <row r="521">
      <c r="A521" t="inlineStr">
        <is>
          <t>No</t>
        </is>
      </c>
      <c r="B521" t="inlineStr">
        <is>
          <t>DC752.L43 L67</t>
        </is>
      </c>
      <c r="C521" t="inlineStr">
        <is>
          <t>0                      DC 0752000L  43                 L  67</t>
        </is>
      </c>
      <c r="D521" t="inlineStr">
        <is>
          <t>The Left Bank : writers, artists, and politics from the Popular Front to the Cold War / Herbert R. Lottman.</t>
        </is>
      </c>
      <c r="F521" t="inlineStr">
        <is>
          <t>No</t>
        </is>
      </c>
      <c r="G521" t="inlineStr">
        <is>
          <t>1</t>
        </is>
      </c>
      <c r="H521" t="inlineStr">
        <is>
          <t>No</t>
        </is>
      </c>
      <c r="I521" t="inlineStr">
        <is>
          <t>No</t>
        </is>
      </c>
      <c r="J521" t="inlineStr">
        <is>
          <t>0</t>
        </is>
      </c>
      <c r="K521" t="inlineStr">
        <is>
          <t>Lottman, Herbert R.</t>
        </is>
      </c>
      <c r="L521" t="inlineStr">
        <is>
          <t>Boston : Houghton Mifflin, 1982.</t>
        </is>
      </c>
      <c r="M521" t="inlineStr">
        <is>
          <t>1982</t>
        </is>
      </c>
      <c r="O521" t="inlineStr">
        <is>
          <t>eng</t>
        </is>
      </c>
      <c r="P521" t="inlineStr">
        <is>
          <t>mau</t>
        </is>
      </c>
      <c r="R521" t="inlineStr">
        <is>
          <t xml:space="preserve">DC </t>
        </is>
      </c>
      <c r="S521" t="n">
        <v>3</v>
      </c>
      <c r="T521" t="n">
        <v>3</v>
      </c>
      <c r="U521" t="inlineStr">
        <is>
          <t>2000-05-11</t>
        </is>
      </c>
      <c r="V521" t="inlineStr">
        <is>
          <t>2000-05-11</t>
        </is>
      </c>
      <c r="W521" t="inlineStr">
        <is>
          <t>1991-01-16</t>
        </is>
      </c>
      <c r="X521" t="inlineStr">
        <is>
          <t>1991-01-16</t>
        </is>
      </c>
      <c r="Y521" t="n">
        <v>707</v>
      </c>
      <c r="Z521" t="n">
        <v>629</v>
      </c>
      <c r="AA521" t="n">
        <v>813</v>
      </c>
      <c r="AB521" t="n">
        <v>3</v>
      </c>
      <c r="AC521" t="n">
        <v>3</v>
      </c>
      <c r="AD521" t="n">
        <v>25</v>
      </c>
      <c r="AE521" t="n">
        <v>30</v>
      </c>
      <c r="AF521" t="n">
        <v>9</v>
      </c>
      <c r="AG521" t="n">
        <v>10</v>
      </c>
      <c r="AH521" t="n">
        <v>7</v>
      </c>
      <c r="AI521" t="n">
        <v>10</v>
      </c>
      <c r="AJ521" t="n">
        <v>15</v>
      </c>
      <c r="AK521" t="n">
        <v>17</v>
      </c>
      <c r="AL521" t="n">
        <v>2</v>
      </c>
      <c r="AM521" t="n">
        <v>2</v>
      </c>
      <c r="AN521" t="n">
        <v>0</v>
      </c>
      <c r="AO521" t="n">
        <v>0</v>
      </c>
      <c r="AP521" t="inlineStr">
        <is>
          <t>No</t>
        </is>
      </c>
      <c r="AQ521" t="inlineStr">
        <is>
          <t>Yes</t>
        </is>
      </c>
      <c r="AR521">
        <f>HYPERLINK("http://catalog.hathitrust.org/Record/000306542","HathiTrust Record")</f>
        <v/>
      </c>
      <c r="AS521">
        <f>HYPERLINK("https://creighton-primo.hosted.exlibrisgroup.com/primo-explore/search?tab=default_tab&amp;search_scope=EVERYTHING&amp;vid=01CRU&amp;lang=en_US&amp;offset=0&amp;query=any,contains,991005172679702656","Catalog Record")</f>
        <v/>
      </c>
      <c r="AT521">
        <f>HYPERLINK("http://www.worldcat.org/oclc/7876241","WorldCat Record")</f>
        <v/>
      </c>
      <c r="AU521" t="inlineStr">
        <is>
          <t>4429717874:eng</t>
        </is>
      </c>
      <c r="AV521" t="inlineStr">
        <is>
          <t>7876241</t>
        </is>
      </c>
      <c r="AW521" t="inlineStr">
        <is>
          <t>991005172679702656</t>
        </is>
      </c>
      <c r="AX521" t="inlineStr">
        <is>
          <t>991005172679702656</t>
        </is>
      </c>
      <c r="AY521" t="inlineStr">
        <is>
          <t>2266559130002656</t>
        </is>
      </c>
      <c r="AZ521" t="inlineStr">
        <is>
          <t>BOOK</t>
        </is>
      </c>
      <c r="BB521" t="inlineStr">
        <is>
          <t>9780395313220</t>
        </is>
      </c>
      <c r="BC521" t="inlineStr">
        <is>
          <t>32285000455377</t>
        </is>
      </c>
      <c r="BD521" t="inlineStr">
        <is>
          <t>893807932</t>
        </is>
      </c>
    </row>
    <row r="522">
      <c r="A522" t="inlineStr">
        <is>
          <t>No</t>
        </is>
      </c>
      <c r="B522" t="inlineStr">
        <is>
          <t>DC761 .E35</t>
        </is>
      </c>
      <c r="C522" t="inlineStr">
        <is>
          <t>0                      DC 0761000E  35</t>
        </is>
      </c>
      <c r="D522" t="inlineStr">
        <is>
          <t>On the bridges of mediaeval Paris; a record of early fourteenth-century life.</t>
        </is>
      </c>
      <c r="F522" t="inlineStr">
        <is>
          <t>No</t>
        </is>
      </c>
      <c r="G522" t="inlineStr">
        <is>
          <t>1</t>
        </is>
      </c>
      <c r="H522" t="inlineStr">
        <is>
          <t>No</t>
        </is>
      </c>
      <c r="I522" t="inlineStr">
        <is>
          <t>No</t>
        </is>
      </c>
      <c r="J522" t="inlineStr">
        <is>
          <t>0</t>
        </is>
      </c>
      <c r="K522" t="inlineStr">
        <is>
          <t>Egbert, Virginia Wylie.</t>
        </is>
      </c>
      <c r="L522" t="inlineStr">
        <is>
          <t>[Princeton] N.J., Princeton University Press [1974]</t>
        </is>
      </c>
      <c r="M522" t="inlineStr">
        <is>
          <t>1974</t>
        </is>
      </c>
      <c r="O522" t="inlineStr">
        <is>
          <t>eng</t>
        </is>
      </c>
      <c r="P522" t="inlineStr">
        <is>
          <t>nju</t>
        </is>
      </c>
      <c r="R522" t="inlineStr">
        <is>
          <t xml:space="preserve">DC </t>
        </is>
      </c>
      <c r="S522" t="n">
        <v>3</v>
      </c>
      <c r="T522" t="n">
        <v>3</v>
      </c>
      <c r="U522" t="inlineStr">
        <is>
          <t>2000-07-12</t>
        </is>
      </c>
      <c r="V522" t="inlineStr">
        <is>
          <t>2000-07-12</t>
        </is>
      </c>
      <c r="W522" t="inlineStr">
        <is>
          <t>1996-11-20</t>
        </is>
      </c>
      <c r="X522" t="inlineStr">
        <is>
          <t>1996-11-20</t>
        </is>
      </c>
      <c r="Y522" t="n">
        <v>698</v>
      </c>
      <c r="Z522" t="n">
        <v>577</v>
      </c>
      <c r="AA522" t="n">
        <v>577</v>
      </c>
      <c r="AB522" t="n">
        <v>3</v>
      </c>
      <c r="AC522" t="n">
        <v>3</v>
      </c>
      <c r="AD522" t="n">
        <v>22</v>
      </c>
      <c r="AE522" t="n">
        <v>22</v>
      </c>
      <c r="AF522" t="n">
        <v>5</v>
      </c>
      <c r="AG522" t="n">
        <v>5</v>
      </c>
      <c r="AH522" t="n">
        <v>7</v>
      </c>
      <c r="AI522" t="n">
        <v>7</v>
      </c>
      <c r="AJ522" t="n">
        <v>12</v>
      </c>
      <c r="AK522" t="n">
        <v>12</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HYPERLINK("https://creighton-primo.hosted.exlibrisgroup.com/primo-explore/search?tab=default_tab&amp;search_scope=EVERYTHING&amp;vid=01CRU&amp;lang=en_US&amp;offset=0&amp;query=any,contains,991005357159702656","Catalog Record")</f>
        <v/>
      </c>
      <c r="AT522">
        <f>HYPERLINK("http://www.worldcat.org/oclc/902729","WorldCat Record")</f>
        <v/>
      </c>
      <c r="AU522" t="inlineStr">
        <is>
          <t>836675430:eng</t>
        </is>
      </c>
      <c r="AV522" t="inlineStr">
        <is>
          <t>902729</t>
        </is>
      </c>
      <c r="AW522" t="inlineStr">
        <is>
          <t>991005357159702656</t>
        </is>
      </c>
      <c r="AX522" t="inlineStr">
        <is>
          <t>991005357159702656</t>
        </is>
      </c>
      <c r="AY522" t="inlineStr">
        <is>
          <t>2262620970002656</t>
        </is>
      </c>
      <c r="AZ522" t="inlineStr">
        <is>
          <t>BOOK</t>
        </is>
      </c>
      <c r="BB522" t="inlineStr">
        <is>
          <t>9780691039060</t>
        </is>
      </c>
      <c r="BC522" t="inlineStr">
        <is>
          <t>32285002381217</t>
        </is>
      </c>
      <c r="BD522" t="inlineStr">
        <is>
          <t>893628701</t>
        </is>
      </c>
    </row>
    <row r="523">
      <c r="A523" t="inlineStr">
        <is>
          <t>No</t>
        </is>
      </c>
      <c r="B523" t="inlineStr">
        <is>
          <t>DC801.B693 A34 1978</t>
        </is>
      </c>
      <c r="C523" t="inlineStr">
        <is>
          <t>0                      DC 0801000B  693                A  34          1978</t>
        </is>
      </c>
      <c r="D523" t="inlineStr">
        <is>
          <t>Village on the Seine : tradition and change in Bonnières, 1815-1914 / Evelyn Bernette Ackerman.</t>
        </is>
      </c>
      <c r="F523" t="inlineStr">
        <is>
          <t>No</t>
        </is>
      </c>
      <c r="G523" t="inlineStr">
        <is>
          <t>1</t>
        </is>
      </c>
      <c r="H523" t="inlineStr">
        <is>
          <t>No</t>
        </is>
      </c>
      <c r="I523" t="inlineStr">
        <is>
          <t>No</t>
        </is>
      </c>
      <c r="J523" t="inlineStr">
        <is>
          <t>0</t>
        </is>
      </c>
      <c r="K523" t="inlineStr">
        <is>
          <t>Ackerman, Evelyn Bernette.</t>
        </is>
      </c>
      <c r="L523" t="inlineStr">
        <is>
          <t>Ithaca, N.Y. : Cornell University Press, 1978.</t>
        </is>
      </c>
      <c r="M523" t="inlineStr">
        <is>
          <t>1978</t>
        </is>
      </c>
      <c r="O523" t="inlineStr">
        <is>
          <t>eng</t>
        </is>
      </c>
      <c r="P523" t="inlineStr">
        <is>
          <t>nyu</t>
        </is>
      </c>
      <c r="R523" t="inlineStr">
        <is>
          <t xml:space="preserve">DC </t>
        </is>
      </c>
      <c r="S523" t="n">
        <v>1</v>
      </c>
      <c r="T523" t="n">
        <v>1</v>
      </c>
      <c r="U523" t="inlineStr">
        <is>
          <t>2000-09-04</t>
        </is>
      </c>
      <c r="V523" t="inlineStr">
        <is>
          <t>2000-09-04</t>
        </is>
      </c>
      <c r="W523" t="inlineStr">
        <is>
          <t>1991-01-16</t>
        </is>
      </c>
      <c r="X523" t="inlineStr">
        <is>
          <t>1991-01-16</t>
        </is>
      </c>
      <c r="Y523" t="n">
        <v>423</v>
      </c>
      <c r="Z523" t="n">
        <v>335</v>
      </c>
      <c r="AA523" t="n">
        <v>341</v>
      </c>
      <c r="AB523" t="n">
        <v>3</v>
      </c>
      <c r="AC523" t="n">
        <v>3</v>
      </c>
      <c r="AD523" t="n">
        <v>17</v>
      </c>
      <c r="AE523" t="n">
        <v>17</v>
      </c>
      <c r="AF523" t="n">
        <v>4</v>
      </c>
      <c r="AG523" t="n">
        <v>4</v>
      </c>
      <c r="AH523" t="n">
        <v>5</v>
      </c>
      <c r="AI523" t="n">
        <v>5</v>
      </c>
      <c r="AJ523" t="n">
        <v>9</v>
      </c>
      <c r="AK523" t="n">
        <v>9</v>
      </c>
      <c r="AL523" t="n">
        <v>2</v>
      </c>
      <c r="AM523" t="n">
        <v>2</v>
      </c>
      <c r="AN523" t="n">
        <v>0</v>
      </c>
      <c r="AO523" t="n">
        <v>0</v>
      </c>
      <c r="AP523" t="inlineStr">
        <is>
          <t>No</t>
        </is>
      </c>
      <c r="AQ523" t="inlineStr">
        <is>
          <t>Yes</t>
        </is>
      </c>
      <c r="AR523">
        <f>HYPERLINK("http://catalog.hathitrust.org/Record/000176435","HathiTrust Record")</f>
        <v/>
      </c>
      <c r="AS523">
        <f>HYPERLINK("https://creighton-primo.hosted.exlibrisgroup.com/primo-explore/search?tab=default_tab&amp;search_scope=EVERYTHING&amp;vid=01CRU&amp;lang=en_US&amp;offset=0&amp;query=any,contains,991004562379702656","Catalog Record")</f>
        <v/>
      </c>
      <c r="AT523">
        <f>HYPERLINK("http://www.worldcat.org/oclc/4003644","WorldCat Record")</f>
        <v/>
      </c>
      <c r="AU523" t="inlineStr">
        <is>
          <t>309029263:eng</t>
        </is>
      </c>
      <c r="AV523" t="inlineStr">
        <is>
          <t>4003644</t>
        </is>
      </c>
      <c r="AW523" t="inlineStr">
        <is>
          <t>991004562379702656</t>
        </is>
      </c>
      <c r="AX523" t="inlineStr">
        <is>
          <t>991004562379702656</t>
        </is>
      </c>
      <c r="AY523" t="inlineStr">
        <is>
          <t>2267724570002656</t>
        </is>
      </c>
      <c r="AZ523" t="inlineStr">
        <is>
          <t>BOOK</t>
        </is>
      </c>
      <c r="BB523" t="inlineStr">
        <is>
          <t>9780801411786</t>
        </is>
      </c>
      <c r="BC523" t="inlineStr">
        <is>
          <t>32285000455393</t>
        </is>
      </c>
      <c r="BD523" t="inlineStr">
        <is>
          <t>893411692</t>
        </is>
      </c>
    </row>
    <row r="524">
      <c r="A524" t="inlineStr">
        <is>
          <t>No</t>
        </is>
      </c>
      <c r="B524" t="inlineStr">
        <is>
          <t>DC801.C48 V54 1975</t>
        </is>
      </c>
      <c r="C524" t="inlineStr">
        <is>
          <t>0                      DC 0801000C  48                 V  54          1975</t>
        </is>
      </c>
      <c r="D524" t="inlineStr">
        <is>
          <t>Chartres et sa cathédrale / Jean Villette.</t>
        </is>
      </c>
      <c r="F524" t="inlineStr">
        <is>
          <t>No</t>
        </is>
      </c>
      <c r="G524" t="inlineStr">
        <is>
          <t>1</t>
        </is>
      </c>
      <c r="H524" t="inlineStr">
        <is>
          <t>No</t>
        </is>
      </c>
      <c r="I524" t="inlineStr">
        <is>
          <t>No</t>
        </is>
      </c>
      <c r="J524" t="inlineStr">
        <is>
          <t>0</t>
        </is>
      </c>
      <c r="K524" t="inlineStr">
        <is>
          <t>Villette, Jean.</t>
        </is>
      </c>
      <c r="L524" t="inlineStr">
        <is>
          <t>[Paris] : Arthaud, c1975.</t>
        </is>
      </c>
      <c r="M524" t="inlineStr">
        <is>
          <t>1975</t>
        </is>
      </c>
      <c r="O524" t="inlineStr">
        <is>
          <t>fre</t>
        </is>
      </c>
      <c r="P524" t="inlineStr">
        <is>
          <t xml:space="preserve">fr </t>
        </is>
      </c>
      <c r="Q524" t="inlineStr">
        <is>
          <t>Aspects de la France</t>
        </is>
      </c>
      <c r="R524" t="inlineStr">
        <is>
          <t xml:space="preserve">DC </t>
        </is>
      </c>
      <c r="S524" t="n">
        <v>1</v>
      </c>
      <c r="T524" t="n">
        <v>1</v>
      </c>
      <c r="U524" t="inlineStr">
        <is>
          <t>2003-11-30</t>
        </is>
      </c>
      <c r="V524" t="inlineStr">
        <is>
          <t>2003-11-30</t>
        </is>
      </c>
      <c r="W524" t="inlineStr">
        <is>
          <t>1990-07-19</t>
        </is>
      </c>
      <c r="X524" t="inlineStr">
        <is>
          <t>1990-07-19</t>
        </is>
      </c>
      <c r="Y524" t="n">
        <v>17</v>
      </c>
      <c r="Z524" t="n">
        <v>6</v>
      </c>
      <c r="AA524" t="n">
        <v>7</v>
      </c>
      <c r="AB524" t="n">
        <v>1</v>
      </c>
      <c r="AC524" t="n">
        <v>1</v>
      </c>
      <c r="AD524" t="n">
        <v>0</v>
      </c>
      <c r="AE524" t="n">
        <v>0</v>
      </c>
      <c r="AF524" t="n">
        <v>0</v>
      </c>
      <c r="AG524" t="n">
        <v>0</v>
      </c>
      <c r="AH524" t="n">
        <v>0</v>
      </c>
      <c r="AI524" t="n">
        <v>0</v>
      </c>
      <c r="AJ524" t="n">
        <v>0</v>
      </c>
      <c r="AK524" t="n">
        <v>0</v>
      </c>
      <c r="AL524" t="n">
        <v>0</v>
      </c>
      <c r="AM524" t="n">
        <v>0</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HYPERLINK("https://creighton-primo.hosted.exlibrisgroup.com/primo-explore/search?tab=default_tab&amp;search_scope=EVERYTHING&amp;vid=01CRU&amp;lang=en_US&amp;offset=0&amp;query=any,contains,991003910179702656","Catalog Record")</f>
        <v/>
      </c>
      <c r="AT524">
        <f>HYPERLINK("http://www.worldcat.org/oclc/1849592","WorldCat Record")</f>
        <v/>
      </c>
      <c r="AU524" t="inlineStr">
        <is>
          <t>1150957484:fre</t>
        </is>
      </c>
      <c r="AV524" t="inlineStr">
        <is>
          <t>1849592</t>
        </is>
      </c>
      <c r="AW524" t="inlineStr">
        <is>
          <t>991003910179702656</t>
        </is>
      </c>
      <c r="AX524" t="inlineStr">
        <is>
          <t>991003910179702656</t>
        </is>
      </c>
      <c r="AY524" t="inlineStr">
        <is>
          <t>2258047760002656</t>
        </is>
      </c>
      <c r="AZ524" t="inlineStr">
        <is>
          <t>BOOK</t>
        </is>
      </c>
      <c r="BB524" t="inlineStr">
        <is>
          <t>9782700300772</t>
        </is>
      </c>
      <c r="BC524" t="inlineStr">
        <is>
          <t>32285000245208</t>
        </is>
      </c>
      <c r="BD524" t="inlineStr">
        <is>
          <t>893519032</t>
        </is>
      </c>
    </row>
    <row r="525">
      <c r="A525" t="inlineStr">
        <is>
          <t>No</t>
        </is>
      </c>
      <c r="B525" t="inlineStr">
        <is>
          <t>DC801.L43 R63 1997</t>
        </is>
      </c>
      <c r="C525" t="inlineStr">
        <is>
          <t>0                      DC 0801000L  43                 R  63          1997</t>
        </is>
      </c>
      <c r="D525" t="inlineStr">
        <is>
          <t>City on the ocean sea, La Rochelle, 1530-1650 : urban society, religion, and politics on the French Atlantic frontier / by Kevin C. Robbins.</t>
        </is>
      </c>
      <c r="F525" t="inlineStr">
        <is>
          <t>No</t>
        </is>
      </c>
      <c r="G525" t="inlineStr">
        <is>
          <t>1</t>
        </is>
      </c>
      <c r="H525" t="inlineStr">
        <is>
          <t>No</t>
        </is>
      </c>
      <c r="I525" t="inlineStr">
        <is>
          <t>No</t>
        </is>
      </c>
      <c r="J525" t="inlineStr">
        <is>
          <t>0</t>
        </is>
      </c>
      <c r="K525" t="inlineStr">
        <is>
          <t>Robbins, Kevin C.</t>
        </is>
      </c>
      <c r="L525" t="inlineStr">
        <is>
          <t>Leiden ; New York : E.J. Brill, 1997.</t>
        </is>
      </c>
      <c r="M525" t="inlineStr">
        <is>
          <t>1997</t>
        </is>
      </c>
      <c r="O525" t="inlineStr">
        <is>
          <t>eng</t>
        </is>
      </c>
      <c r="P525" t="inlineStr">
        <is>
          <t xml:space="preserve">ne </t>
        </is>
      </c>
      <c r="Q525" t="inlineStr">
        <is>
          <t>Studies in medieval and Reformation thought, 0585-6914 ; v. 64</t>
        </is>
      </c>
      <c r="R525" t="inlineStr">
        <is>
          <t xml:space="preserve">DC </t>
        </is>
      </c>
      <c r="S525" t="n">
        <v>2</v>
      </c>
      <c r="T525" t="n">
        <v>2</v>
      </c>
      <c r="U525" t="inlineStr">
        <is>
          <t>2006-03-20</t>
        </is>
      </c>
      <c r="V525" t="inlineStr">
        <is>
          <t>2006-03-20</t>
        </is>
      </c>
      <c r="W525" t="inlineStr">
        <is>
          <t>1998-06-30</t>
        </is>
      </c>
      <c r="X525" t="inlineStr">
        <is>
          <t>1998-06-30</t>
        </is>
      </c>
      <c r="Y525" t="n">
        <v>244</v>
      </c>
      <c r="Z525" t="n">
        <v>180</v>
      </c>
      <c r="AA525" t="n">
        <v>185</v>
      </c>
      <c r="AB525" t="n">
        <v>2</v>
      </c>
      <c r="AC525" t="n">
        <v>2</v>
      </c>
      <c r="AD525" t="n">
        <v>13</v>
      </c>
      <c r="AE525" t="n">
        <v>13</v>
      </c>
      <c r="AF525" t="n">
        <v>3</v>
      </c>
      <c r="AG525" t="n">
        <v>3</v>
      </c>
      <c r="AH525" t="n">
        <v>2</v>
      </c>
      <c r="AI525" t="n">
        <v>2</v>
      </c>
      <c r="AJ525" t="n">
        <v>10</v>
      </c>
      <c r="AK525" t="n">
        <v>10</v>
      </c>
      <c r="AL525" t="n">
        <v>1</v>
      </c>
      <c r="AM525" t="n">
        <v>1</v>
      </c>
      <c r="AN525" t="n">
        <v>0</v>
      </c>
      <c r="AO525" t="n">
        <v>0</v>
      </c>
      <c r="AP525" t="inlineStr">
        <is>
          <t>No</t>
        </is>
      </c>
      <c r="AQ525" t="inlineStr">
        <is>
          <t>Yes</t>
        </is>
      </c>
      <c r="AR525">
        <f>HYPERLINK("http://catalog.hathitrust.org/Record/003185018","HathiTrust Record")</f>
        <v/>
      </c>
      <c r="AS525">
        <f>HYPERLINK("https://creighton-primo.hosted.exlibrisgroup.com/primo-explore/search?tab=default_tab&amp;search_scope=EVERYTHING&amp;vid=01CRU&amp;lang=en_US&amp;offset=0&amp;query=any,contains,991002817529702656","Catalog Record")</f>
        <v/>
      </c>
      <c r="AT525">
        <f>HYPERLINK("http://www.worldcat.org/oclc/37004544","WorldCat Record")</f>
        <v/>
      </c>
      <c r="AU525" t="inlineStr">
        <is>
          <t>808047431:eng</t>
        </is>
      </c>
      <c r="AV525" t="inlineStr">
        <is>
          <t>37004544</t>
        </is>
      </c>
      <c r="AW525" t="inlineStr">
        <is>
          <t>991002817529702656</t>
        </is>
      </c>
      <c r="AX525" t="inlineStr">
        <is>
          <t>991002817529702656</t>
        </is>
      </c>
      <c r="AY525" t="inlineStr">
        <is>
          <t>2272533070002656</t>
        </is>
      </c>
      <c r="AZ525" t="inlineStr">
        <is>
          <t>BOOK</t>
        </is>
      </c>
      <c r="BB525" t="inlineStr">
        <is>
          <t>9789004108806</t>
        </is>
      </c>
      <c r="BC525" t="inlineStr">
        <is>
          <t>32285003424693</t>
        </is>
      </c>
      <c r="BD525" t="inlineStr">
        <is>
          <t>893415685</t>
        </is>
      </c>
    </row>
    <row r="526">
      <c r="A526" t="inlineStr">
        <is>
          <t>No</t>
        </is>
      </c>
      <c r="B526" t="inlineStr">
        <is>
          <t>DC801.M753 L4713</t>
        </is>
      </c>
      <c r="C526" t="inlineStr">
        <is>
          <t>0                      DC 0801000M  753                L  4713</t>
        </is>
      </c>
      <c r="D526" t="inlineStr">
        <is>
          <t>Montaillou : the promised land of error / Emmanuel Le Roy Ladurie ; [translated by Barbara Bray].</t>
        </is>
      </c>
      <c r="F526" t="inlineStr">
        <is>
          <t>No</t>
        </is>
      </c>
      <c r="G526" t="inlineStr">
        <is>
          <t>1</t>
        </is>
      </c>
      <c r="H526" t="inlineStr">
        <is>
          <t>No</t>
        </is>
      </c>
      <c r="I526" t="inlineStr">
        <is>
          <t>No</t>
        </is>
      </c>
      <c r="J526" t="inlineStr">
        <is>
          <t>0</t>
        </is>
      </c>
      <c r="K526" t="inlineStr">
        <is>
          <t>Le Roy Ladurie, Emmanuel.</t>
        </is>
      </c>
      <c r="L526" t="inlineStr">
        <is>
          <t>New York : G. Braziller, c1978.</t>
        </is>
      </c>
      <c r="M526" t="inlineStr">
        <is>
          <t>1978</t>
        </is>
      </c>
      <c r="N526" t="inlineStr">
        <is>
          <t>1st ed. --</t>
        </is>
      </c>
      <c r="O526" t="inlineStr">
        <is>
          <t>eng</t>
        </is>
      </c>
      <c r="P526" t="inlineStr">
        <is>
          <t>nyu</t>
        </is>
      </c>
      <c r="R526" t="inlineStr">
        <is>
          <t xml:space="preserve">DC </t>
        </is>
      </c>
      <c r="S526" t="n">
        <v>6</v>
      </c>
      <c r="T526" t="n">
        <v>6</v>
      </c>
      <c r="U526" t="inlineStr">
        <is>
          <t>2003-08-28</t>
        </is>
      </c>
      <c r="V526" t="inlineStr">
        <is>
          <t>2003-08-28</t>
        </is>
      </c>
      <c r="W526" t="inlineStr">
        <is>
          <t>1990-06-15</t>
        </is>
      </c>
      <c r="X526" t="inlineStr">
        <is>
          <t>1990-06-15</t>
        </is>
      </c>
      <c r="Y526" t="n">
        <v>1211</v>
      </c>
      <c r="Z526" t="n">
        <v>1128</v>
      </c>
      <c r="AA526" t="n">
        <v>1419</v>
      </c>
      <c r="AB526" t="n">
        <v>12</v>
      </c>
      <c r="AC526" t="n">
        <v>14</v>
      </c>
      <c r="AD526" t="n">
        <v>49</v>
      </c>
      <c r="AE526" t="n">
        <v>61</v>
      </c>
      <c r="AF526" t="n">
        <v>16</v>
      </c>
      <c r="AG526" t="n">
        <v>23</v>
      </c>
      <c r="AH526" t="n">
        <v>8</v>
      </c>
      <c r="AI526" t="n">
        <v>11</v>
      </c>
      <c r="AJ526" t="n">
        <v>24</v>
      </c>
      <c r="AK526" t="n">
        <v>27</v>
      </c>
      <c r="AL526" t="n">
        <v>9</v>
      </c>
      <c r="AM526" t="n">
        <v>11</v>
      </c>
      <c r="AN526" t="n">
        <v>2</v>
      </c>
      <c r="AO526" t="n">
        <v>2</v>
      </c>
      <c r="AP526" t="inlineStr">
        <is>
          <t>No</t>
        </is>
      </c>
      <c r="AQ526" t="inlineStr">
        <is>
          <t>Yes</t>
        </is>
      </c>
      <c r="AR526">
        <f>HYPERLINK("http://catalog.hathitrust.org/Record/000089782","HathiTrust Record")</f>
        <v/>
      </c>
      <c r="AS526">
        <f>HYPERLINK("https://creighton-primo.hosted.exlibrisgroup.com/primo-explore/search?tab=default_tab&amp;search_scope=EVERYTHING&amp;vid=01CRU&amp;lang=en_US&amp;offset=0&amp;query=any,contains,991004461579702656","Catalog Record")</f>
        <v/>
      </c>
      <c r="AT526">
        <f>HYPERLINK("http://www.worldcat.org/oclc/3543710","WorldCat Record")</f>
        <v/>
      </c>
      <c r="AU526" t="inlineStr">
        <is>
          <t>464434:eng</t>
        </is>
      </c>
      <c r="AV526" t="inlineStr">
        <is>
          <t>3543710</t>
        </is>
      </c>
      <c r="AW526" t="inlineStr">
        <is>
          <t>991004461579702656</t>
        </is>
      </c>
      <c r="AX526" t="inlineStr">
        <is>
          <t>991004461579702656</t>
        </is>
      </c>
      <c r="AY526" t="inlineStr">
        <is>
          <t>2264952440002656</t>
        </is>
      </c>
      <c r="AZ526" t="inlineStr">
        <is>
          <t>BOOK</t>
        </is>
      </c>
      <c r="BB526" t="inlineStr">
        <is>
          <t>9780807608753</t>
        </is>
      </c>
      <c r="BC526" t="inlineStr">
        <is>
          <t>32285000197086</t>
        </is>
      </c>
      <c r="BD526" t="inlineStr">
        <is>
          <t>893722441</t>
        </is>
      </c>
    </row>
    <row r="527">
      <c r="A527" t="inlineStr">
        <is>
          <t>No</t>
        </is>
      </c>
      <c r="B527" t="inlineStr">
        <is>
          <t>DC801.P77 B47 2004</t>
        </is>
      </c>
      <c r="C527" t="inlineStr">
        <is>
          <t>0                      DC 0801000P  77                 B  47          2004</t>
        </is>
      </c>
      <c r="D527" t="inlineStr">
        <is>
          <t>Between crown and community : politics and civic culture in sixteenth-century Poitiers / Hilary J. Bernstein.</t>
        </is>
      </c>
      <c r="F527" t="inlineStr">
        <is>
          <t>No</t>
        </is>
      </c>
      <c r="G527" t="inlineStr">
        <is>
          <t>1</t>
        </is>
      </c>
      <c r="H527" t="inlineStr">
        <is>
          <t>No</t>
        </is>
      </c>
      <c r="I527" t="inlineStr">
        <is>
          <t>No</t>
        </is>
      </c>
      <c r="J527" t="inlineStr">
        <is>
          <t>0</t>
        </is>
      </c>
      <c r="K527" t="inlineStr">
        <is>
          <t>Bernstein, Hilary, 1966-</t>
        </is>
      </c>
      <c r="L527" t="inlineStr">
        <is>
          <t>Ithaca : Cornell University Press, 2004.</t>
        </is>
      </c>
      <c r="M527" t="inlineStr">
        <is>
          <t>2004</t>
        </is>
      </c>
      <c r="O527" t="inlineStr">
        <is>
          <t>eng</t>
        </is>
      </c>
      <c r="P527" t="inlineStr">
        <is>
          <t>nyu</t>
        </is>
      </c>
      <c r="R527" t="inlineStr">
        <is>
          <t xml:space="preserve">DC </t>
        </is>
      </c>
      <c r="S527" t="n">
        <v>1</v>
      </c>
      <c r="T527" t="n">
        <v>1</v>
      </c>
      <c r="U527" t="inlineStr">
        <is>
          <t>2008-04-09</t>
        </is>
      </c>
      <c r="V527" t="inlineStr">
        <is>
          <t>2008-04-09</t>
        </is>
      </c>
      <c r="W527" t="inlineStr">
        <is>
          <t>2008-04-09</t>
        </is>
      </c>
      <c r="X527" t="inlineStr">
        <is>
          <t>2008-04-09</t>
        </is>
      </c>
      <c r="Y527" t="n">
        <v>277</v>
      </c>
      <c r="Z527" t="n">
        <v>226</v>
      </c>
      <c r="AA527" t="n">
        <v>226</v>
      </c>
      <c r="AB527" t="n">
        <v>3</v>
      </c>
      <c r="AC527" t="n">
        <v>3</v>
      </c>
      <c r="AD527" t="n">
        <v>17</v>
      </c>
      <c r="AE527" t="n">
        <v>17</v>
      </c>
      <c r="AF527" t="n">
        <v>6</v>
      </c>
      <c r="AG527" t="n">
        <v>6</v>
      </c>
      <c r="AH527" t="n">
        <v>5</v>
      </c>
      <c r="AI527" t="n">
        <v>5</v>
      </c>
      <c r="AJ527" t="n">
        <v>10</v>
      </c>
      <c r="AK527" t="n">
        <v>10</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HYPERLINK("https://creighton-primo.hosted.exlibrisgroup.com/primo-explore/search?tab=default_tab&amp;search_scope=EVERYTHING&amp;vid=01CRU&amp;lang=en_US&amp;offset=0&amp;query=any,contains,991005196069702656","Catalog Record")</f>
        <v/>
      </c>
      <c r="AT527">
        <f>HYPERLINK("http://www.worldcat.org/oclc/56042434","WorldCat Record")</f>
        <v/>
      </c>
      <c r="AU527" t="inlineStr">
        <is>
          <t>905417912:eng</t>
        </is>
      </c>
      <c r="AV527" t="inlineStr">
        <is>
          <t>56042434</t>
        </is>
      </c>
      <c r="AW527" t="inlineStr">
        <is>
          <t>991005196069702656</t>
        </is>
      </c>
      <c r="AX527" t="inlineStr">
        <is>
          <t>991005196069702656</t>
        </is>
      </c>
      <c r="AY527" t="inlineStr">
        <is>
          <t>2266198440002656</t>
        </is>
      </c>
      <c r="AZ527" t="inlineStr">
        <is>
          <t>BOOK</t>
        </is>
      </c>
      <c r="BB527" t="inlineStr">
        <is>
          <t>9780801442346</t>
        </is>
      </c>
      <c r="BC527" t="inlineStr">
        <is>
          <t>32285005402259</t>
        </is>
      </c>
      <c r="BD527" t="inlineStr">
        <is>
          <t>893883489</t>
        </is>
      </c>
    </row>
    <row r="528">
      <c r="A528" t="inlineStr">
        <is>
          <t>No</t>
        </is>
      </c>
      <c r="B528" t="inlineStr">
        <is>
          <t>DC801.R42 L56 1991</t>
        </is>
      </c>
      <c r="C528" t="inlineStr">
        <is>
          <t>0                      DC 0801000R  42                 L  56          1991</t>
        </is>
      </c>
      <c r="D528" t="inlineStr">
        <is>
          <t>The Holy Place : discovering the eighth wonder of the ancient world / Henry Lincoln.</t>
        </is>
      </c>
      <c r="F528" t="inlineStr">
        <is>
          <t>No</t>
        </is>
      </c>
      <c r="G528" t="inlineStr">
        <is>
          <t>1</t>
        </is>
      </c>
      <c r="H528" t="inlineStr">
        <is>
          <t>No</t>
        </is>
      </c>
      <c r="I528" t="inlineStr">
        <is>
          <t>No</t>
        </is>
      </c>
      <c r="J528" t="inlineStr">
        <is>
          <t>0</t>
        </is>
      </c>
      <c r="K528" t="inlineStr">
        <is>
          <t>Lincoln, Henry.</t>
        </is>
      </c>
      <c r="L528" t="inlineStr">
        <is>
          <t>New York, N.Y. : Arcade Pub., 1991.</t>
        </is>
      </c>
      <c r="M528" t="inlineStr">
        <is>
          <t>1991</t>
        </is>
      </c>
      <c r="N528" t="inlineStr">
        <is>
          <t>1st U.S. ed.</t>
        </is>
      </c>
      <c r="O528" t="inlineStr">
        <is>
          <t>eng</t>
        </is>
      </c>
      <c r="P528" t="inlineStr">
        <is>
          <t>nyu</t>
        </is>
      </c>
      <c r="R528" t="inlineStr">
        <is>
          <t xml:space="preserve">DC </t>
        </is>
      </c>
      <c r="S528" t="n">
        <v>7</v>
      </c>
      <c r="T528" t="n">
        <v>7</v>
      </c>
      <c r="U528" t="inlineStr">
        <is>
          <t>2004-04-07</t>
        </is>
      </c>
      <c r="V528" t="inlineStr">
        <is>
          <t>2004-04-07</t>
        </is>
      </c>
      <c r="W528" t="inlineStr">
        <is>
          <t>1991-07-25</t>
        </is>
      </c>
      <c r="X528" t="inlineStr">
        <is>
          <t>1991-07-25</t>
        </is>
      </c>
      <c r="Y528" t="n">
        <v>240</v>
      </c>
      <c r="Z528" t="n">
        <v>226</v>
      </c>
      <c r="AA528" t="n">
        <v>334</v>
      </c>
      <c r="AB528" t="n">
        <v>2</v>
      </c>
      <c r="AC528" t="n">
        <v>2</v>
      </c>
      <c r="AD528" t="n">
        <v>5</v>
      </c>
      <c r="AE528" t="n">
        <v>6</v>
      </c>
      <c r="AF528" t="n">
        <v>3</v>
      </c>
      <c r="AG528" t="n">
        <v>4</v>
      </c>
      <c r="AH528" t="n">
        <v>3</v>
      </c>
      <c r="AI528" t="n">
        <v>3</v>
      </c>
      <c r="AJ528" t="n">
        <v>1</v>
      </c>
      <c r="AK528" t="n">
        <v>1</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HYPERLINK("https://creighton-primo.hosted.exlibrisgroup.com/primo-explore/search?tab=default_tab&amp;search_scope=EVERYTHING&amp;vid=01CRU&amp;lang=en_US&amp;offset=0&amp;query=any,contains,991001802359702656","Catalog Record")</f>
        <v/>
      </c>
      <c r="AT528">
        <f>HYPERLINK("http://www.worldcat.org/oclc/22662528","WorldCat Record")</f>
        <v/>
      </c>
      <c r="AU528" t="inlineStr">
        <is>
          <t>1816434191:eng</t>
        </is>
      </c>
      <c r="AV528" t="inlineStr">
        <is>
          <t>22662528</t>
        </is>
      </c>
      <c r="AW528" t="inlineStr">
        <is>
          <t>991001802359702656</t>
        </is>
      </c>
      <c r="AX528" t="inlineStr">
        <is>
          <t>991001802359702656</t>
        </is>
      </c>
      <c r="AY528" t="inlineStr">
        <is>
          <t>2258660590002656</t>
        </is>
      </c>
      <c r="AZ528" t="inlineStr">
        <is>
          <t>BOOK</t>
        </is>
      </c>
      <c r="BB528" t="inlineStr">
        <is>
          <t>9781559701235</t>
        </is>
      </c>
      <c r="BC528" t="inlineStr">
        <is>
          <t>32285000662097</t>
        </is>
      </c>
      <c r="BD528" t="inlineStr">
        <is>
          <t>893590659</t>
        </is>
      </c>
    </row>
    <row r="529">
      <c r="A529" t="inlineStr">
        <is>
          <t>No</t>
        </is>
      </c>
      <c r="B529" t="inlineStr">
        <is>
          <t>DC801.R75 L47 1979</t>
        </is>
      </c>
      <c r="C529" t="inlineStr">
        <is>
          <t>0                      DC 0801000R  75                 L  47          1979</t>
        </is>
      </c>
      <c r="D529" t="inlineStr">
        <is>
          <t>Le carnaval de Romans : de la Chandeleur au mercredi des Cendres, 1579-1580 / Emmanuel Le Roy Ladurie.</t>
        </is>
      </c>
      <c r="F529" t="inlineStr">
        <is>
          <t>No</t>
        </is>
      </c>
      <c r="G529" t="inlineStr">
        <is>
          <t>1</t>
        </is>
      </c>
      <c r="H529" t="inlineStr">
        <is>
          <t>No</t>
        </is>
      </c>
      <c r="I529" t="inlineStr">
        <is>
          <t>No</t>
        </is>
      </c>
      <c r="J529" t="inlineStr">
        <is>
          <t>0</t>
        </is>
      </c>
      <c r="K529" t="inlineStr">
        <is>
          <t>Le Roy Ladurie, Emmanuel.</t>
        </is>
      </c>
      <c r="L529" t="inlineStr">
        <is>
          <t>[Paris] : Gallimard, c1979.</t>
        </is>
      </c>
      <c r="M529" t="inlineStr">
        <is>
          <t>1979</t>
        </is>
      </c>
      <c r="O529" t="inlineStr">
        <is>
          <t>fre</t>
        </is>
      </c>
      <c r="P529" t="inlineStr">
        <is>
          <t xml:space="preserve">fr </t>
        </is>
      </c>
      <c r="Q529" t="inlineStr">
        <is>
          <t>Bibliothèque des histoires</t>
        </is>
      </c>
      <c r="R529" t="inlineStr">
        <is>
          <t xml:space="preserve">DC </t>
        </is>
      </c>
      <c r="S529" t="n">
        <v>8</v>
      </c>
      <c r="T529" t="n">
        <v>8</v>
      </c>
      <c r="U529" t="inlineStr">
        <is>
          <t>2003-02-23</t>
        </is>
      </c>
      <c r="V529" t="inlineStr">
        <is>
          <t>2003-02-23</t>
        </is>
      </c>
      <c r="W529" t="inlineStr">
        <is>
          <t>1991-01-16</t>
        </is>
      </c>
      <c r="X529" t="inlineStr">
        <is>
          <t>1991-01-16</t>
        </is>
      </c>
      <c r="Y529" t="n">
        <v>182</v>
      </c>
      <c r="Z529" t="n">
        <v>91</v>
      </c>
      <c r="AA529" t="n">
        <v>94</v>
      </c>
      <c r="AB529" t="n">
        <v>3</v>
      </c>
      <c r="AC529" t="n">
        <v>3</v>
      </c>
      <c r="AD529" t="n">
        <v>5</v>
      </c>
      <c r="AE529" t="n">
        <v>5</v>
      </c>
      <c r="AF529" t="n">
        <v>0</v>
      </c>
      <c r="AG529" t="n">
        <v>0</v>
      </c>
      <c r="AH529" t="n">
        <v>1</v>
      </c>
      <c r="AI529" t="n">
        <v>1</v>
      </c>
      <c r="AJ529" t="n">
        <v>2</v>
      </c>
      <c r="AK529" t="n">
        <v>2</v>
      </c>
      <c r="AL529" t="n">
        <v>2</v>
      </c>
      <c r="AM529" t="n">
        <v>2</v>
      </c>
      <c r="AN529" t="n">
        <v>0</v>
      </c>
      <c r="AO529" t="n">
        <v>0</v>
      </c>
      <c r="AP529" t="inlineStr">
        <is>
          <t>No</t>
        </is>
      </c>
      <c r="AQ529" t="inlineStr">
        <is>
          <t>Yes</t>
        </is>
      </c>
      <c r="AR529">
        <f>HYPERLINK("http://catalog.hathitrust.org/Record/006114912","HathiTrust Record")</f>
        <v/>
      </c>
      <c r="AS529">
        <f>HYPERLINK("https://creighton-primo.hosted.exlibrisgroup.com/primo-explore/search?tab=default_tab&amp;search_scope=EVERYTHING&amp;vid=01CRU&amp;lang=en_US&amp;offset=0&amp;query=any,contains,991004824169702656","Catalog Record")</f>
        <v/>
      </c>
      <c r="AT529">
        <f>HYPERLINK("http://www.worldcat.org/oclc/5351359","WorldCat Record")</f>
        <v/>
      </c>
      <c r="AU529" t="inlineStr">
        <is>
          <t>464743:fre</t>
        </is>
      </c>
      <c r="AV529" t="inlineStr">
        <is>
          <t>5351359</t>
        </is>
      </c>
      <c r="AW529" t="inlineStr">
        <is>
          <t>991004824169702656</t>
        </is>
      </c>
      <c r="AX529" t="inlineStr">
        <is>
          <t>991004824169702656</t>
        </is>
      </c>
      <c r="AY529" t="inlineStr">
        <is>
          <t>2270270540002656</t>
        </is>
      </c>
      <c r="AZ529" t="inlineStr">
        <is>
          <t>BOOK</t>
        </is>
      </c>
      <c r="BC529" t="inlineStr">
        <is>
          <t>32285000455419</t>
        </is>
      </c>
      <c r="BD529" t="inlineStr">
        <is>
          <t>893776489</t>
        </is>
      </c>
    </row>
    <row r="530">
      <c r="A530" t="inlineStr">
        <is>
          <t>No</t>
        </is>
      </c>
      <c r="B530" t="inlineStr">
        <is>
          <t>DC801.T726 M83 1997</t>
        </is>
      </c>
      <c r="C530" t="inlineStr">
        <is>
          <t>0                      DC 0801000T  726                M  83          1997</t>
        </is>
      </c>
      <c r="D530" t="inlineStr">
        <is>
          <t>Society and government at Toulouse in the age of the Cathars / by John Hine Mundy.</t>
        </is>
      </c>
      <c r="F530" t="inlineStr">
        <is>
          <t>No</t>
        </is>
      </c>
      <c r="G530" t="inlineStr">
        <is>
          <t>1</t>
        </is>
      </c>
      <c r="H530" t="inlineStr">
        <is>
          <t>No</t>
        </is>
      </c>
      <c r="I530" t="inlineStr">
        <is>
          <t>No</t>
        </is>
      </c>
      <c r="J530" t="inlineStr">
        <is>
          <t>0</t>
        </is>
      </c>
      <c r="K530" t="inlineStr">
        <is>
          <t>Mundy, John Hine, 1917-2004.</t>
        </is>
      </c>
      <c r="L530" t="inlineStr">
        <is>
          <t>Toronto : Pontifical Institute of Mediaeval Studies, c1997.</t>
        </is>
      </c>
      <c r="M530" t="inlineStr">
        <is>
          <t>1997</t>
        </is>
      </c>
      <c r="O530" t="inlineStr">
        <is>
          <t>eng</t>
        </is>
      </c>
      <c r="P530" t="inlineStr">
        <is>
          <t>onc</t>
        </is>
      </c>
      <c r="Q530" t="inlineStr">
        <is>
          <t>Studies and texts, 0082-5328 ; 129</t>
        </is>
      </c>
      <c r="R530" t="inlineStr">
        <is>
          <t xml:space="preserve">DC </t>
        </is>
      </c>
      <c r="S530" t="n">
        <v>1</v>
      </c>
      <c r="T530" t="n">
        <v>1</v>
      </c>
      <c r="U530" t="inlineStr">
        <is>
          <t>2003-01-02</t>
        </is>
      </c>
      <c r="V530" t="inlineStr">
        <is>
          <t>2003-01-02</t>
        </is>
      </c>
      <c r="W530" t="inlineStr">
        <is>
          <t>1998-03-19</t>
        </is>
      </c>
      <c r="X530" t="inlineStr">
        <is>
          <t>1998-03-19</t>
        </is>
      </c>
      <c r="Y530" t="n">
        <v>239</v>
      </c>
      <c r="Z530" t="n">
        <v>170</v>
      </c>
      <c r="AA530" t="n">
        <v>175</v>
      </c>
      <c r="AB530" t="n">
        <v>2</v>
      </c>
      <c r="AC530" t="n">
        <v>2</v>
      </c>
      <c r="AD530" t="n">
        <v>18</v>
      </c>
      <c r="AE530" t="n">
        <v>19</v>
      </c>
      <c r="AF530" t="n">
        <v>4</v>
      </c>
      <c r="AG530" t="n">
        <v>5</v>
      </c>
      <c r="AH530" t="n">
        <v>5</v>
      </c>
      <c r="AI530" t="n">
        <v>6</v>
      </c>
      <c r="AJ530" t="n">
        <v>12</v>
      </c>
      <c r="AK530" t="n">
        <v>12</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HYPERLINK("https://creighton-primo.hosted.exlibrisgroup.com/primo-explore/search?tab=default_tab&amp;search_scope=EVERYTHING&amp;vid=01CRU&amp;lang=en_US&amp;offset=0&amp;query=any,contains,991002882099702656","Catalog Record")</f>
        <v/>
      </c>
      <c r="AT530">
        <f>HYPERLINK("http://www.worldcat.org/oclc/37980882","WorldCat Record")</f>
        <v/>
      </c>
      <c r="AU530" t="inlineStr">
        <is>
          <t>44878724:eng</t>
        </is>
      </c>
      <c r="AV530" t="inlineStr">
        <is>
          <t>37980882</t>
        </is>
      </c>
      <c r="AW530" t="inlineStr">
        <is>
          <t>991002882099702656</t>
        </is>
      </c>
      <c r="AX530" t="inlineStr">
        <is>
          <t>991002882099702656</t>
        </is>
      </c>
      <c r="AY530" t="inlineStr">
        <is>
          <t>2264703520002656</t>
        </is>
      </c>
      <c r="AZ530" t="inlineStr">
        <is>
          <t>BOOK</t>
        </is>
      </c>
      <c r="BB530" t="inlineStr">
        <is>
          <t>9780888441294</t>
        </is>
      </c>
      <c r="BC530" t="inlineStr">
        <is>
          <t>32285003358982</t>
        </is>
      </c>
      <c r="BD530" t="inlineStr">
        <is>
          <t>893504940</t>
        </is>
      </c>
    </row>
    <row r="531">
      <c r="A531" t="inlineStr">
        <is>
          <t>No</t>
        </is>
      </c>
      <c r="B531" t="inlineStr">
        <is>
          <t>DC82 .B56 1971</t>
        </is>
      </c>
      <c r="C531" t="inlineStr">
        <is>
          <t>0                      DC 0082000B  56          1971</t>
        </is>
      </c>
      <c r="D531" t="inlineStr">
        <is>
          <t>La France sous les derniers Capétiens, 1223-1328.</t>
        </is>
      </c>
      <c r="F531" t="inlineStr">
        <is>
          <t>No</t>
        </is>
      </c>
      <c r="G531" t="inlineStr">
        <is>
          <t>1</t>
        </is>
      </c>
      <c r="H531" t="inlineStr">
        <is>
          <t>No</t>
        </is>
      </c>
      <c r="I531" t="inlineStr">
        <is>
          <t>No</t>
        </is>
      </c>
      <c r="J531" t="inlineStr">
        <is>
          <t>0</t>
        </is>
      </c>
      <c r="K531" t="inlineStr">
        <is>
          <t>Bloch, Marc, 1886-1944.</t>
        </is>
      </c>
      <c r="L531" t="inlineStr">
        <is>
          <t>Paris : Colin, 1971.</t>
        </is>
      </c>
      <c r="M531" t="inlineStr">
        <is>
          <t>1971</t>
        </is>
      </c>
      <c r="N531" t="inlineStr">
        <is>
          <t>2. éd.</t>
        </is>
      </c>
      <c r="O531" t="inlineStr">
        <is>
          <t>fre</t>
        </is>
      </c>
      <c r="P531" t="inlineStr">
        <is>
          <t>|||</t>
        </is>
      </c>
      <c r="Q531" t="inlineStr">
        <is>
          <t>Cahiers des annales ; 13</t>
        </is>
      </c>
      <c r="R531" t="inlineStr">
        <is>
          <t xml:space="preserve">DC </t>
        </is>
      </c>
      <c r="S531" t="n">
        <v>5</v>
      </c>
      <c r="T531" t="n">
        <v>5</v>
      </c>
      <c r="U531" t="inlineStr">
        <is>
          <t>2010-03-31</t>
        </is>
      </c>
      <c r="V531" t="inlineStr">
        <is>
          <t>2010-03-31</t>
        </is>
      </c>
      <c r="W531" t="inlineStr">
        <is>
          <t>1990-11-27</t>
        </is>
      </c>
      <c r="X531" t="inlineStr">
        <is>
          <t>1990-11-27</t>
        </is>
      </c>
      <c r="Y531" t="n">
        <v>38</v>
      </c>
      <c r="Z531" t="n">
        <v>12</v>
      </c>
      <c r="AA531" t="n">
        <v>110</v>
      </c>
      <c r="AB531" t="n">
        <v>1</v>
      </c>
      <c r="AC531" t="n">
        <v>2</v>
      </c>
      <c r="AD531" t="n">
        <v>1</v>
      </c>
      <c r="AE531" t="n">
        <v>8</v>
      </c>
      <c r="AF531" t="n">
        <v>0</v>
      </c>
      <c r="AG531" t="n">
        <v>0</v>
      </c>
      <c r="AH531" t="n">
        <v>1</v>
      </c>
      <c r="AI531" t="n">
        <v>4</v>
      </c>
      <c r="AJ531" t="n">
        <v>1</v>
      </c>
      <c r="AK531" t="n">
        <v>5</v>
      </c>
      <c r="AL531" t="n">
        <v>0</v>
      </c>
      <c r="AM531" t="n">
        <v>1</v>
      </c>
      <c r="AN531" t="n">
        <v>0</v>
      </c>
      <c r="AO531" t="n">
        <v>0</v>
      </c>
      <c r="AP531" t="inlineStr">
        <is>
          <t>No</t>
        </is>
      </c>
      <c r="AQ531" t="inlineStr">
        <is>
          <t>Yes</t>
        </is>
      </c>
      <c r="AR531">
        <f>HYPERLINK("http://catalog.hathitrust.org/Record/102073071","HathiTrust Record")</f>
        <v/>
      </c>
      <c r="AS531">
        <f>HYPERLINK("https://creighton-primo.hosted.exlibrisgroup.com/primo-explore/search?tab=default_tab&amp;search_scope=EVERYTHING&amp;vid=01CRU&amp;lang=en_US&amp;offset=0&amp;query=any,contains,991003062279702656","Catalog Record")</f>
        <v/>
      </c>
      <c r="AT531">
        <f>HYPERLINK("http://www.worldcat.org/oclc/619108","WorldCat Record")</f>
        <v/>
      </c>
      <c r="AU531" t="inlineStr">
        <is>
          <t>365234779:fre</t>
        </is>
      </c>
      <c r="AV531" t="inlineStr">
        <is>
          <t>619108</t>
        </is>
      </c>
      <c r="AW531" t="inlineStr">
        <is>
          <t>991003062279702656</t>
        </is>
      </c>
      <c r="AX531" t="inlineStr">
        <is>
          <t>991003062279702656</t>
        </is>
      </c>
      <c r="AY531" t="inlineStr">
        <is>
          <t>2271958240002656</t>
        </is>
      </c>
      <c r="AZ531" t="inlineStr">
        <is>
          <t>BOOK</t>
        </is>
      </c>
      <c r="BC531" t="inlineStr">
        <is>
          <t>32285000393727</t>
        </is>
      </c>
      <c r="BD531" t="inlineStr">
        <is>
          <t>893227640</t>
        </is>
      </c>
    </row>
    <row r="532">
      <c r="A532" t="inlineStr">
        <is>
          <t>No</t>
        </is>
      </c>
      <c r="B532" t="inlineStr">
        <is>
          <t>DC82 .F313 1960</t>
        </is>
      </c>
      <c r="C532" t="inlineStr">
        <is>
          <t>0                      DC 0082000F  313         1960</t>
        </is>
      </c>
      <c r="D532" t="inlineStr">
        <is>
          <t>The Capetian kings of France : monarchy &amp; nation, 987-1328 / by Robert Fawtier ; translated into English by Lionel Butler and R. J. Adam.</t>
        </is>
      </c>
      <c r="F532" t="inlineStr">
        <is>
          <t>No</t>
        </is>
      </c>
      <c r="G532" t="inlineStr">
        <is>
          <t>1</t>
        </is>
      </c>
      <c r="H532" t="inlineStr">
        <is>
          <t>No</t>
        </is>
      </c>
      <c r="I532" t="inlineStr">
        <is>
          <t>No</t>
        </is>
      </c>
      <c r="J532" t="inlineStr">
        <is>
          <t>0</t>
        </is>
      </c>
      <c r="K532" t="inlineStr">
        <is>
          <t>Fawtier, Robert, 1885-1966.</t>
        </is>
      </c>
      <c r="L532" t="inlineStr">
        <is>
          <t>London : Macmillan ; New York : St. Martin's Press, 1960, 1968 printing.</t>
        </is>
      </c>
      <c r="M532" t="inlineStr">
        <is>
          <t>1960</t>
        </is>
      </c>
      <c r="O532" t="inlineStr">
        <is>
          <t>eng</t>
        </is>
      </c>
      <c r="P532" t="inlineStr">
        <is>
          <t>enk</t>
        </is>
      </c>
      <c r="R532" t="inlineStr">
        <is>
          <t xml:space="preserve">DC </t>
        </is>
      </c>
      <c r="S532" t="n">
        <v>6</v>
      </c>
      <c r="T532" t="n">
        <v>6</v>
      </c>
      <c r="U532" t="inlineStr">
        <is>
          <t>2010-03-31</t>
        </is>
      </c>
      <c r="V532" t="inlineStr">
        <is>
          <t>2010-03-31</t>
        </is>
      </c>
      <c r="W532" t="inlineStr">
        <is>
          <t>1990-11-27</t>
        </is>
      </c>
      <c r="X532" t="inlineStr">
        <is>
          <t>1990-11-27</t>
        </is>
      </c>
      <c r="Y532" t="n">
        <v>1116</v>
      </c>
      <c r="Z532" t="n">
        <v>936</v>
      </c>
      <c r="AA532" t="n">
        <v>1040</v>
      </c>
      <c r="AB532" t="n">
        <v>6</v>
      </c>
      <c r="AC532" t="n">
        <v>6</v>
      </c>
      <c r="AD532" t="n">
        <v>47</v>
      </c>
      <c r="AE532" t="n">
        <v>49</v>
      </c>
      <c r="AF532" t="n">
        <v>20</v>
      </c>
      <c r="AG532" t="n">
        <v>22</v>
      </c>
      <c r="AH532" t="n">
        <v>10</v>
      </c>
      <c r="AI532" t="n">
        <v>10</v>
      </c>
      <c r="AJ532" t="n">
        <v>22</v>
      </c>
      <c r="AK532" t="n">
        <v>23</v>
      </c>
      <c r="AL532" t="n">
        <v>5</v>
      </c>
      <c r="AM532" t="n">
        <v>5</v>
      </c>
      <c r="AN532" t="n">
        <v>1</v>
      </c>
      <c r="AO532" t="n">
        <v>1</v>
      </c>
      <c r="AP532" t="inlineStr">
        <is>
          <t>No</t>
        </is>
      </c>
      <c r="AQ532" t="inlineStr">
        <is>
          <t>Yes</t>
        </is>
      </c>
      <c r="AR532">
        <f>HYPERLINK("http://catalog.hathitrust.org/Record/000454151","HathiTrust Record")</f>
        <v/>
      </c>
      <c r="AS532">
        <f>HYPERLINK("https://creighton-primo.hosted.exlibrisgroup.com/primo-explore/search?tab=default_tab&amp;search_scope=EVERYTHING&amp;vid=01CRU&amp;lang=en_US&amp;offset=0&amp;query=any,contains,991002699099702656","Catalog Record")</f>
        <v/>
      </c>
      <c r="AT532">
        <f>HYPERLINK("http://www.worldcat.org/oclc/404855","WorldCat Record")</f>
        <v/>
      </c>
      <c r="AU532" t="inlineStr">
        <is>
          <t>350028986:eng</t>
        </is>
      </c>
      <c r="AV532" t="inlineStr">
        <is>
          <t>404855</t>
        </is>
      </c>
      <c r="AW532" t="inlineStr">
        <is>
          <t>991002699099702656</t>
        </is>
      </c>
      <c r="AX532" t="inlineStr">
        <is>
          <t>991002699099702656</t>
        </is>
      </c>
      <c r="AY532" t="inlineStr">
        <is>
          <t>2260405580002656</t>
        </is>
      </c>
      <c r="AZ532" t="inlineStr">
        <is>
          <t>BOOK</t>
        </is>
      </c>
      <c r="BC532" t="inlineStr">
        <is>
          <t>32285000393743</t>
        </is>
      </c>
      <c r="BD532" t="inlineStr">
        <is>
          <t>893227169</t>
        </is>
      </c>
    </row>
    <row r="533">
      <c r="A533" t="inlineStr">
        <is>
          <t>No</t>
        </is>
      </c>
      <c r="B533" t="inlineStr">
        <is>
          <t>DC82 .H46</t>
        </is>
      </c>
      <c r="C533" t="inlineStr">
        <is>
          <t>0                      DC 0082000H  46</t>
        </is>
      </c>
      <c r="D533" t="inlineStr">
        <is>
          <t>The medieval French monarchy.</t>
        </is>
      </c>
      <c r="F533" t="inlineStr">
        <is>
          <t>No</t>
        </is>
      </c>
      <c r="G533" t="inlineStr">
        <is>
          <t>1</t>
        </is>
      </c>
      <c r="H533" t="inlineStr">
        <is>
          <t>No</t>
        </is>
      </c>
      <c r="I533" t="inlineStr">
        <is>
          <t>No</t>
        </is>
      </c>
      <c r="J533" t="inlineStr">
        <is>
          <t>0</t>
        </is>
      </c>
      <c r="K533" t="inlineStr">
        <is>
          <t>Henneman, John Bell, 1935- compiler.</t>
        </is>
      </c>
      <c r="L533" t="inlineStr">
        <is>
          <t>Hinsdale, Ill., Dryden Press [1973]</t>
        </is>
      </c>
      <c r="M533" t="inlineStr">
        <is>
          <t>1973</t>
        </is>
      </c>
      <c r="O533" t="inlineStr">
        <is>
          <t>eng</t>
        </is>
      </c>
      <c r="P533" t="inlineStr">
        <is>
          <t>ilu</t>
        </is>
      </c>
      <c r="Q533" t="inlineStr">
        <is>
          <t>European problem studies</t>
        </is>
      </c>
      <c r="R533" t="inlineStr">
        <is>
          <t xml:space="preserve">DC </t>
        </is>
      </c>
      <c r="S533" t="n">
        <v>4</v>
      </c>
      <c r="T533" t="n">
        <v>4</v>
      </c>
      <c r="U533" t="inlineStr">
        <is>
          <t>2010-03-31</t>
        </is>
      </c>
      <c r="V533" t="inlineStr">
        <is>
          <t>2010-03-31</t>
        </is>
      </c>
      <c r="W533" t="inlineStr">
        <is>
          <t>1992-03-02</t>
        </is>
      </c>
      <c r="X533" t="inlineStr">
        <is>
          <t>1992-03-02</t>
        </is>
      </c>
      <c r="Y533" t="n">
        <v>302</v>
      </c>
      <c r="Z533" t="n">
        <v>242</v>
      </c>
      <c r="AA533" t="n">
        <v>246</v>
      </c>
      <c r="AB533" t="n">
        <v>3</v>
      </c>
      <c r="AC533" t="n">
        <v>3</v>
      </c>
      <c r="AD533" t="n">
        <v>13</v>
      </c>
      <c r="AE533" t="n">
        <v>13</v>
      </c>
      <c r="AF533" t="n">
        <v>1</v>
      </c>
      <c r="AG533" t="n">
        <v>1</v>
      </c>
      <c r="AH533" t="n">
        <v>5</v>
      </c>
      <c r="AI533" t="n">
        <v>5</v>
      </c>
      <c r="AJ533" t="n">
        <v>9</v>
      </c>
      <c r="AK533" t="n">
        <v>9</v>
      </c>
      <c r="AL533" t="n">
        <v>2</v>
      </c>
      <c r="AM533" t="n">
        <v>2</v>
      </c>
      <c r="AN533" t="n">
        <v>0</v>
      </c>
      <c r="AO533" t="n">
        <v>0</v>
      </c>
      <c r="AP533" t="inlineStr">
        <is>
          <t>No</t>
        </is>
      </c>
      <c r="AQ533" t="inlineStr">
        <is>
          <t>Yes</t>
        </is>
      </c>
      <c r="AR533">
        <f>HYPERLINK("http://catalog.hathitrust.org/Record/008370097","HathiTrust Record")</f>
        <v/>
      </c>
      <c r="AS533">
        <f>HYPERLINK("https://creighton-primo.hosted.exlibrisgroup.com/primo-explore/search?tab=default_tab&amp;search_scope=EVERYTHING&amp;vid=01CRU&amp;lang=en_US&amp;offset=0&amp;query=any,contains,991003057989702656","Catalog Record")</f>
        <v/>
      </c>
      <c r="AT533">
        <f>HYPERLINK("http://www.worldcat.org/oclc/615842","WorldCat Record")</f>
        <v/>
      </c>
      <c r="AU533" t="inlineStr">
        <is>
          <t>1666391:eng</t>
        </is>
      </c>
      <c r="AV533" t="inlineStr">
        <is>
          <t>615842</t>
        </is>
      </c>
      <c r="AW533" t="inlineStr">
        <is>
          <t>991003057989702656</t>
        </is>
      </c>
      <c r="AX533" t="inlineStr">
        <is>
          <t>991003057989702656</t>
        </is>
      </c>
      <c r="AY533" t="inlineStr">
        <is>
          <t>2267163930002656</t>
        </is>
      </c>
      <c r="AZ533" t="inlineStr">
        <is>
          <t>BOOK</t>
        </is>
      </c>
      <c r="BB533" t="inlineStr">
        <is>
          <t>9780030866302</t>
        </is>
      </c>
      <c r="BC533" t="inlineStr">
        <is>
          <t>32285000949593</t>
        </is>
      </c>
      <c r="BD533" t="inlineStr">
        <is>
          <t>893598228</t>
        </is>
      </c>
    </row>
    <row r="534">
      <c r="A534" t="inlineStr">
        <is>
          <t>No</t>
        </is>
      </c>
      <c r="B534" t="inlineStr">
        <is>
          <t>DC83 .P42</t>
        </is>
      </c>
      <c r="C534" t="inlineStr">
        <is>
          <t>0                      DC 0083000P  42</t>
        </is>
      </c>
      <c r="D534" t="inlineStr">
        <is>
          <t>The feudal monarchy in France and England from the tenth to the thirteenth century, by Ch. petit-Dutaillis ...</t>
        </is>
      </c>
      <c r="F534" t="inlineStr">
        <is>
          <t>No</t>
        </is>
      </c>
      <c r="G534" t="inlineStr">
        <is>
          <t>1</t>
        </is>
      </c>
      <c r="H534" t="inlineStr">
        <is>
          <t>No</t>
        </is>
      </c>
      <c r="I534" t="inlineStr">
        <is>
          <t>No</t>
        </is>
      </c>
      <c r="J534" t="inlineStr">
        <is>
          <t>0</t>
        </is>
      </c>
      <c r="K534" t="inlineStr">
        <is>
          <t>Petit-Dutaillis, Charles, 1868-1947.</t>
        </is>
      </c>
      <c r="L534" t="inlineStr">
        <is>
          <t>London, K. Paul, Trench, Trubner &amp; co., ltd., 1936.</t>
        </is>
      </c>
      <c r="M534" t="inlineStr">
        <is>
          <t>1936</t>
        </is>
      </c>
      <c r="O534" t="inlineStr">
        <is>
          <t>eng</t>
        </is>
      </c>
      <c r="P534" t="inlineStr">
        <is>
          <t>enk</t>
        </is>
      </c>
      <c r="Q534" t="inlineStr">
        <is>
          <t>The history of civilization, ed. by C. K. Ogden. [Christianity and the middle ages]</t>
        </is>
      </c>
      <c r="R534" t="inlineStr">
        <is>
          <t xml:space="preserve">DC </t>
        </is>
      </c>
      <c r="S534" t="n">
        <v>2</v>
      </c>
      <c r="T534" t="n">
        <v>2</v>
      </c>
      <c r="U534" t="inlineStr">
        <is>
          <t>1997-04-14</t>
        </is>
      </c>
      <c r="V534" t="inlineStr">
        <is>
          <t>1997-04-14</t>
        </is>
      </c>
      <c r="W534" t="inlineStr">
        <is>
          <t>1996-10-28</t>
        </is>
      </c>
      <c r="X534" t="inlineStr">
        <is>
          <t>1996-10-28</t>
        </is>
      </c>
      <c r="Y534" t="n">
        <v>275</v>
      </c>
      <c r="Z534" t="n">
        <v>217</v>
      </c>
      <c r="AA534" t="n">
        <v>983</v>
      </c>
      <c r="AB534" t="n">
        <v>2</v>
      </c>
      <c r="AC534" t="n">
        <v>8</v>
      </c>
      <c r="AD534" t="n">
        <v>16</v>
      </c>
      <c r="AE534" t="n">
        <v>49</v>
      </c>
      <c r="AF534" t="n">
        <v>5</v>
      </c>
      <c r="AG534" t="n">
        <v>20</v>
      </c>
      <c r="AH534" t="n">
        <v>4</v>
      </c>
      <c r="AI534" t="n">
        <v>8</v>
      </c>
      <c r="AJ534" t="n">
        <v>11</v>
      </c>
      <c r="AK534" t="n">
        <v>25</v>
      </c>
      <c r="AL534" t="n">
        <v>1</v>
      </c>
      <c r="AM534" t="n">
        <v>7</v>
      </c>
      <c r="AN534" t="n">
        <v>0</v>
      </c>
      <c r="AO534" t="n">
        <v>1</v>
      </c>
      <c r="AP534" t="inlineStr">
        <is>
          <t>No</t>
        </is>
      </c>
      <c r="AQ534" t="inlineStr">
        <is>
          <t>Yes</t>
        </is>
      </c>
      <c r="AR534">
        <f>HYPERLINK("http://catalog.hathitrust.org/Record/000455691","HathiTrust Record")</f>
        <v/>
      </c>
      <c r="AS534">
        <f>HYPERLINK("https://creighton-primo.hosted.exlibrisgroup.com/primo-explore/search?tab=default_tab&amp;search_scope=EVERYTHING&amp;vid=01CRU&amp;lang=en_US&amp;offset=0&amp;query=any,contains,991003853779702656","Catalog Record")</f>
        <v/>
      </c>
      <c r="AT534">
        <f>HYPERLINK("http://www.worldcat.org/oclc/829533","WorldCat Record")</f>
        <v/>
      </c>
      <c r="AU534" t="inlineStr">
        <is>
          <t>10200774997:eng</t>
        </is>
      </c>
      <c r="AV534" t="inlineStr">
        <is>
          <t>829533</t>
        </is>
      </c>
      <c r="AW534" t="inlineStr">
        <is>
          <t>991003853779702656</t>
        </is>
      </c>
      <c r="AX534" t="inlineStr">
        <is>
          <t>991003853779702656</t>
        </is>
      </c>
      <c r="AY534" t="inlineStr">
        <is>
          <t>2271857240002656</t>
        </is>
      </c>
      <c r="AZ534" t="inlineStr">
        <is>
          <t>BOOK</t>
        </is>
      </c>
      <c r="BC534" t="inlineStr">
        <is>
          <t>32285002379039</t>
        </is>
      </c>
      <c r="BD534" t="inlineStr">
        <is>
          <t>893416878</t>
        </is>
      </c>
    </row>
    <row r="535">
      <c r="A535" t="inlineStr">
        <is>
          <t>No</t>
        </is>
      </c>
      <c r="B535" t="inlineStr">
        <is>
          <t>DC83 .W6</t>
        </is>
      </c>
      <c r="C535" t="inlineStr">
        <is>
          <t>0                      DC 0083000W  6</t>
        </is>
      </c>
      <c r="D535" t="inlineStr">
        <is>
          <t>The French apanages and the Capetian monarchy, 1224-1328 [by] Charles T. Wood.</t>
        </is>
      </c>
      <c r="F535" t="inlineStr">
        <is>
          <t>No</t>
        </is>
      </c>
      <c r="G535" t="inlineStr">
        <is>
          <t>1</t>
        </is>
      </c>
      <c r="H535" t="inlineStr">
        <is>
          <t>No</t>
        </is>
      </c>
      <c r="I535" t="inlineStr">
        <is>
          <t>No</t>
        </is>
      </c>
      <c r="J535" t="inlineStr">
        <is>
          <t>0</t>
        </is>
      </c>
      <c r="K535" t="inlineStr">
        <is>
          <t>Wood, Charles T.</t>
        </is>
      </c>
      <c r="L535" t="inlineStr">
        <is>
          <t>Cambridge, Mass., Harvard University Press, 1966.</t>
        </is>
      </c>
      <c r="M535" t="inlineStr">
        <is>
          <t>1966</t>
        </is>
      </c>
      <c r="O535" t="inlineStr">
        <is>
          <t>eng</t>
        </is>
      </c>
      <c r="P535" t="inlineStr">
        <is>
          <t>mau</t>
        </is>
      </c>
      <c r="Q535" t="inlineStr">
        <is>
          <t>Harvard historical monographs, 59</t>
        </is>
      </c>
      <c r="R535" t="inlineStr">
        <is>
          <t xml:space="preserve">DC </t>
        </is>
      </c>
      <c r="S535" t="n">
        <v>6</v>
      </c>
      <c r="T535" t="n">
        <v>6</v>
      </c>
      <c r="U535" t="inlineStr">
        <is>
          <t>2010-03-31</t>
        </is>
      </c>
      <c r="V535" t="inlineStr">
        <is>
          <t>2010-03-31</t>
        </is>
      </c>
      <c r="W535" t="inlineStr">
        <is>
          <t>1996-10-28</t>
        </is>
      </c>
      <c r="X535" t="inlineStr">
        <is>
          <t>1996-10-28</t>
        </is>
      </c>
      <c r="Y535" t="n">
        <v>531</v>
      </c>
      <c r="Z535" t="n">
        <v>428</v>
      </c>
      <c r="AA535" t="n">
        <v>437</v>
      </c>
      <c r="AB535" t="n">
        <v>4</v>
      </c>
      <c r="AC535" t="n">
        <v>4</v>
      </c>
      <c r="AD535" t="n">
        <v>28</v>
      </c>
      <c r="AE535" t="n">
        <v>28</v>
      </c>
      <c r="AF535" t="n">
        <v>10</v>
      </c>
      <c r="AG535" t="n">
        <v>10</v>
      </c>
      <c r="AH535" t="n">
        <v>8</v>
      </c>
      <c r="AI535" t="n">
        <v>8</v>
      </c>
      <c r="AJ535" t="n">
        <v>16</v>
      </c>
      <c r="AK535" t="n">
        <v>16</v>
      </c>
      <c r="AL535" t="n">
        <v>3</v>
      </c>
      <c r="AM535" t="n">
        <v>3</v>
      </c>
      <c r="AN535" t="n">
        <v>0</v>
      </c>
      <c r="AO535" t="n">
        <v>0</v>
      </c>
      <c r="AP535" t="inlineStr">
        <is>
          <t>No</t>
        </is>
      </c>
      <c r="AQ535" t="inlineStr">
        <is>
          <t>Yes</t>
        </is>
      </c>
      <c r="AR535">
        <f>HYPERLINK("http://catalog.hathitrust.org/Record/000455657","HathiTrust Record")</f>
        <v/>
      </c>
      <c r="AS535">
        <f>HYPERLINK("https://creighton-primo.hosted.exlibrisgroup.com/primo-explore/search?tab=default_tab&amp;search_scope=EVERYTHING&amp;vid=01CRU&amp;lang=en_US&amp;offset=0&amp;query=any,contains,991003541989702656","Catalog Record")</f>
        <v/>
      </c>
      <c r="AT535">
        <f>HYPERLINK("http://www.worldcat.org/oclc/1106625","WorldCat Record")</f>
        <v/>
      </c>
      <c r="AU535" t="inlineStr">
        <is>
          <t>1981991:eng</t>
        </is>
      </c>
      <c r="AV535" t="inlineStr">
        <is>
          <t>1106625</t>
        </is>
      </c>
      <c r="AW535" t="inlineStr">
        <is>
          <t>991003541989702656</t>
        </is>
      </c>
      <c r="AX535" t="inlineStr">
        <is>
          <t>991003541989702656</t>
        </is>
      </c>
      <c r="AY535" t="inlineStr">
        <is>
          <t>2259774420002656</t>
        </is>
      </c>
      <c r="AZ535" t="inlineStr">
        <is>
          <t>BOOK</t>
        </is>
      </c>
      <c r="BC535" t="inlineStr">
        <is>
          <t>32285002379054</t>
        </is>
      </c>
      <c r="BD535" t="inlineStr">
        <is>
          <t>893240312</t>
        </is>
      </c>
    </row>
    <row r="536">
      <c r="A536" t="inlineStr">
        <is>
          <t>No</t>
        </is>
      </c>
      <c r="B536" t="inlineStr">
        <is>
          <t>DC91 .L24 1968</t>
        </is>
      </c>
      <c r="C536" t="inlineStr">
        <is>
          <t>0                      DC 0091000L  24          1968</t>
        </is>
      </c>
      <c r="D536" t="inlineStr">
        <is>
          <t>Saint Louis: Louis IX, most Christian King of France.</t>
        </is>
      </c>
      <c r="F536" t="inlineStr">
        <is>
          <t>No</t>
        </is>
      </c>
      <c r="G536" t="inlineStr">
        <is>
          <t>1</t>
        </is>
      </c>
      <c r="H536" t="inlineStr">
        <is>
          <t>No</t>
        </is>
      </c>
      <c r="I536" t="inlineStr">
        <is>
          <t>No</t>
        </is>
      </c>
      <c r="J536" t="inlineStr">
        <is>
          <t>0</t>
        </is>
      </c>
      <c r="K536" t="inlineStr">
        <is>
          <t>Labarge, Margaret Wade.</t>
        </is>
      </c>
      <c r="L536" t="inlineStr">
        <is>
          <t>Boston, Little, Brown [1968]</t>
        </is>
      </c>
      <c r="M536" t="inlineStr">
        <is>
          <t>1968</t>
        </is>
      </c>
      <c r="N536" t="inlineStr">
        <is>
          <t>[1st American ed.]</t>
        </is>
      </c>
      <c r="O536" t="inlineStr">
        <is>
          <t>eng</t>
        </is>
      </c>
      <c r="P536" t="inlineStr">
        <is>
          <t>mau</t>
        </is>
      </c>
      <c r="R536" t="inlineStr">
        <is>
          <t xml:space="preserve">DC </t>
        </is>
      </c>
      <c r="S536" t="n">
        <v>1</v>
      </c>
      <c r="T536" t="n">
        <v>1</v>
      </c>
      <c r="U536" t="inlineStr">
        <is>
          <t>2006-11-15</t>
        </is>
      </c>
      <c r="V536" t="inlineStr">
        <is>
          <t>2006-11-15</t>
        </is>
      </c>
      <c r="W536" t="inlineStr">
        <is>
          <t>1996-10-28</t>
        </is>
      </c>
      <c r="X536" t="inlineStr">
        <is>
          <t>1996-10-28</t>
        </is>
      </c>
      <c r="Y536" t="n">
        <v>873</v>
      </c>
      <c r="Z536" t="n">
        <v>847</v>
      </c>
      <c r="AA536" t="n">
        <v>863</v>
      </c>
      <c r="AB536" t="n">
        <v>7</v>
      </c>
      <c r="AC536" t="n">
        <v>7</v>
      </c>
      <c r="AD536" t="n">
        <v>30</v>
      </c>
      <c r="AE536" t="n">
        <v>30</v>
      </c>
      <c r="AF536" t="n">
        <v>9</v>
      </c>
      <c r="AG536" t="n">
        <v>9</v>
      </c>
      <c r="AH536" t="n">
        <v>7</v>
      </c>
      <c r="AI536" t="n">
        <v>7</v>
      </c>
      <c r="AJ536" t="n">
        <v>16</v>
      </c>
      <c r="AK536" t="n">
        <v>16</v>
      </c>
      <c r="AL536" t="n">
        <v>5</v>
      </c>
      <c r="AM536" t="n">
        <v>5</v>
      </c>
      <c r="AN536" t="n">
        <v>1</v>
      </c>
      <c r="AO536" t="n">
        <v>1</v>
      </c>
      <c r="AP536" t="inlineStr">
        <is>
          <t>No</t>
        </is>
      </c>
      <c r="AQ536" t="inlineStr">
        <is>
          <t>Yes</t>
        </is>
      </c>
      <c r="AR536">
        <f>HYPERLINK("http://catalog.hathitrust.org/Record/000454856","HathiTrust Record")</f>
        <v/>
      </c>
      <c r="AS536">
        <f>HYPERLINK("https://creighton-primo.hosted.exlibrisgroup.com/primo-explore/search?tab=default_tab&amp;search_scope=EVERYTHING&amp;vid=01CRU&amp;lang=en_US&amp;offset=0&amp;query=any,contains,991002143919702656","Catalog Record")</f>
        <v/>
      </c>
      <c r="AT536">
        <f>HYPERLINK("http://www.worldcat.org/oclc/271105","WorldCat Record")</f>
        <v/>
      </c>
      <c r="AU536" t="inlineStr">
        <is>
          <t>3901461518:eng</t>
        </is>
      </c>
      <c r="AV536" t="inlineStr">
        <is>
          <t>271105</t>
        </is>
      </c>
      <c r="AW536" t="inlineStr">
        <is>
          <t>991002143919702656</t>
        </is>
      </c>
      <c r="AX536" t="inlineStr">
        <is>
          <t>991002143919702656</t>
        </is>
      </c>
      <c r="AY536" t="inlineStr">
        <is>
          <t>2262048800002656</t>
        </is>
      </c>
      <c r="AZ536" t="inlineStr">
        <is>
          <t>BOOK</t>
        </is>
      </c>
      <c r="BC536" t="inlineStr">
        <is>
          <t>32285002379104</t>
        </is>
      </c>
      <c r="BD536" t="inlineStr">
        <is>
          <t>893262106</t>
        </is>
      </c>
    </row>
    <row r="537">
      <c r="A537" t="inlineStr">
        <is>
          <t>No</t>
        </is>
      </c>
      <c r="B537" t="inlineStr">
        <is>
          <t>DC91 .S55 1851</t>
        </is>
      </c>
      <c r="C537" t="inlineStr">
        <is>
          <t>0                      DC 0091000S  55          1851</t>
        </is>
      </c>
      <c r="D537" t="inlineStr">
        <is>
          <t>Saint Louis et son siècle.</t>
        </is>
      </c>
      <c r="F537" t="inlineStr">
        <is>
          <t>No</t>
        </is>
      </c>
      <c r="G537" t="inlineStr">
        <is>
          <t>1</t>
        </is>
      </c>
      <c r="H537" t="inlineStr">
        <is>
          <t>No</t>
        </is>
      </c>
      <c r="I537" t="inlineStr">
        <is>
          <t>No</t>
        </is>
      </c>
      <c r="J537" t="inlineStr">
        <is>
          <t>0</t>
        </is>
      </c>
      <c r="K537" t="inlineStr">
        <is>
          <t>Walsh, Joseph-Alexis, vicomte, 1782-1860.</t>
        </is>
      </c>
      <c r="L537" t="inlineStr">
        <is>
          <t>Tours : Ad Mame et cie., 1851.</t>
        </is>
      </c>
      <c r="M537" t="inlineStr">
        <is>
          <t>1851</t>
        </is>
      </c>
      <c r="N537" t="inlineStr">
        <is>
          <t>Nouvelle édition.</t>
        </is>
      </c>
      <c r="O537" t="inlineStr">
        <is>
          <t>fre</t>
        </is>
      </c>
      <c r="P537" t="inlineStr">
        <is>
          <t xml:space="preserve">fr </t>
        </is>
      </c>
      <c r="R537" t="inlineStr">
        <is>
          <t xml:space="preserve">DC </t>
        </is>
      </c>
      <c r="S537" t="n">
        <v>2</v>
      </c>
      <c r="T537" t="n">
        <v>2</v>
      </c>
      <c r="U537" t="inlineStr">
        <is>
          <t>2003-06-11</t>
        </is>
      </c>
      <c r="V537" t="inlineStr">
        <is>
          <t>2003-06-11</t>
        </is>
      </c>
      <c r="W537" t="inlineStr">
        <is>
          <t>1991-10-24</t>
        </is>
      </c>
      <c r="X537" t="inlineStr">
        <is>
          <t>1991-10-24</t>
        </is>
      </c>
      <c r="Y537" t="n">
        <v>5</v>
      </c>
      <c r="Z537" t="n">
        <v>4</v>
      </c>
      <c r="AA537" t="n">
        <v>41</v>
      </c>
      <c r="AB537" t="n">
        <v>1</v>
      </c>
      <c r="AC537" t="n">
        <v>1</v>
      </c>
      <c r="AD537" t="n">
        <v>0</v>
      </c>
      <c r="AE537" t="n">
        <v>3</v>
      </c>
      <c r="AF537" t="n">
        <v>0</v>
      </c>
      <c r="AG537" t="n">
        <v>0</v>
      </c>
      <c r="AH537" t="n">
        <v>0</v>
      </c>
      <c r="AI537" t="n">
        <v>0</v>
      </c>
      <c r="AJ537" t="n">
        <v>0</v>
      </c>
      <c r="AK537" t="n">
        <v>2</v>
      </c>
      <c r="AL537" t="n">
        <v>0</v>
      </c>
      <c r="AM537" t="n">
        <v>0</v>
      </c>
      <c r="AN537" t="n">
        <v>0</v>
      </c>
      <c r="AO537" t="n">
        <v>1</v>
      </c>
      <c r="AP537" t="inlineStr">
        <is>
          <t>No</t>
        </is>
      </c>
      <c r="AQ537" t="inlineStr">
        <is>
          <t>No</t>
        </is>
      </c>
      <c r="AS537">
        <f>HYPERLINK("https://creighton-primo.hosted.exlibrisgroup.com/primo-explore/search?tab=default_tab&amp;search_scope=EVERYTHING&amp;vid=01CRU&amp;lang=en_US&amp;offset=0&amp;query=any,contains,991000137379702656","Catalog Record")</f>
        <v/>
      </c>
      <c r="AT537">
        <f>HYPERLINK("http://www.worldcat.org/oclc/9140011","WorldCat Record")</f>
        <v/>
      </c>
      <c r="AU537" t="inlineStr">
        <is>
          <t>2522309:fre</t>
        </is>
      </c>
      <c r="AV537" t="inlineStr">
        <is>
          <t>9140011</t>
        </is>
      </c>
      <c r="AW537" t="inlineStr">
        <is>
          <t>991000137379702656</t>
        </is>
      </c>
      <c r="AX537" t="inlineStr">
        <is>
          <t>991000137379702656</t>
        </is>
      </c>
      <c r="AY537" t="inlineStr">
        <is>
          <t>2271914210002656</t>
        </is>
      </c>
      <c r="AZ537" t="inlineStr">
        <is>
          <t>BOOK</t>
        </is>
      </c>
      <c r="BC537" t="inlineStr">
        <is>
          <t>32285000654243</t>
        </is>
      </c>
      <c r="BD537" t="inlineStr">
        <is>
          <t>893425462</t>
        </is>
      </c>
    </row>
    <row r="538">
      <c r="A538" t="inlineStr">
        <is>
          <t>No</t>
        </is>
      </c>
      <c r="B538" t="inlineStr">
        <is>
          <t>DC96 .F68 1967</t>
        </is>
      </c>
      <c r="C538" t="inlineStr">
        <is>
          <t>0                      DC 0096000F  68          1967</t>
        </is>
      </c>
      <c r="D538" t="inlineStr">
        <is>
          <t>The age of Plantagenet and Valois; the struggle for supremacy, 1328-1498, by Kenneth Fowler. Photos. by Wim Swaan, Edwin Smith and others.</t>
        </is>
      </c>
      <c r="F538" t="inlineStr">
        <is>
          <t>No</t>
        </is>
      </c>
      <c r="G538" t="inlineStr">
        <is>
          <t>1</t>
        </is>
      </c>
      <c r="H538" t="inlineStr">
        <is>
          <t>No</t>
        </is>
      </c>
      <c r="I538" t="inlineStr">
        <is>
          <t>No</t>
        </is>
      </c>
      <c r="J538" t="inlineStr">
        <is>
          <t>0</t>
        </is>
      </c>
      <c r="K538" t="inlineStr">
        <is>
          <t>Fowler, Kenneth, 1933-</t>
        </is>
      </c>
      <c r="L538" t="inlineStr">
        <is>
          <t>New York, Putnam [1967]</t>
        </is>
      </c>
      <c r="M538" t="inlineStr">
        <is>
          <t>1967</t>
        </is>
      </c>
      <c r="N538" t="inlineStr">
        <is>
          <t>[1st American ed.]</t>
        </is>
      </c>
      <c r="O538" t="inlineStr">
        <is>
          <t>eng</t>
        </is>
      </c>
      <c r="P538" t="inlineStr">
        <is>
          <t>nyu</t>
        </is>
      </c>
      <c r="R538" t="inlineStr">
        <is>
          <t xml:space="preserve">DC </t>
        </is>
      </c>
      <c r="S538" t="n">
        <v>5</v>
      </c>
      <c r="T538" t="n">
        <v>5</v>
      </c>
      <c r="U538" t="inlineStr">
        <is>
          <t>1999-04-18</t>
        </is>
      </c>
      <c r="V538" t="inlineStr">
        <is>
          <t>1999-04-18</t>
        </is>
      </c>
      <c r="W538" t="inlineStr">
        <is>
          <t>1996-10-28</t>
        </is>
      </c>
      <c r="X538" t="inlineStr">
        <is>
          <t>1996-10-28</t>
        </is>
      </c>
      <c r="Y538" t="n">
        <v>592</v>
      </c>
      <c r="Z538" t="n">
        <v>559</v>
      </c>
      <c r="AA538" t="n">
        <v>563</v>
      </c>
      <c r="AB538" t="n">
        <v>6</v>
      </c>
      <c r="AC538" t="n">
        <v>6</v>
      </c>
      <c r="AD538" t="n">
        <v>23</v>
      </c>
      <c r="AE538" t="n">
        <v>23</v>
      </c>
      <c r="AF538" t="n">
        <v>10</v>
      </c>
      <c r="AG538" t="n">
        <v>10</v>
      </c>
      <c r="AH538" t="n">
        <v>6</v>
      </c>
      <c r="AI538" t="n">
        <v>6</v>
      </c>
      <c r="AJ538" t="n">
        <v>9</v>
      </c>
      <c r="AK538" t="n">
        <v>9</v>
      </c>
      <c r="AL538" t="n">
        <v>5</v>
      </c>
      <c r="AM538" t="n">
        <v>5</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HYPERLINK("https://creighton-primo.hosted.exlibrisgroup.com/primo-explore/search?tab=default_tab&amp;search_scope=EVERYTHING&amp;vid=01CRU&amp;lang=en_US&amp;offset=0&amp;query=any,contains,991003639919702656","Catalog Record")</f>
        <v/>
      </c>
      <c r="AT538">
        <f>HYPERLINK("http://www.worldcat.org/oclc/1236534","WorldCat Record")</f>
        <v/>
      </c>
      <c r="AU538" t="inlineStr">
        <is>
          <t>9565623009:eng</t>
        </is>
      </c>
      <c r="AV538" t="inlineStr">
        <is>
          <t>1236534</t>
        </is>
      </c>
      <c r="AW538" t="inlineStr">
        <is>
          <t>991003639919702656</t>
        </is>
      </c>
      <c r="AX538" t="inlineStr">
        <is>
          <t>991003639919702656</t>
        </is>
      </c>
      <c r="AY538" t="inlineStr">
        <is>
          <t>2265671460002656</t>
        </is>
      </c>
      <c r="AZ538" t="inlineStr">
        <is>
          <t>BOOK</t>
        </is>
      </c>
      <c r="BC538" t="inlineStr">
        <is>
          <t>32285002379153</t>
        </is>
      </c>
      <c r="BD538" t="inlineStr">
        <is>
          <t>893623709</t>
        </is>
      </c>
    </row>
    <row r="539">
      <c r="A539" t="inlineStr">
        <is>
          <t>No</t>
        </is>
      </c>
      <c r="B539" t="inlineStr">
        <is>
          <t>DC96 .P47 1965</t>
        </is>
      </c>
      <c r="C539" t="inlineStr">
        <is>
          <t>0                      DC 0096000P  47          1965</t>
        </is>
      </c>
      <c r="D539" t="inlineStr">
        <is>
          <t>The hundred years war / by Edouard Perroy. With an introd. to the English edition by David C. Douglas.</t>
        </is>
      </c>
      <c r="F539" t="inlineStr">
        <is>
          <t>No</t>
        </is>
      </c>
      <c r="G539" t="inlineStr">
        <is>
          <t>1</t>
        </is>
      </c>
      <c r="H539" t="inlineStr">
        <is>
          <t>No</t>
        </is>
      </c>
      <c r="I539" t="inlineStr">
        <is>
          <t>Yes</t>
        </is>
      </c>
      <c r="J539" t="inlineStr">
        <is>
          <t>0</t>
        </is>
      </c>
      <c r="K539" t="inlineStr">
        <is>
          <t>Perroy, Edouard, 1901-1974.</t>
        </is>
      </c>
      <c r="L539" t="inlineStr">
        <is>
          <t>New York : Capricorn Books, [1965]</t>
        </is>
      </c>
      <c r="M539" t="inlineStr">
        <is>
          <t>1965</t>
        </is>
      </c>
      <c r="O539" t="inlineStr">
        <is>
          <t>eng</t>
        </is>
      </c>
      <c r="P539" t="inlineStr">
        <is>
          <t>___</t>
        </is>
      </c>
      <c r="R539" t="inlineStr">
        <is>
          <t xml:space="preserve">DC </t>
        </is>
      </c>
      <c r="S539" t="n">
        <v>4</v>
      </c>
      <c r="T539" t="n">
        <v>4</v>
      </c>
      <c r="U539" t="inlineStr">
        <is>
          <t>2009-10-13</t>
        </is>
      </c>
      <c r="V539" t="inlineStr">
        <is>
          <t>2009-10-13</t>
        </is>
      </c>
      <c r="W539" t="inlineStr">
        <is>
          <t>1990-11-27</t>
        </is>
      </c>
      <c r="X539" t="inlineStr">
        <is>
          <t>1990-11-27</t>
        </is>
      </c>
      <c r="Y539" t="n">
        <v>413</v>
      </c>
      <c r="Z539" t="n">
        <v>376</v>
      </c>
      <c r="AA539" t="n">
        <v>1151</v>
      </c>
      <c r="AB539" t="n">
        <v>3</v>
      </c>
      <c r="AC539" t="n">
        <v>9</v>
      </c>
      <c r="AD539" t="n">
        <v>13</v>
      </c>
      <c r="AE539" t="n">
        <v>50</v>
      </c>
      <c r="AF539" t="n">
        <v>8</v>
      </c>
      <c r="AG539" t="n">
        <v>22</v>
      </c>
      <c r="AH539" t="n">
        <v>4</v>
      </c>
      <c r="AI539" t="n">
        <v>8</v>
      </c>
      <c r="AJ539" t="n">
        <v>5</v>
      </c>
      <c r="AK539" t="n">
        <v>25</v>
      </c>
      <c r="AL539" t="n">
        <v>1</v>
      </c>
      <c r="AM539" t="n">
        <v>7</v>
      </c>
      <c r="AN539" t="n">
        <v>0</v>
      </c>
      <c r="AO539" t="n">
        <v>0</v>
      </c>
      <c r="AP539" t="inlineStr">
        <is>
          <t>No</t>
        </is>
      </c>
      <c r="AQ539" t="inlineStr">
        <is>
          <t>Yes</t>
        </is>
      </c>
      <c r="AR539">
        <f>HYPERLINK("http://catalog.hathitrust.org/Record/000400955","HathiTrust Record")</f>
        <v/>
      </c>
      <c r="AS539">
        <f>HYPERLINK("https://creighton-primo.hosted.exlibrisgroup.com/primo-explore/search?tab=default_tab&amp;search_scope=EVERYTHING&amp;vid=01CRU&amp;lang=en_US&amp;offset=0&amp;query=any,contains,991003382129702656","Catalog Record")</f>
        <v/>
      </c>
      <c r="AT539">
        <f>HYPERLINK("http://www.worldcat.org/oclc/918734","WorldCat Record")</f>
        <v/>
      </c>
      <c r="AU539" t="inlineStr">
        <is>
          <t>290761:eng</t>
        </is>
      </c>
      <c r="AV539" t="inlineStr">
        <is>
          <t>918734</t>
        </is>
      </c>
      <c r="AW539" t="inlineStr">
        <is>
          <t>991003382129702656</t>
        </is>
      </c>
      <c r="AX539" t="inlineStr">
        <is>
          <t>991003382129702656</t>
        </is>
      </c>
      <c r="AY539" t="inlineStr">
        <is>
          <t>2260427180002656</t>
        </is>
      </c>
      <c r="AZ539" t="inlineStr">
        <is>
          <t>BOOK</t>
        </is>
      </c>
      <c r="BC539" t="inlineStr">
        <is>
          <t>32285000393784</t>
        </is>
      </c>
      <c r="BD539" t="inlineStr">
        <is>
          <t>893868371</t>
        </is>
      </c>
    </row>
    <row r="540">
      <c r="A540" t="inlineStr">
        <is>
          <t>No</t>
        </is>
      </c>
      <c r="B540" t="inlineStr">
        <is>
          <t>DC96 .S48 1978</t>
        </is>
      </c>
      <c r="C540" t="inlineStr">
        <is>
          <t>0                      DC 0096000S  48          1978</t>
        </is>
      </c>
      <c r="D540" t="inlineStr">
        <is>
          <t>The Hundred Years War : the English in France, 1337-1453 / Desmond Seward.</t>
        </is>
      </c>
      <c r="F540" t="inlineStr">
        <is>
          <t>No</t>
        </is>
      </c>
      <c r="G540" t="inlineStr">
        <is>
          <t>1</t>
        </is>
      </c>
      <c r="H540" t="inlineStr">
        <is>
          <t>No</t>
        </is>
      </c>
      <c r="I540" t="inlineStr">
        <is>
          <t>No</t>
        </is>
      </c>
      <c r="J540" t="inlineStr">
        <is>
          <t>0</t>
        </is>
      </c>
      <c r="K540" t="inlineStr">
        <is>
          <t>Seward, Desmond, 1935-</t>
        </is>
      </c>
      <c r="L540" t="inlineStr">
        <is>
          <t>New York : Atheneum, 1978.</t>
        </is>
      </c>
      <c r="M540" t="inlineStr">
        <is>
          <t>1978</t>
        </is>
      </c>
      <c r="N540" t="inlineStr">
        <is>
          <t>1st American ed.</t>
        </is>
      </c>
      <c r="O540" t="inlineStr">
        <is>
          <t>eng</t>
        </is>
      </c>
      <c r="P540" t="inlineStr">
        <is>
          <t>nyu</t>
        </is>
      </c>
      <c r="R540" t="inlineStr">
        <is>
          <t xml:space="preserve">DC </t>
        </is>
      </c>
      <c r="S540" t="n">
        <v>6</v>
      </c>
      <c r="T540" t="n">
        <v>6</v>
      </c>
      <c r="U540" t="inlineStr">
        <is>
          <t>2010-03-29</t>
        </is>
      </c>
      <c r="V540" t="inlineStr">
        <is>
          <t>2010-03-29</t>
        </is>
      </c>
      <c r="W540" t="inlineStr">
        <is>
          <t>1990-02-07</t>
        </is>
      </c>
      <c r="X540" t="inlineStr">
        <is>
          <t>1990-02-07</t>
        </is>
      </c>
      <c r="Y540" t="n">
        <v>1395</v>
      </c>
      <c r="Z540" t="n">
        <v>1315</v>
      </c>
      <c r="AA540" t="n">
        <v>1637</v>
      </c>
      <c r="AB540" t="n">
        <v>7</v>
      </c>
      <c r="AC540" t="n">
        <v>11</v>
      </c>
      <c r="AD540" t="n">
        <v>33</v>
      </c>
      <c r="AE540" t="n">
        <v>42</v>
      </c>
      <c r="AF540" t="n">
        <v>15</v>
      </c>
      <c r="AG540" t="n">
        <v>18</v>
      </c>
      <c r="AH540" t="n">
        <v>9</v>
      </c>
      <c r="AI540" t="n">
        <v>10</v>
      </c>
      <c r="AJ540" t="n">
        <v>17</v>
      </c>
      <c r="AK540" t="n">
        <v>20</v>
      </c>
      <c r="AL540" t="n">
        <v>2</v>
      </c>
      <c r="AM540" t="n">
        <v>6</v>
      </c>
      <c r="AN540" t="n">
        <v>1</v>
      </c>
      <c r="AO540" t="n">
        <v>1</v>
      </c>
      <c r="AP540" t="inlineStr">
        <is>
          <t>No</t>
        </is>
      </c>
      <c r="AQ540" t="inlineStr">
        <is>
          <t>Yes</t>
        </is>
      </c>
      <c r="AR540">
        <f>HYPERLINK("http://catalog.hathitrust.org/Record/000176461","HathiTrust Record")</f>
        <v/>
      </c>
      <c r="AS540">
        <f>HYPERLINK("https://creighton-primo.hosted.exlibrisgroup.com/primo-explore/search?tab=default_tab&amp;search_scope=EVERYTHING&amp;vid=01CRU&amp;lang=en_US&amp;offset=0&amp;query=any,contains,991004562909702656","Catalog Record")</f>
        <v/>
      </c>
      <c r="AT540">
        <f>HYPERLINK("http://www.worldcat.org/oclc/4003734","WorldCat Record")</f>
        <v/>
      </c>
      <c r="AU540" t="inlineStr">
        <is>
          <t>8387806:eng</t>
        </is>
      </c>
      <c r="AV540" t="inlineStr">
        <is>
          <t>4003734</t>
        </is>
      </c>
      <c r="AW540" t="inlineStr">
        <is>
          <t>991004562909702656</t>
        </is>
      </c>
      <c r="AX540" t="inlineStr">
        <is>
          <t>991004562909702656</t>
        </is>
      </c>
      <c r="AY540" t="inlineStr">
        <is>
          <t>2267717110002656</t>
        </is>
      </c>
      <c r="AZ540" t="inlineStr">
        <is>
          <t>BOOK</t>
        </is>
      </c>
      <c r="BB540" t="inlineStr">
        <is>
          <t>9780689109195</t>
        </is>
      </c>
      <c r="BC540" t="inlineStr">
        <is>
          <t>32285000007087</t>
        </is>
      </c>
      <c r="BD540" t="inlineStr">
        <is>
          <t>893694086</t>
        </is>
      </c>
    </row>
    <row r="541">
      <c r="A541" t="inlineStr">
        <is>
          <t>No</t>
        </is>
      </c>
      <c r="B541" t="inlineStr">
        <is>
          <t>DD112 .R5213</t>
        </is>
      </c>
      <c r="C541" t="inlineStr">
        <is>
          <t>0                      DD 0112000R  5213</t>
        </is>
      </c>
      <c r="D541" t="inlineStr">
        <is>
          <t>The sword and the scepter: the problem of militarism in Germany / Translated from the German by Heinz Norden.</t>
        </is>
      </c>
      <c r="F541" t="inlineStr">
        <is>
          <t>Yes</t>
        </is>
      </c>
      <c r="G541" t="inlineStr">
        <is>
          <t>1</t>
        </is>
      </c>
      <c r="H541" t="inlineStr">
        <is>
          <t>Yes</t>
        </is>
      </c>
      <c r="I541" t="inlineStr">
        <is>
          <t>No</t>
        </is>
      </c>
      <c r="J541" t="inlineStr">
        <is>
          <t>0</t>
        </is>
      </c>
      <c r="K541" t="inlineStr">
        <is>
          <t>Ritter, Gerhard, 1888-1967.</t>
        </is>
      </c>
      <c r="L541" t="inlineStr">
        <is>
          <t>Coral Gables, Fla : University of Miami Press [1969-1973]</t>
        </is>
      </c>
      <c r="M541" t="inlineStr">
        <is>
          <t>1969</t>
        </is>
      </c>
      <c r="O541" t="inlineStr">
        <is>
          <t>eng</t>
        </is>
      </c>
      <c r="P541" t="inlineStr">
        <is>
          <t>flu</t>
        </is>
      </c>
      <c r="R541" t="inlineStr">
        <is>
          <t xml:space="preserve">DD </t>
        </is>
      </c>
      <c r="S541" t="n">
        <v>0</v>
      </c>
      <c r="T541" t="n">
        <v>2</v>
      </c>
      <c r="V541" t="inlineStr">
        <is>
          <t>1993-02-20</t>
        </is>
      </c>
      <c r="W541" t="inlineStr">
        <is>
          <t>1991-01-17</t>
        </is>
      </c>
      <c r="X541" t="inlineStr">
        <is>
          <t>1991-01-17</t>
        </is>
      </c>
      <c r="Y541" t="n">
        <v>1077</v>
      </c>
      <c r="Z541" t="n">
        <v>955</v>
      </c>
      <c r="AA541" t="n">
        <v>987</v>
      </c>
      <c r="AB541" t="n">
        <v>9</v>
      </c>
      <c r="AC541" t="n">
        <v>9</v>
      </c>
      <c r="AD541" t="n">
        <v>43</v>
      </c>
      <c r="AE541" t="n">
        <v>44</v>
      </c>
      <c r="AF541" t="n">
        <v>16</v>
      </c>
      <c r="AG541" t="n">
        <v>17</v>
      </c>
      <c r="AH541" t="n">
        <v>8</v>
      </c>
      <c r="AI541" t="n">
        <v>8</v>
      </c>
      <c r="AJ541" t="n">
        <v>20</v>
      </c>
      <c r="AK541" t="n">
        <v>21</v>
      </c>
      <c r="AL541" t="n">
        <v>8</v>
      </c>
      <c r="AM541" t="n">
        <v>8</v>
      </c>
      <c r="AN541" t="n">
        <v>0</v>
      </c>
      <c r="AO541" t="n">
        <v>0</v>
      </c>
      <c r="AP541" t="inlineStr">
        <is>
          <t>No</t>
        </is>
      </c>
      <c r="AQ541" t="inlineStr">
        <is>
          <t>Yes</t>
        </is>
      </c>
      <c r="AR541">
        <f>HYPERLINK("http://catalog.hathitrust.org/Record/000350903","HathiTrust Record")</f>
        <v/>
      </c>
      <c r="AS541">
        <f>HYPERLINK("https://creighton-primo.hosted.exlibrisgroup.com/primo-explore/search?tab=default_tab&amp;search_scope=EVERYTHING&amp;vid=01CRU&amp;lang=en_US&amp;offset=0&amp;query=any,contains,991000137999702656","Catalog Record")</f>
        <v/>
      </c>
      <c r="AT541">
        <f>HYPERLINK("http://www.worldcat.org/oclc/57215","WorldCat Record")</f>
        <v/>
      </c>
      <c r="AU541" t="inlineStr">
        <is>
          <t>4927285319:eng</t>
        </is>
      </c>
      <c r="AV541" t="inlineStr">
        <is>
          <t>57215</t>
        </is>
      </c>
      <c r="AW541" t="inlineStr">
        <is>
          <t>991000137999702656</t>
        </is>
      </c>
      <c r="AX541" t="inlineStr">
        <is>
          <t>991000137999702656</t>
        </is>
      </c>
      <c r="AY541" t="inlineStr">
        <is>
          <t>2261768580002656</t>
        </is>
      </c>
      <c r="AZ541" t="inlineStr">
        <is>
          <t>BOOK</t>
        </is>
      </c>
      <c r="BB541" t="inlineStr">
        <is>
          <t>9780870241277</t>
        </is>
      </c>
      <c r="BC541" t="inlineStr">
        <is>
          <t>32285000455575</t>
        </is>
      </c>
      <c r="BD541" t="inlineStr">
        <is>
          <t>893255212</t>
        </is>
      </c>
    </row>
    <row r="542">
      <c r="A542" t="inlineStr">
        <is>
          <t>No</t>
        </is>
      </c>
      <c r="B542" t="inlineStr">
        <is>
          <t>DD112 .R5213 V.2</t>
        </is>
      </c>
      <c r="C542" t="inlineStr">
        <is>
          <t>0                      DD 0112000R  5213                                                    V.2</t>
        </is>
      </c>
      <c r="D542" t="inlineStr">
        <is>
          <t>The sword and the scepter: the problem of militarism in Germany / Translated from the German by Heinz Norden.</t>
        </is>
      </c>
      <c r="E542" t="inlineStr">
        <is>
          <t>V.2*</t>
        </is>
      </c>
      <c r="F542" t="inlineStr">
        <is>
          <t>Yes</t>
        </is>
      </c>
      <c r="G542" t="inlineStr">
        <is>
          <t>1</t>
        </is>
      </c>
      <c r="H542" t="inlineStr">
        <is>
          <t>No</t>
        </is>
      </c>
      <c r="I542" t="inlineStr">
        <is>
          <t>No</t>
        </is>
      </c>
      <c r="J542" t="inlineStr">
        <is>
          <t>0</t>
        </is>
      </c>
      <c r="K542" t="inlineStr">
        <is>
          <t>Ritter, Gerhard, 1888-1967.</t>
        </is>
      </c>
      <c r="L542" t="inlineStr">
        <is>
          <t>Coral Gables, Fla : University of Miami Press [1969-1973]</t>
        </is>
      </c>
      <c r="M542" t="inlineStr">
        <is>
          <t>1969</t>
        </is>
      </c>
      <c r="O542" t="inlineStr">
        <is>
          <t>eng</t>
        </is>
      </c>
      <c r="P542" t="inlineStr">
        <is>
          <t>flu</t>
        </is>
      </c>
      <c r="R542" t="inlineStr">
        <is>
          <t xml:space="preserve">DD </t>
        </is>
      </c>
      <c r="S542" t="n">
        <v>0</v>
      </c>
      <c r="T542" t="n">
        <v>2</v>
      </c>
      <c r="V542" t="inlineStr">
        <is>
          <t>1993-02-20</t>
        </is>
      </c>
      <c r="W542" t="inlineStr">
        <is>
          <t>1991-01-17</t>
        </is>
      </c>
      <c r="X542" t="inlineStr">
        <is>
          <t>1991-01-17</t>
        </is>
      </c>
      <c r="Y542" t="n">
        <v>1077</v>
      </c>
      <c r="Z542" t="n">
        <v>955</v>
      </c>
      <c r="AA542" t="n">
        <v>987</v>
      </c>
      <c r="AB542" t="n">
        <v>9</v>
      </c>
      <c r="AC542" t="n">
        <v>9</v>
      </c>
      <c r="AD542" t="n">
        <v>43</v>
      </c>
      <c r="AE542" t="n">
        <v>44</v>
      </c>
      <c r="AF542" t="n">
        <v>16</v>
      </c>
      <c r="AG542" t="n">
        <v>17</v>
      </c>
      <c r="AH542" t="n">
        <v>8</v>
      </c>
      <c r="AI542" t="n">
        <v>8</v>
      </c>
      <c r="AJ542" t="n">
        <v>20</v>
      </c>
      <c r="AK542" t="n">
        <v>21</v>
      </c>
      <c r="AL542" t="n">
        <v>8</v>
      </c>
      <c r="AM542" t="n">
        <v>8</v>
      </c>
      <c r="AN542" t="n">
        <v>0</v>
      </c>
      <c r="AO542" t="n">
        <v>0</v>
      </c>
      <c r="AP542" t="inlineStr">
        <is>
          <t>No</t>
        </is>
      </c>
      <c r="AQ542" t="inlineStr">
        <is>
          <t>Yes</t>
        </is>
      </c>
      <c r="AR542">
        <f>HYPERLINK("http://catalog.hathitrust.org/Record/000350903","HathiTrust Record")</f>
        <v/>
      </c>
      <c r="AS542">
        <f>HYPERLINK("https://creighton-primo.hosted.exlibrisgroup.com/primo-explore/search?tab=default_tab&amp;search_scope=EVERYTHING&amp;vid=01CRU&amp;lang=en_US&amp;offset=0&amp;query=any,contains,991000137999702656","Catalog Record")</f>
        <v/>
      </c>
      <c r="AT542">
        <f>HYPERLINK("http://www.worldcat.org/oclc/57215","WorldCat Record")</f>
        <v/>
      </c>
      <c r="AU542" t="inlineStr">
        <is>
          <t>4927285319:eng</t>
        </is>
      </c>
      <c r="AV542" t="inlineStr">
        <is>
          <t>57215</t>
        </is>
      </c>
      <c r="AW542" t="inlineStr">
        <is>
          <t>991000137999702656</t>
        </is>
      </c>
      <c r="AX542" t="inlineStr">
        <is>
          <t>991000137999702656</t>
        </is>
      </c>
      <c r="AY542" t="inlineStr">
        <is>
          <t>2261768580002656</t>
        </is>
      </c>
      <c r="AZ542" t="inlineStr">
        <is>
          <t>BOOK</t>
        </is>
      </c>
      <c r="BB542" t="inlineStr">
        <is>
          <t>9780870241277</t>
        </is>
      </c>
      <c r="BC542" t="inlineStr">
        <is>
          <t>32285000455591</t>
        </is>
      </c>
      <c r="BD542" t="inlineStr">
        <is>
          <t>893237098</t>
        </is>
      </c>
    </row>
    <row r="543">
      <c r="A543" t="inlineStr">
        <is>
          <t>No</t>
        </is>
      </c>
      <c r="B543" t="inlineStr">
        <is>
          <t>DD112 .R5213 V.3</t>
        </is>
      </c>
      <c r="C543" t="inlineStr">
        <is>
          <t>0                      DD 0112000R  5213                                                    V.3</t>
        </is>
      </c>
      <c r="D543" t="inlineStr">
        <is>
          <t>The sword and the scepter: the problem of militarism in Germany / Translated from the German by Heinz Norden.</t>
        </is>
      </c>
      <c r="E543" t="inlineStr">
        <is>
          <t>V.3*</t>
        </is>
      </c>
      <c r="F543" t="inlineStr">
        <is>
          <t>Yes</t>
        </is>
      </c>
      <c r="G543" t="inlineStr">
        <is>
          <t>1</t>
        </is>
      </c>
      <c r="H543" t="inlineStr">
        <is>
          <t>No</t>
        </is>
      </c>
      <c r="I543" t="inlineStr">
        <is>
          <t>No</t>
        </is>
      </c>
      <c r="J543" t="inlineStr">
        <is>
          <t>0</t>
        </is>
      </c>
      <c r="K543" t="inlineStr">
        <is>
          <t>Ritter, Gerhard, 1888-1967.</t>
        </is>
      </c>
      <c r="L543" t="inlineStr">
        <is>
          <t>Coral Gables, Fla : University of Miami Press [1969-1973]</t>
        </is>
      </c>
      <c r="M543" t="inlineStr">
        <is>
          <t>1969</t>
        </is>
      </c>
      <c r="O543" t="inlineStr">
        <is>
          <t>eng</t>
        </is>
      </c>
      <c r="P543" t="inlineStr">
        <is>
          <t>flu</t>
        </is>
      </c>
      <c r="R543" t="inlineStr">
        <is>
          <t xml:space="preserve">DD </t>
        </is>
      </c>
      <c r="S543" t="n">
        <v>2</v>
      </c>
      <c r="T543" t="n">
        <v>2</v>
      </c>
      <c r="U543" t="inlineStr">
        <is>
          <t>1993-02-20</t>
        </is>
      </c>
      <c r="V543" t="inlineStr">
        <is>
          <t>1993-02-20</t>
        </is>
      </c>
      <c r="W543" t="inlineStr">
        <is>
          <t>1991-01-17</t>
        </is>
      </c>
      <c r="X543" t="inlineStr">
        <is>
          <t>1991-01-17</t>
        </is>
      </c>
      <c r="Y543" t="n">
        <v>1077</v>
      </c>
      <c r="Z543" t="n">
        <v>955</v>
      </c>
      <c r="AA543" t="n">
        <v>987</v>
      </c>
      <c r="AB543" t="n">
        <v>9</v>
      </c>
      <c r="AC543" t="n">
        <v>9</v>
      </c>
      <c r="AD543" t="n">
        <v>43</v>
      </c>
      <c r="AE543" t="n">
        <v>44</v>
      </c>
      <c r="AF543" t="n">
        <v>16</v>
      </c>
      <c r="AG543" t="n">
        <v>17</v>
      </c>
      <c r="AH543" t="n">
        <v>8</v>
      </c>
      <c r="AI543" t="n">
        <v>8</v>
      </c>
      <c r="AJ543" t="n">
        <v>20</v>
      </c>
      <c r="AK543" t="n">
        <v>21</v>
      </c>
      <c r="AL543" t="n">
        <v>8</v>
      </c>
      <c r="AM543" t="n">
        <v>8</v>
      </c>
      <c r="AN543" t="n">
        <v>0</v>
      </c>
      <c r="AO543" t="n">
        <v>0</v>
      </c>
      <c r="AP543" t="inlineStr">
        <is>
          <t>No</t>
        </is>
      </c>
      <c r="AQ543" t="inlineStr">
        <is>
          <t>Yes</t>
        </is>
      </c>
      <c r="AR543">
        <f>HYPERLINK("http://catalog.hathitrust.org/Record/000350903","HathiTrust Record")</f>
        <v/>
      </c>
      <c r="AS543">
        <f>HYPERLINK("https://creighton-primo.hosted.exlibrisgroup.com/primo-explore/search?tab=default_tab&amp;search_scope=EVERYTHING&amp;vid=01CRU&amp;lang=en_US&amp;offset=0&amp;query=any,contains,991000137999702656","Catalog Record")</f>
        <v/>
      </c>
      <c r="AT543">
        <f>HYPERLINK("http://www.worldcat.org/oclc/57215","WorldCat Record")</f>
        <v/>
      </c>
      <c r="AU543" t="inlineStr">
        <is>
          <t>4927285319:eng</t>
        </is>
      </c>
      <c r="AV543" t="inlineStr">
        <is>
          <t>57215</t>
        </is>
      </c>
      <c r="AW543" t="inlineStr">
        <is>
          <t>991000137999702656</t>
        </is>
      </c>
      <c r="AX543" t="inlineStr">
        <is>
          <t>991000137999702656</t>
        </is>
      </c>
      <c r="AY543" t="inlineStr">
        <is>
          <t>2261768580002656</t>
        </is>
      </c>
      <c r="AZ543" t="inlineStr">
        <is>
          <t>BOOK</t>
        </is>
      </c>
      <c r="BB543" t="inlineStr">
        <is>
          <t>9780870241277</t>
        </is>
      </c>
      <c r="BC543" t="inlineStr">
        <is>
          <t>32285000455609</t>
        </is>
      </c>
      <c r="BD543" t="inlineStr">
        <is>
          <t>893237097</t>
        </is>
      </c>
    </row>
    <row r="544">
      <c r="A544" t="inlineStr">
        <is>
          <t>No</t>
        </is>
      </c>
      <c r="B544" t="inlineStr">
        <is>
          <t>DD112 .R5213 V.4</t>
        </is>
      </c>
      <c r="C544" t="inlineStr">
        <is>
          <t>0                      DD 0112000R  5213                                                    V.4</t>
        </is>
      </c>
      <c r="D544" t="inlineStr">
        <is>
          <t>The sword and the scepter: the problem of militarism in Germany / Translated from the German by Heinz Norden.</t>
        </is>
      </c>
      <c r="E544" t="inlineStr">
        <is>
          <t>V.4*</t>
        </is>
      </c>
      <c r="F544" t="inlineStr">
        <is>
          <t>Yes</t>
        </is>
      </c>
      <c r="G544" t="inlineStr">
        <is>
          <t>1</t>
        </is>
      </c>
      <c r="H544" t="inlineStr">
        <is>
          <t>No</t>
        </is>
      </c>
      <c r="I544" t="inlineStr">
        <is>
          <t>No</t>
        </is>
      </c>
      <c r="J544" t="inlineStr">
        <is>
          <t>0</t>
        </is>
      </c>
      <c r="K544" t="inlineStr">
        <is>
          <t>Ritter, Gerhard, 1888-1967.</t>
        </is>
      </c>
      <c r="L544" t="inlineStr">
        <is>
          <t>Coral Gables, Fla : University of Miami Press [1969-1973]</t>
        </is>
      </c>
      <c r="M544" t="inlineStr">
        <is>
          <t>1969</t>
        </is>
      </c>
      <c r="O544" t="inlineStr">
        <is>
          <t>eng</t>
        </is>
      </c>
      <c r="P544" t="inlineStr">
        <is>
          <t>flu</t>
        </is>
      </c>
      <c r="R544" t="inlineStr">
        <is>
          <t xml:space="preserve">DD </t>
        </is>
      </c>
      <c r="S544" t="n">
        <v>0</v>
      </c>
      <c r="T544" t="n">
        <v>2</v>
      </c>
      <c r="V544" t="inlineStr">
        <is>
          <t>1993-02-20</t>
        </is>
      </c>
      <c r="W544" t="inlineStr">
        <is>
          <t>1991-01-17</t>
        </is>
      </c>
      <c r="X544" t="inlineStr">
        <is>
          <t>1991-01-17</t>
        </is>
      </c>
      <c r="Y544" t="n">
        <v>1077</v>
      </c>
      <c r="Z544" t="n">
        <v>955</v>
      </c>
      <c r="AA544" t="n">
        <v>987</v>
      </c>
      <c r="AB544" t="n">
        <v>9</v>
      </c>
      <c r="AC544" t="n">
        <v>9</v>
      </c>
      <c r="AD544" t="n">
        <v>43</v>
      </c>
      <c r="AE544" t="n">
        <v>44</v>
      </c>
      <c r="AF544" t="n">
        <v>16</v>
      </c>
      <c r="AG544" t="n">
        <v>17</v>
      </c>
      <c r="AH544" t="n">
        <v>8</v>
      </c>
      <c r="AI544" t="n">
        <v>8</v>
      </c>
      <c r="AJ544" t="n">
        <v>20</v>
      </c>
      <c r="AK544" t="n">
        <v>21</v>
      </c>
      <c r="AL544" t="n">
        <v>8</v>
      </c>
      <c r="AM544" t="n">
        <v>8</v>
      </c>
      <c r="AN544" t="n">
        <v>0</v>
      </c>
      <c r="AO544" t="n">
        <v>0</v>
      </c>
      <c r="AP544" t="inlineStr">
        <is>
          <t>No</t>
        </is>
      </c>
      <c r="AQ544" t="inlineStr">
        <is>
          <t>Yes</t>
        </is>
      </c>
      <c r="AR544">
        <f>HYPERLINK("http://catalog.hathitrust.org/Record/000350903","HathiTrust Record")</f>
        <v/>
      </c>
      <c r="AS544">
        <f>HYPERLINK("https://creighton-primo.hosted.exlibrisgroup.com/primo-explore/search?tab=default_tab&amp;search_scope=EVERYTHING&amp;vid=01CRU&amp;lang=en_US&amp;offset=0&amp;query=any,contains,991000137999702656","Catalog Record")</f>
        <v/>
      </c>
      <c r="AT544">
        <f>HYPERLINK("http://www.worldcat.org/oclc/57215","WorldCat Record")</f>
        <v/>
      </c>
      <c r="AU544" t="inlineStr">
        <is>
          <t>4927285319:eng</t>
        </is>
      </c>
      <c r="AV544" t="inlineStr">
        <is>
          <t>57215</t>
        </is>
      </c>
      <c r="AW544" t="inlineStr">
        <is>
          <t>991000137999702656</t>
        </is>
      </c>
      <c r="AX544" t="inlineStr">
        <is>
          <t>991000137999702656</t>
        </is>
      </c>
      <c r="AY544" t="inlineStr">
        <is>
          <t>2261768580002656</t>
        </is>
      </c>
      <c r="AZ544" t="inlineStr">
        <is>
          <t>BOOK</t>
        </is>
      </c>
      <c r="BB544" t="inlineStr">
        <is>
          <t>9780870241277</t>
        </is>
      </c>
      <c r="BC544" t="inlineStr">
        <is>
          <t>32285000455617</t>
        </is>
      </c>
      <c r="BD544" t="inlineStr">
        <is>
          <t>893230900</t>
        </is>
      </c>
    </row>
    <row r="545">
      <c r="A545" t="inlineStr">
        <is>
          <t>No</t>
        </is>
      </c>
      <c r="B545" t="inlineStr">
        <is>
          <t>DD119 .W4 1971</t>
        </is>
      </c>
      <c r="C545" t="inlineStr">
        <is>
          <t>0                      DD 0119000W  4           1971</t>
        </is>
      </c>
      <c r="D545" t="inlineStr">
        <is>
          <t>The Pan-German League, 1890-1914, by Mildred S. Wertheimer.</t>
        </is>
      </c>
      <c r="F545" t="inlineStr">
        <is>
          <t>No</t>
        </is>
      </c>
      <c r="G545" t="inlineStr">
        <is>
          <t>1</t>
        </is>
      </c>
      <c r="H545" t="inlineStr">
        <is>
          <t>No</t>
        </is>
      </c>
      <c r="I545" t="inlineStr">
        <is>
          <t>No</t>
        </is>
      </c>
      <c r="J545" t="inlineStr">
        <is>
          <t>0</t>
        </is>
      </c>
      <c r="K545" t="inlineStr">
        <is>
          <t>Wertheimer, Mildred S. (Mildred Salz), 1896-</t>
        </is>
      </c>
      <c r="L545" t="inlineStr">
        <is>
          <t>New York, Octagon Books, 1971 [c1924]</t>
        </is>
      </c>
      <c r="M545" t="inlineStr">
        <is>
          <t>1971</t>
        </is>
      </c>
      <c r="O545" t="inlineStr">
        <is>
          <t>eng</t>
        </is>
      </c>
      <c r="P545" t="inlineStr">
        <is>
          <t>nyu</t>
        </is>
      </c>
      <c r="Q545" t="inlineStr">
        <is>
          <t>Studies in history, economics, and public law, no. 251</t>
        </is>
      </c>
      <c r="R545" t="inlineStr">
        <is>
          <t xml:space="preserve">DD </t>
        </is>
      </c>
      <c r="S545" t="n">
        <v>1</v>
      </c>
      <c r="T545" t="n">
        <v>1</v>
      </c>
      <c r="U545" t="inlineStr">
        <is>
          <t>2004-01-28</t>
        </is>
      </c>
      <c r="V545" t="inlineStr">
        <is>
          <t>2004-01-28</t>
        </is>
      </c>
      <c r="W545" t="inlineStr">
        <is>
          <t>1996-11-21</t>
        </is>
      </c>
      <c r="X545" t="inlineStr">
        <is>
          <t>1996-11-21</t>
        </is>
      </c>
      <c r="Y545" t="n">
        <v>335</v>
      </c>
      <c r="Z545" t="n">
        <v>287</v>
      </c>
      <c r="AA545" t="n">
        <v>664</v>
      </c>
      <c r="AB545" t="n">
        <v>1</v>
      </c>
      <c r="AC545" t="n">
        <v>4</v>
      </c>
      <c r="AD545" t="n">
        <v>11</v>
      </c>
      <c r="AE545" t="n">
        <v>37</v>
      </c>
      <c r="AF545" t="n">
        <v>6</v>
      </c>
      <c r="AG545" t="n">
        <v>14</v>
      </c>
      <c r="AH545" t="n">
        <v>2</v>
      </c>
      <c r="AI545" t="n">
        <v>8</v>
      </c>
      <c r="AJ545" t="n">
        <v>8</v>
      </c>
      <c r="AK545" t="n">
        <v>20</v>
      </c>
      <c r="AL545" t="n">
        <v>0</v>
      </c>
      <c r="AM545" t="n">
        <v>2</v>
      </c>
      <c r="AN545" t="n">
        <v>0</v>
      </c>
      <c r="AO545" t="n">
        <v>5</v>
      </c>
      <c r="AP545" t="inlineStr">
        <is>
          <t>No</t>
        </is>
      </c>
      <c r="AQ545" t="inlineStr">
        <is>
          <t>No</t>
        </is>
      </c>
      <c r="AS545">
        <f>HYPERLINK("https://creighton-primo.hosted.exlibrisgroup.com/primo-explore/search?tab=default_tab&amp;search_scope=EVERYTHING&amp;vid=01CRU&amp;lang=en_US&amp;offset=0&amp;query=any,contains,991000894109702656","Catalog Record")</f>
        <v/>
      </c>
      <c r="AT545">
        <f>HYPERLINK("http://www.worldcat.org/oclc/155256","WorldCat Record")</f>
        <v/>
      </c>
      <c r="AU545" t="inlineStr">
        <is>
          <t>1185833:eng</t>
        </is>
      </c>
      <c r="AV545" t="inlineStr">
        <is>
          <t>155256</t>
        </is>
      </c>
      <c r="AW545" t="inlineStr">
        <is>
          <t>991000894109702656</t>
        </is>
      </c>
      <c r="AX545" t="inlineStr">
        <is>
          <t>991000894109702656</t>
        </is>
      </c>
      <c r="AY545" t="inlineStr">
        <is>
          <t>2256663130002656</t>
        </is>
      </c>
      <c r="AZ545" t="inlineStr">
        <is>
          <t>BOOK</t>
        </is>
      </c>
      <c r="BB545" t="inlineStr">
        <is>
          <t>9780374983529</t>
        </is>
      </c>
      <c r="BC545" t="inlineStr">
        <is>
          <t>32285002381977</t>
        </is>
      </c>
      <c r="BD545" t="inlineStr">
        <is>
          <t>893502912</t>
        </is>
      </c>
    </row>
    <row r="546">
      <c r="A546" t="inlineStr">
        <is>
          <t>No</t>
        </is>
      </c>
      <c r="B546" t="inlineStr">
        <is>
          <t>DD120.G7 S73 2001</t>
        </is>
      </c>
      <c r="C546" t="inlineStr">
        <is>
          <t>0                      DD 0120000G  7                  S  73          2001</t>
        </is>
      </c>
      <c r="D546" t="inlineStr">
        <is>
          <t>German anglophobia and the Great War, 1914-1918 / Matthew Stibbe.</t>
        </is>
      </c>
      <c r="F546" t="inlineStr">
        <is>
          <t>No</t>
        </is>
      </c>
      <c r="G546" t="inlineStr">
        <is>
          <t>1</t>
        </is>
      </c>
      <c r="H546" t="inlineStr">
        <is>
          <t>No</t>
        </is>
      </c>
      <c r="I546" t="inlineStr">
        <is>
          <t>No</t>
        </is>
      </c>
      <c r="J546" t="inlineStr">
        <is>
          <t>0</t>
        </is>
      </c>
      <c r="K546" t="inlineStr">
        <is>
          <t>Stibbe, Matthew.</t>
        </is>
      </c>
      <c r="L546" t="inlineStr">
        <is>
          <t>Cambridge ; New York : Cambridge University Press, 2001.</t>
        </is>
      </c>
      <c r="M546" t="inlineStr">
        <is>
          <t>2001</t>
        </is>
      </c>
      <c r="O546" t="inlineStr">
        <is>
          <t>eng</t>
        </is>
      </c>
      <c r="P546" t="inlineStr">
        <is>
          <t>enk</t>
        </is>
      </c>
      <c r="Q546" t="inlineStr">
        <is>
          <t>Studies in the social and cultural history of modern warfare ; 11</t>
        </is>
      </c>
      <c r="R546" t="inlineStr">
        <is>
          <t xml:space="preserve">DD </t>
        </is>
      </c>
      <c r="S546" t="n">
        <v>3</v>
      </c>
      <c r="T546" t="n">
        <v>3</v>
      </c>
      <c r="U546" t="inlineStr">
        <is>
          <t>2004-03-31</t>
        </is>
      </c>
      <c r="V546" t="inlineStr">
        <is>
          <t>2004-03-31</t>
        </is>
      </c>
      <c r="W546" t="inlineStr">
        <is>
          <t>2002-04-29</t>
        </is>
      </c>
      <c r="X546" t="inlineStr">
        <is>
          <t>2002-04-29</t>
        </is>
      </c>
      <c r="Y546" t="n">
        <v>346</v>
      </c>
      <c r="Z546" t="n">
        <v>257</v>
      </c>
      <c r="AA546" t="n">
        <v>262</v>
      </c>
      <c r="AB546" t="n">
        <v>3</v>
      </c>
      <c r="AC546" t="n">
        <v>3</v>
      </c>
      <c r="AD546" t="n">
        <v>16</v>
      </c>
      <c r="AE546" t="n">
        <v>17</v>
      </c>
      <c r="AF546" t="n">
        <v>6</v>
      </c>
      <c r="AG546" t="n">
        <v>6</v>
      </c>
      <c r="AH546" t="n">
        <v>5</v>
      </c>
      <c r="AI546" t="n">
        <v>6</v>
      </c>
      <c r="AJ546" t="n">
        <v>8</v>
      </c>
      <c r="AK546" t="n">
        <v>9</v>
      </c>
      <c r="AL546" t="n">
        <v>2</v>
      </c>
      <c r="AM546" t="n">
        <v>2</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HYPERLINK("https://creighton-primo.hosted.exlibrisgroup.com/primo-explore/search?tab=default_tab&amp;search_scope=EVERYTHING&amp;vid=01CRU&amp;lang=en_US&amp;offset=0&amp;query=any,contains,991003761379702656","Catalog Record")</f>
        <v/>
      </c>
      <c r="AT546">
        <f>HYPERLINK("http://www.worldcat.org/oclc/46600277","WorldCat Record")</f>
        <v/>
      </c>
      <c r="AU546" t="inlineStr">
        <is>
          <t>35551486:eng</t>
        </is>
      </c>
      <c r="AV546" t="inlineStr">
        <is>
          <t>46600277</t>
        </is>
      </c>
      <c r="AW546" t="inlineStr">
        <is>
          <t>991003761379702656</t>
        </is>
      </c>
      <c r="AX546" t="inlineStr">
        <is>
          <t>991003761379702656</t>
        </is>
      </c>
      <c r="AY546" t="inlineStr">
        <is>
          <t>2267150300002656</t>
        </is>
      </c>
      <c r="AZ546" t="inlineStr">
        <is>
          <t>BOOK</t>
        </is>
      </c>
      <c r="BB546" t="inlineStr">
        <is>
          <t>9780521782968</t>
        </is>
      </c>
      <c r="BC546" t="inlineStr">
        <is>
          <t>32285004484266</t>
        </is>
      </c>
      <c r="BD546" t="inlineStr">
        <is>
          <t>893592862</t>
        </is>
      </c>
    </row>
    <row r="547">
      <c r="A547" t="inlineStr">
        <is>
          <t>No</t>
        </is>
      </c>
      <c r="B547" t="inlineStr">
        <is>
          <t>DD16 .F6 1994</t>
        </is>
      </c>
      <c r="C547" t="inlineStr">
        <is>
          <t>0                      DD 0016000F  6           1994</t>
        </is>
      </c>
      <c r="D547" t="inlineStr">
        <is>
          <t>Fodor's 94 Germany / editor, David Low.</t>
        </is>
      </c>
      <c r="F547" t="inlineStr">
        <is>
          <t>No</t>
        </is>
      </c>
      <c r="G547" t="inlineStr">
        <is>
          <t>1</t>
        </is>
      </c>
      <c r="H547" t="inlineStr">
        <is>
          <t>No</t>
        </is>
      </c>
      <c r="I547" t="inlineStr">
        <is>
          <t>No</t>
        </is>
      </c>
      <c r="J547" t="inlineStr">
        <is>
          <t>0</t>
        </is>
      </c>
      <c r="L547" t="inlineStr">
        <is>
          <t>New York, N.Y. : Fodor's Travel Publications, Inc., c1993.</t>
        </is>
      </c>
      <c r="M547" t="inlineStr">
        <is>
          <t>1993</t>
        </is>
      </c>
      <c r="O547" t="inlineStr">
        <is>
          <t>eng</t>
        </is>
      </c>
      <c r="P547" t="inlineStr">
        <is>
          <t>nyu</t>
        </is>
      </c>
      <c r="R547" t="inlineStr">
        <is>
          <t xml:space="preserve">DD </t>
        </is>
      </c>
      <c r="S547" t="n">
        <v>1</v>
      </c>
      <c r="T547" t="n">
        <v>1</v>
      </c>
      <c r="U547" t="inlineStr">
        <is>
          <t>2004-10-12</t>
        </is>
      </c>
      <c r="V547" t="inlineStr">
        <is>
          <t>2004-10-12</t>
        </is>
      </c>
      <c r="W547" t="inlineStr">
        <is>
          <t>1994-12-14</t>
        </is>
      </c>
      <c r="X547" t="inlineStr">
        <is>
          <t>1994-12-14</t>
        </is>
      </c>
      <c r="Y547" t="n">
        <v>68</v>
      </c>
      <c r="Z547" t="n">
        <v>51</v>
      </c>
      <c r="AA547" t="n">
        <v>51</v>
      </c>
      <c r="AB547" t="n">
        <v>1</v>
      </c>
      <c r="AC547" t="n">
        <v>1</v>
      </c>
      <c r="AD547" t="n">
        <v>0</v>
      </c>
      <c r="AE547" t="n">
        <v>0</v>
      </c>
      <c r="AF547" t="n">
        <v>0</v>
      </c>
      <c r="AG547" t="n">
        <v>0</v>
      </c>
      <c r="AH547" t="n">
        <v>0</v>
      </c>
      <c r="AI547" t="n">
        <v>0</v>
      </c>
      <c r="AJ547" t="n">
        <v>0</v>
      </c>
      <c r="AK547" t="n">
        <v>0</v>
      </c>
      <c r="AL547" t="n">
        <v>0</v>
      </c>
      <c r="AM547" t="n">
        <v>0</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HYPERLINK("https://creighton-primo.hosted.exlibrisgroup.com/primo-explore/search?tab=default_tab&amp;search_scope=EVERYTHING&amp;vid=01CRU&amp;lang=en_US&amp;offset=0&amp;query=any,contains,991002520739702656","Catalog Record")</f>
        <v/>
      </c>
      <c r="AT547">
        <f>HYPERLINK("http://www.worldcat.org/oclc/28988906","WorldCat Record")</f>
        <v/>
      </c>
      <c r="AU547" t="inlineStr">
        <is>
          <t>22469113:eng</t>
        </is>
      </c>
      <c r="AV547" t="inlineStr">
        <is>
          <t>28988906</t>
        </is>
      </c>
      <c r="AW547" t="inlineStr">
        <is>
          <t>991002520739702656</t>
        </is>
      </c>
      <c r="AX547" t="inlineStr">
        <is>
          <t>991002520739702656</t>
        </is>
      </c>
      <c r="AY547" t="inlineStr">
        <is>
          <t>2267082070002656</t>
        </is>
      </c>
      <c r="AZ547" t="inlineStr">
        <is>
          <t>BOOK</t>
        </is>
      </c>
      <c r="BB547" t="inlineStr">
        <is>
          <t>9780679025177</t>
        </is>
      </c>
      <c r="BC547" t="inlineStr">
        <is>
          <t>32285001977254</t>
        </is>
      </c>
      <c r="BD547" t="inlineStr">
        <is>
          <t>893716561</t>
        </is>
      </c>
    </row>
    <row r="548">
      <c r="A548" t="inlineStr">
        <is>
          <t>No</t>
        </is>
      </c>
      <c r="B548" t="inlineStr">
        <is>
          <t>DD175 .H62</t>
        </is>
      </c>
      <c r="C548" t="inlineStr">
        <is>
          <t>0                      DD 0175000H  62</t>
        </is>
      </c>
      <c r="D548" t="inlineStr">
        <is>
          <t>A history of modern Germany.</t>
        </is>
      </c>
      <c r="E548" t="inlineStr">
        <is>
          <t>V. 1</t>
        </is>
      </c>
      <c r="F548" t="inlineStr">
        <is>
          <t>Yes</t>
        </is>
      </c>
      <c r="G548" t="inlineStr">
        <is>
          <t>1</t>
        </is>
      </c>
      <c r="H548" t="inlineStr">
        <is>
          <t>No</t>
        </is>
      </c>
      <c r="I548" t="inlineStr">
        <is>
          <t>No</t>
        </is>
      </c>
      <c r="J548" t="inlineStr">
        <is>
          <t>0</t>
        </is>
      </c>
      <c r="K548" t="inlineStr">
        <is>
          <t>Holborn, Hajo, 1902-1969.</t>
        </is>
      </c>
      <c r="L548" t="inlineStr">
        <is>
          <t>New York : A. A. Knopf, 1959-69.</t>
        </is>
      </c>
      <c r="M548" t="inlineStr">
        <is>
          <t>1959</t>
        </is>
      </c>
      <c r="N548" t="inlineStr">
        <is>
          <t>[1st ed.]</t>
        </is>
      </c>
      <c r="O548" t="inlineStr">
        <is>
          <t>eng</t>
        </is>
      </c>
      <c r="P548" t="inlineStr">
        <is>
          <t>nyu</t>
        </is>
      </c>
      <c r="R548" t="inlineStr">
        <is>
          <t xml:space="preserve">DD </t>
        </is>
      </c>
      <c r="S548" t="n">
        <v>0</v>
      </c>
      <c r="T548" t="n">
        <v>3</v>
      </c>
      <c r="V548" t="inlineStr">
        <is>
          <t>2003-09-18</t>
        </is>
      </c>
      <c r="W548" t="inlineStr">
        <is>
          <t>1997-02-21</t>
        </is>
      </c>
      <c r="X548" t="inlineStr">
        <is>
          <t>1997-02-21</t>
        </is>
      </c>
      <c r="Y548" t="n">
        <v>1777</v>
      </c>
      <c r="Z548" t="n">
        <v>1651</v>
      </c>
      <c r="AA548" t="n">
        <v>1791</v>
      </c>
      <c r="AB548" t="n">
        <v>14</v>
      </c>
      <c r="AC548" t="n">
        <v>14</v>
      </c>
      <c r="AD548" t="n">
        <v>58</v>
      </c>
      <c r="AE548" t="n">
        <v>61</v>
      </c>
      <c r="AF548" t="n">
        <v>24</v>
      </c>
      <c r="AG548" t="n">
        <v>25</v>
      </c>
      <c r="AH548" t="n">
        <v>11</v>
      </c>
      <c r="AI548" t="n">
        <v>11</v>
      </c>
      <c r="AJ548" t="n">
        <v>24</v>
      </c>
      <c r="AK548" t="n">
        <v>25</v>
      </c>
      <c r="AL548" t="n">
        <v>12</v>
      </c>
      <c r="AM548" t="n">
        <v>12</v>
      </c>
      <c r="AN548" t="n">
        <v>0</v>
      </c>
      <c r="AO548" t="n">
        <v>1</v>
      </c>
      <c r="AP548" t="inlineStr">
        <is>
          <t>No</t>
        </is>
      </c>
      <c r="AQ548" t="inlineStr">
        <is>
          <t>Yes</t>
        </is>
      </c>
      <c r="AR548">
        <f>HYPERLINK("http://catalog.hathitrust.org/Record/000447583","HathiTrust Record")</f>
        <v/>
      </c>
      <c r="AS548">
        <f>HYPERLINK("https://creighton-primo.hosted.exlibrisgroup.com/primo-explore/search?tab=default_tab&amp;search_scope=EVERYTHING&amp;vid=01CRU&amp;lang=en_US&amp;offset=0&amp;query=any,contains,991002691629702656","Catalog Record")</f>
        <v/>
      </c>
      <c r="AT548">
        <f>HYPERLINK("http://www.worldcat.org/oclc/401791","WorldCat Record")</f>
        <v/>
      </c>
      <c r="AU548" t="inlineStr">
        <is>
          <t>4164183977:eng</t>
        </is>
      </c>
      <c r="AV548" t="inlineStr">
        <is>
          <t>401791</t>
        </is>
      </c>
      <c r="AW548" t="inlineStr">
        <is>
          <t>991002691629702656</t>
        </is>
      </c>
      <c r="AX548" t="inlineStr">
        <is>
          <t>991002691629702656</t>
        </is>
      </c>
      <c r="AY548" t="inlineStr">
        <is>
          <t>2268282380002656</t>
        </is>
      </c>
      <c r="AZ548" t="inlineStr">
        <is>
          <t>BOOK</t>
        </is>
      </c>
      <c r="BC548" t="inlineStr">
        <is>
          <t>32285002468485</t>
        </is>
      </c>
      <c r="BD548" t="inlineStr">
        <is>
          <t>893773920</t>
        </is>
      </c>
    </row>
    <row r="549">
      <c r="A549" t="inlineStr">
        <is>
          <t>No</t>
        </is>
      </c>
      <c r="B549" t="inlineStr">
        <is>
          <t>DD175 .H62</t>
        </is>
      </c>
      <c r="C549" t="inlineStr">
        <is>
          <t>0                      DD 0175000H  62</t>
        </is>
      </c>
      <c r="D549" t="inlineStr">
        <is>
          <t>A history of modern Germany.</t>
        </is>
      </c>
      <c r="E549" t="inlineStr">
        <is>
          <t>V. 3</t>
        </is>
      </c>
      <c r="F549" t="inlineStr">
        <is>
          <t>Yes</t>
        </is>
      </c>
      <c r="G549" t="inlineStr">
        <is>
          <t>1</t>
        </is>
      </c>
      <c r="H549" t="inlineStr">
        <is>
          <t>No</t>
        </is>
      </c>
      <c r="I549" t="inlineStr">
        <is>
          <t>No</t>
        </is>
      </c>
      <c r="J549" t="inlineStr">
        <is>
          <t>0</t>
        </is>
      </c>
      <c r="K549" t="inlineStr">
        <is>
          <t>Holborn, Hajo, 1902-1969.</t>
        </is>
      </c>
      <c r="L549" t="inlineStr">
        <is>
          <t>New York : A. A. Knopf, 1959-69.</t>
        </is>
      </c>
      <c r="M549" t="inlineStr">
        <is>
          <t>1959</t>
        </is>
      </c>
      <c r="N549" t="inlineStr">
        <is>
          <t>[1st ed.]</t>
        </is>
      </c>
      <c r="O549" t="inlineStr">
        <is>
          <t>eng</t>
        </is>
      </c>
      <c r="P549" t="inlineStr">
        <is>
          <t>nyu</t>
        </is>
      </c>
      <c r="R549" t="inlineStr">
        <is>
          <t xml:space="preserve">DD </t>
        </is>
      </c>
      <c r="S549" t="n">
        <v>1</v>
      </c>
      <c r="T549" t="n">
        <v>3</v>
      </c>
      <c r="U549" t="inlineStr">
        <is>
          <t>2003-09-18</t>
        </is>
      </c>
      <c r="V549" t="inlineStr">
        <is>
          <t>2003-09-18</t>
        </is>
      </c>
      <c r="W549" t="inlineStr">
        <is>
          <t>1997-02-21</t>
        </is>
      </c>
      <c r="X549" t="inlineStr">
        <is>
          <t>1997-02-21</t>
        </is>
      </c>
      <c r="Y549" t="n">
        <v>1777</v>
      </c>
      <c r="Z549" t="n">
        <v>1651</v>
      </c>
      <c r="AA549" t="n">
        <v>1791</v>
      </c>
      <c r="AB549" t="n">
        <v>14</v>
      </c>
      <c r="AC549" t="n">
        <v>14</v>
      </c>
      <c r="AD549" t="n">
        <v>58</v>
      </c>
      <c r="AE549" t="n">
        <v>61</v>
      </c>
      <c r="AF549" t="n">
        <v>24</v>
      </c>
      <c r="AG549" t="n">
        <v>25</v>
      </c>
      <c r="AH549" t="n">
        <v>11</v>
      </c>
      <c r="AI549" t="n">
        <v>11</v>
      </c>
      <c r="AJ549" t="n">
        <v>24</v>
      </c>
      <c r="AK549" t="n">
        <v>25</v>
      </c>
      <c r="AL549" t="n">
        <v>12</v>
      </c>
      <c r="AM549" t="n">
        <v>12</v>
      </c>
      <c r="AN549" t="n">
        <v>0</v>
      </c>
      <c r="AO549" t="n">
        <v>1</v>
      </c>
      <c r="AP549" t="inlineStr">
        <is>
          <t>No</t>
        </is>
      </c>
      <c r="AQ549" t="inlineStr">
        <is>
          <t>Yes</t>
        </is>
      </c>
      <c r="AR549">
        <f>HYPERLINK("http://catalog.hathitrust.org/Record/000447583","HathiTrust Record")</f>
        <v/>
      </c>
      <c r="AS549">
        <f>HYPERLINK("https://creighton-primo.hosted.exlibrisgroup.com/primo-explore/search?tab=default_tab&amp;search_scope=EVERYTHING&amp;vid=01CRU&amp;lang=en_US&amp;offset=0&amp;query=any,contains,991002691629702656","Catalog Record")</f>
        <v/>
      </c>
      <c r="AT549">
        <f>HYPERLINK("http://www.worldcat.org/oclc/401791","WorldCat Record")</f>
        <v/>
      </c>
      <c r="AU549" t="inlineStr">
        <is>
          <t>4164183977:eng</t>
        </is>
      </c>
      <c r="AV549" t="inlineStr">
        <is>
          <t>401791</t>
        </is>
      </c>
      <c r="AW549" t="inlineStr">
        <is>
          <t>991002691629702656</t>
        </is>
      </c>
      <c r="AX549" t="inlineStr">
        <is>
          <t>991002691629702656</t>
        </is>
      </c>
      <c r="AY549" t="inlineStr">
        <is>
          <t>2268282380002656</t>
        </is>
      </c>
      <c r="AZ549" t="inlineStr">
        <is>
          <t>BOOK</t>
        </is>
      </c>
      <c r="BC549" t="inlineStr">
        <is>
          <t>32285002468493</t>
        </is>
      </c>
      <c r="BD549" t="inlineStr">
        <is>
          <t>893809621</t>
        </is>
      </c>
    </row>
    <row r="550">
      <c r="A550" t="inlineStr">
        <is>
          <t>No</t>
        </is>
      </c>
      <c r="B550" t="inlineStr">
        <is>
          <t>DD175 .H62</t>
        </is>
      </c>
      <c r="C550" t="inlineStr">
        <is>
          <t>0                      DD 0175000H  62</t>
        </is>
      </c>
      <c r="D550" t="inlineStr">
        <is>
          <t>A history of modern Germany.</t>
        </is>
      </c>
      <c r="E550" t="inlineStr">
        <is>
          <t>V. 2</t>
        </is>
      </c>
      <c r="F550" t="inlineStr">
        <is>
          <t>Yes</t>
        </is>
      </c>
      <c r="G550" t="inlineStr">
        <is>
          <t>1</t>
        </is>
      </c>
      <c r="H550" t="inlineStr">
        <is>
          <t>No</t>
        </is>
      </c>
      <c r="I550" t="inlineStr">
        <is>
          <t>No</t>
        </is>
      </c>
      <c r="J550" t="inlineStr">
        <is>
          <t>0</t>
        </is>
      </c>
      <c r="K550" t="inlineStr">
        <is>
          <t>Holborn, Hajo, 1902-1969.</t>
        </is>
      </c>
      <c r="L550" t="inlineStr">
        <is>
          <t>New York : A. A. Knopf, 1959-69.</t>
        </is>
      </c>
      <c r="M550" t="inlineStr">
        <is>
          <t>1959</t>
        </is>
      </c>
      <c r="N550" t="inlineStr">
        <is>
          <t>[1st ed.]</t>
        </is>
      </c>
      <c r="O550" t="inlineStr">
        <is>
          <t>eng</t>
        </is>
      </c>
      <c r="P550" t="inlineStr">
        <is>
          <t>nyu</t>
        </is>
      </c>
      <c r="R550" t="inlineStr">
        <is>
          <t xml:space="preserve">DD </t>
        </is>
      </c>
      <c r="S550" t="n">
        <v>2</v>
      </c>
      <c r="T550" t="n">
        <v>3</v>
      </c>
      <c r="U550" t="inlineStr">
        <is>
          <t>2001-04-05</t>
        </is>
      </c>
      <c r="V550" t="inlineStr">
        <is>
          <t>2003-09-18</t>
        </is>
      </c>
      <c r="W550" t="inlineStr">
        <is>
          <t>1992-02-28</t>
        </is>
      </c>
      <c r="X550" t="inlineStr">
        <is>
          <t>1997-02-21</t>
        </is>
      </c>
      <c r="Y550" t="n">
        <v>1777</v>
      </c>
      <c r="Z550" t="n">
        <v>1651</v>
      </c>
      <c r="AA550" t="n">
        <v>1791</v>
      </c>
      <c r="AB550" t="n">
        <v>14</v>
      </c>
      <c r="AC550" t="n">
        <v>14</v>
      </c>
      <c r="AD550" t="n">
        <v>58</v>
      </c>
      <c r="AE550" t="n">
        <v>61</v>
      </c>
      <c r="AF550" t="n">
        <v>24</v>
      </c>
      <c r="AG550" t="n">
        <v>25</v>
      </c>
      <c r="AH550" t="n">
        <v>11</v>
      </c>
      <c r="AI550" t="n">
        <v>11</v>
      </c>
      <c r="AJ550" t="n">
        <v>24</v>
      </c>
      <c r="AK550" t="n">
        <v>25</v>
      </c>
      <c r="AL550" t="n">
        <v>12</v>
      </c>
      <c r="AM550" t="n">
        <v>12</v>
      </c>
      <c r="AN550" t="n">
        <v>0</v>
      </c>
      <c r="AO550" t="n">
        <v>1</v>
      </c>
      <c r="AP550" t="inlineStr">
        <is>
          <t>No</t>
        </is>
      </c>
      <c r="AQ550" t="inlineStr">
        <is>
          <t>Yes</t>
        </is>
      </c>
      <c r="AR550">
        <f>HYPERLINK("http://catalog.hathitrust.org/Record/000447583","HathiTrust Record")</f>
        <v/>
      </c>
      <c r="AS550">
        <f>HYPERLINK("https://creighton-primo.hosted.exlibrisgroup.com/primo-explore/search?tab=default_tab&amp;search_scope=EVERYTHING&amp;vid=01CRU&amp;lang=en_US&amp;offset=0&amp;query=any,contains,991002691629702656","Catalog Record")</f>
        <v/>
      </c>
      <c r="AT550">
        <f>HYPERLINK("http://www.worldcat.org/oclc/401791","WorldCat Record")</f>
        <v/>
      </c>
      <c r="AU550" t="inlineStr">
        <is>
          <t>4164183977:eng</t>
        </is>
      </c>
      <c r="AV550" t="inlineStr">
        <is>
          <t>401791</t>
        </is>
      </c>
      <c r="AW550" t="inlineStr">
        <is>
          <t>991002691629702656</t>
        </is>
      </c>
      <c r="AX550" t="inlineStr">
        <is>
          <t>991002691629702656</t>
        </is>
      </c>
      <c r="AY550" t="inlineStr">
        <is>
          <t>2268282380002656</t>
        </is>
      </c>
      <c r="AZ550" t="inlineStr">
        <is>
          <t>BOOK</t>
        </is>
      </c>
      <c r="BC550" t="inlineStr">
        <is>
          <t>32285000979129</t>
        </is>
      </c>
      <c r="BD550" t="inlineStr">
        <is>
          <t>893809622</t>
        </is>
      </c>
    </row>
    <row r="551">
      <c r="A551" t="inlineStr">
        <is>
          <t>No</t>
        </is>
      </c>
      <c r="B551" t="inlineStr">
        <is>
          <t>DD182 .E52 1956</t>
        </is>
      </c>
      <c r="C551" t="inlineStr">
        <is>
          <t>0                      DD 0182000E  52          1956</t>
        </is>
      </c>
      <c r="D551" t="inlineStr">
        <is>
          <t>The Peasant War in Germany / Frederick Engels.</t>
        </is>
      </c>
      <c r="F551" t="inlineStr">
        <is>
          <t>No</t>
        </is>
      </c>
      <c r="G551" t="inlineStr">
        <is>
          <t>1</t>
        </is>
      </c>
      <c r="H551" t="inlineStr">
        <is>
          <t>No</t>
        </is>
      </c>
      <c r="I551" t="inlineStr">
        <is>
          <t>No</t>
        </is>
      </c>
      <c r="J551" t="inlineStr">
        <is>
          <t>0</t>
        </is>
      </c>
      <c r="K551" t="inlineStr">
        <is>
          <t>Engels, Friedrich, 1820-1895.</t>
        </is>
      </c>
      <c r="L551" t="inlineStr">
        <is>
          <t>Moscow : Foreign Languages Pub. House, 1956.</t>
        </is>
      </c>
      <c r="M551" t="inlineStr">
        <is>
          <t>1956</t>
        </is>
      </c>
      <c r="O551" t="inlineStr">
        <is>
          <t>eng</t>
        </is>
      </c>
      <c r="P551" t="inlineStr">
        <is>
          <t xml:space="preserve">ru </t>
        </is>
      </c>
      <c r="R551" t="inlineStr">
        <is>
          <t xml:space="preserve">DD </t>
        </is>
      </c>
      <c r="S551" t="n">
        <v>3</v>
      </c>
      <c r="T551" t="n">
        <v>3</v>
      </c>
      <c r="U551" t="inlineStr">
        <is>
          <t>1997-09-08</t>
        </is>
      </c>
      <c r="V551" t="inlineStr">
        <is>
          <t>1997-09-08</t>
        </is>
      </c>
      <c r="W551" t="inlineStr">
        <is>
          <t>1996-12-03</t>
        </is>
      </c>
      <c r="X551" t="inlineStr">
        <is>
          <t>1996-12-03</t>
        </is>
      </c>
      <c r="Y551" t="n">
        <v>226</v>
      </c>
      <c r="Z551" t="n">
        <v>175</v>
      </c>
      <c r="AA551" t="n">
        <v>749</v>
      </c>
      <c r="AB551" t="n">
        <v>2</v>
      </c>
      <c r="AC551" t="n">
        <v>4</v>
      </c>
      <c r="AD551" t="n">
        <v>8</v>
      </c>
      <c r="AE551" t="n">
        <v>35</v>
      </c>
      <c r="AF551" t="n">
        <v>2</v>
      </c>
      <c r="AG551" t="n">
        <v>12</v>
      </c>
      <c r="AH551" t="n">
        <v>2</v>
      </c>
      <c r="AI551" t="n">
        <v>9</v>
      </c>
      <c r="AJ551" t="n">
        <v>5</v>
      </c>
      <c r="AK551" t="n">
        <v>20</v>
      </c>
      <c r="AL551" t="n">
        <v>1</v>
      </c>
      <c r="AM551" t="n">
        <v>3</v>
      </c>
      <c r="AN551" t="n">
        <v>0</v>
      </c>
      <c r="AO551" t="n">
        <v>0</v>
      </c>
      <c r="AP551" t="inlineStr">
        <is>
          <t>No</t>
        </is>
      </c>
      <c r="AQ551" t="inlineStr">
        <is>
          <t>Yes</t>
        </is>
      </c>
      <c r="AR551">
        <f>HYPERLINK("http://catalog.hathitrust.org/Record/003509900","HathiTrust Record")</f>
        <v/>
      </c>
      <c r="AS551">
        <f>HYPERLINK("https://creighton-primo.hosted.exlibrisgroup.com/primo-explore/search?tab=default_tab&amp;search_scope=EVERYTHING&amp;vid=01CRU&amp;lang=en_US&amp;offset=0&amp;query=any,contains,991003392029702656","Catalog Record")</f>
        <v/>
      </c>
      <c r="AT551">
        <f>HYPERLINK("http://www.worldcat.org/oclc/930358","WorldCat Record")</f>
        <v/>
      </c>
      <c r="AU551" t="inlineStr">
        <is>
          <t>4020169706:eng</t>
        </is>
      </c>
      <c r="AV551" t="inlineStr">
        <is>
          <t>930358</t>
        </is>
      </c>
      <c r="AW551" t="inlineStr">
        <is>
          <t>991003392029702656</t>
        </is>
      </c>
      <c r="AX551" t="inlineStr">
        <is>
          <t>991003392029702656</t>
        </is>
      </c>
      <c r="AY551" t="inlineStr">
        <is>
          <t>2269470770002656</t>
        </is>
      </c>
      <c r="AZ551" t="inlineStr">
        <is>
          <t>BOOK</t>
        </is>
      </c>
      <c r="BC551" t="inlineStr">
        <is>
          <t>32285002382652</t>
        </is>
      </c>
      <c r="BD551" t="inlineStr">
        <is>
          <t>893524773</t>
        </is>
      </c>
    </row>
    <row r="552">
      <c r="A552" t="inlineStr">
        <is>
          <t>No</t>
        </is>
      </c>
      <c r="B552" t="inlineStr">
        <is>
          <t>DD193 .B7</t>
        </is>
      </c>
      <c r="C552" t="inlineStr">
        <is>
          <t>0                      DD 0193000B  7</t>
        </is>
      </c>
      <c r="D552" t="inlineStr">
        <is>
          <t>Germany in the eighteenth century; the social background of the literary revival, by W.H. Bruford.</t>
        </is>
      </c>
      <c r="F552" t="inlineStr">
        <is>
          <t>No</t>
        </is>
      </c>
      <c r="G552" t="inlineStr">
        <is>
          <t>1</t>
        </is>
      </c>
      <c r="H552" t="inlineStr">
        <is>
          <t>No</t>
        </is>
      </c>
      <c r="I552" t="inlineStr">
        <is>
          <t>No</t>
        </is>
      </c>
      <c r="J552" t="inlineStr">
        <is>
          <t>0</t>
        </is>
      </c>
      <c r="K552" t="inlineStr">
        <is>
          <t>Bruford, Walter Horace, 1894-1988.</t>
        </is>
      </c>
      <c r="L552" t="inlineStr">
        <is>
          <t>Cambridge [Eng.] The University Press 1935.</t>
        </is>
      </c>
      <c r="M552" t="inlineStr">
        <is>
          <t>1935</t>
        </is>
      </c>
      <c r="O552" t="inlineStr">
        <is>
          <t>eng</t>
        </is>
      </c>
      <c r="P552" t="inlineStr">
        <is>
          <t>enk</t>
        </is>
      </c>
      <c r="R552" t="inlineStr">
        <is>
          <t xml:space="preserve">DD </t>
        </is>
      </c>
      <c r="S552" t="n">
        <v>1</v>
      </c>
      <c r="T552" t="n">
        <v>1</v>
      </c>
      <c r="U552" t="inlineStr">
        <is>
          <t>2009-04-24</t>
        </is>
      </c>
      <c r="V552" t="inlineStr">
        <is>
          <t>2009-04-24</t>
        </is>
      </c>
      <c r="W552" t="inlineStr">
        <is>
          <t>1996-12-03</t>
        </is>
      </c>
      <c r="X552" t="inlineStr">
        <is>
          <t>1996-12-03</t>
        </is>
      </c>
      <c r="Y552" t="n">
        <v>679</v>
      </c>
      <c r="Z552" t="n">
        <v>567</v>
      </c>
      <c r="AA552" t="n">
        <v>979</v>
      </c>
      <c r="AB552" t="n">
        <v>7</v>
      </c>
      <c r="AC552" t="n">
        <v>7</v>
      </c>
      <c r="AD552" t="n">
        <v>30</v>
      </c>
      <c r="AE552" t="n">
        <v>48</v>
      </c>
      <c r="AF552" t="n">
        <v>10</v>
      </c>
      <c r="AG552" t="n">
        <v>20</v>
      </c>
      <c r="AH552" t="n">
        <v>5</v>
      </c>
      <c r="AI552" t="n">
        <v>9</v>
      </c>
      <c r="AJ552" t="n">
        <v>15</v>
      </c>
      <c r="AK552" t="n">
        <v>23</v>
      </c>
      <c r="AL552" t="n">
        <v>6</v>
      </c>
      <c r="AM552" t="n">
        <v>6</v>
      </c>
      <c r="AN552" t="n">
        <v>0</v>
      </c>
      <c r="AO552" t="n">
        <v>1</v>
      </c>
      <c r="AP552" t="inlineStr">
        <is>
          <t>No</t>
        </is>
      </c>
      <c r="AQ552" t="inlineStr">
        <is>
          <t>Yes</t>
        </is>
      </c>
      <c r="AR552">
        <f>HYPERLINK("http://catalog.hathitrust.org/Record/006066903","HathiTrust Record")</f>
        <v/>
      </c>
      <c r="AS552">
        <f>HYPERLINK("https://creighton-primo.hosted.exlibrisgroup.com/primo-explore/search?tab=default_tab&amp;search_scope=EVERYTHING&amp;vid=01CRU&amp;lang=en_US&amp;offset=0&amp;query=any,contains,991001452389702656","Catalog Record")</f>
        <v/>
      </c>
      <c r="AT552">
        <f>HYPERLINK("http://www.worldcat.org/oclc/401084","WorldCat Record")</f>
        <v/>
      </c>
      <c r="AU552" t="inlineStr">
        <is>
          <t>149623766:eng</t>
        </is>
      </c>
      <c r="AV552" t="inlineStr">
        <is>
          <t>401084</t>
        </is>
      </c>
      <c r="AW552" t="inlineStr">
        <is>
          <t>991001452389702656</t>
        </is>
      </c>
      <c r="AX552" t="inlineStr">
        <is>
          <t>991001452389702656</t>
        </is>
      </c>
      <c r="AY552" t="inlineStr">
        <is>
          <t>2269275380002656</t>
        </is>
      </c>
      <c r="AZ552" t="inlineStr">
        <is>
          <t>BOOK</t>
        </is>
      </c>
      <c r="BC552" t="inlineStr">
        <is>
          <t>32285002382694</t>
        </is>
      </c>
      <c r="BD552" t="inlineStr">
        <is>
          <t>893261841</t>
        </is>
      </c>
    </row>
    <row r="553">
      <c r="A553" t="inlineStr">
        <is>
          <t>No</t>
        </is>
      </c>
      <c r="B553" t="inlineStr">
        <is>
          <t>DD193 .G33</t>
        </is>
      </c>
      <c r="C553" t="inlineStr">
        <is>
          <t>0                      DD 0193000G  33</t>
        </is>
      </c>
      <c r="D553" t="inlineStr">
        <is>
          <t>Reich and nation : the Holy Roman Empire as idea and reality, 1763-1806 / John G. Gagliardo.</t>
        </is>
      </c>
      <c r="F553" t="inlineStr">
        <is>
          <t>No</t>
        </is>
      </c>
      <c r="G553" t="inlineStr">
        <is>
          <t>1</t>
        </is>
      </c>
      <c r="H553" t="inlineStr">
        <is>
          <t>No</t>
        </is>
      </c>
      <c r="I553" t="inlineStr">
        <is>
          <t>No</t>
        </is>
      </c>
      <c r="J553" t="inlineStr">
        <is>
          <t>0</t>
        </is>
      </c>
      <c r="K553" t="inlineStr">
        <is>
          <t>Gagliardo, John G.</t>
        </is>
      </c>
      <c r="L553" t="inlineStr">
        <is>
          <t>Bloomington : Indiana University Press, c1980.</t>
        </is>
      </c>
      <c r="M553" t="inlineStr">
        <is>
          <t>1980</t>
        </is>
      </c>
      <c r="O553" t="inlineStr">
        <is>
          <t>eng</t>
        </is>
      </c>
      <c r="P553" t="inlineStr">
        <is>
          <t>inu</t>
        </is>
      </c>
      <c r="R553" t="inlineStr">
        <is>
          <t xml:space="preserve">DD </t>
        </is>
      </c>
      <c r="S553" t="n">
        <v>2</v>
      </c>
      <c r="T553" t="n">
        <v>2</v>
      </c>
      <c r="U553" t="inlineStr">
        <is>
          <t>1993-08-16</t>
        </is>
      </c>
      <c r="V553" t="inlineStr">
        <is>
          <t>1993-08-16</t>
        </is>
      </c>
      <c r="W553" t="inlineStr">
        <is>
          <t>1991-01-18</t>
        </is>
      </c>
      <c r="X553" t="inlineStr">
        <is>
          <t>1991-01-18</t>
        </is>
      </c>
      <c r="Y553" t="n">
        <v>616</v>
      </c>
      <c r="Z553" t="n">
        <v>476</v>
      </c>
      <c r="AA553" t="n">
        <v>480</v>
      </c>
      <c r="AB553" t="n">
        <v>4</v>
      </c>
      <c r="AC553" t="n">
        <v>4</v>
      </c>
      <c r="AD553" t="n">
        <v>26</v>
      </c>
      <c r="AE553" t="n">
        <v>26</v>
      </c>
      <c r="AF553" t="n">
        <v>10</v>
      </c>
      <c r="AG553" t="n">
        <v>10</v>
      </c>
      <c r="AH553" t="n">
        <v>9</v>
      </c>
      <c r="AI553" t="n">
        <v>9</v>
      </c>
      <c r="AJ553" t="n">
        <v>13</v>
      </c>
      <c r="AK553" t="n">
        <v>13</v>
      </c>
      <c r="AL553" t="n">
        <v>3</v>
      </c>
      <c r="AM553" t="n">
        <v>3</v>
      </c>
      <c r="AN553" t="n">
        <v>0</v>
      </c>
      <c r="AO553" t="n">
        <v>0</v>
      </c>
      <c r="AP553" t="inlineStr">
        <is>
          <t>No</t>
        </is>
      </c>
      <c r="AQ553" t="inlineStr">
        <is>
          <t>Yes</t>
        </is>
      </c>
      <c r="AR553">
        <f>HYPERLINK("http://catalog.hathitrust.org/Record/000693454","HathiTrust Record")</f>
        <v/>
      </c>
      <c r="AS553">
        <f>HYPERLINK("https://creighton-primo.hosted.exlibrisgroup.com/primo-explore/search?tab=default_tab&amp;search_scope=EVERYTHING&amp;vid=01CRU&amp;lang=en_US&amp;offset=0&amp;query=any,contains,991004844539702656","Catalog Record")</f>
        <v/>
      </c>
      <c r="AT553">
        <f>HYPERLINK("http://www.worldcat.org/oclc/5563434","WorldCat Record")</f>
        <v/>
      </c>
      <c r="AU553" t="inlineStr">
        <is>
          <t>18399778:eng</t>
        </is>
      </c>
      <c r="AV553" t="inlineStr">
        <is>
          <t>5563434</t>
        </is>
      </c>
      <c r="AW553" t="inlineStr">
        <is>
          <t>991004844539702656</t>
        </is>
      </c>
      <c r="AX553" t="inlineStr">
        <is>
          <t>991004844539702656</t>
        </is>
      </c>
      <c r="AY553" t="inlineStr">
        <is>
          <t>2268265370002656</t>
        </is>
      </c>
      <c r="AZ553" t="inlineStr">
        <is>
          <t>BOOK</t>
        </is>
      </c>
      <c r="BB553" t="inlineStr">
        <is>
          <t>9780253167736</t>
        </is>
      </c>
      <c r="BC553" t="inlineStr">
        <is>
          <t>32285000455765</t>
        </is>
      </c>
      <c r="BD553" t="inlineStr">
        <is>
          <t>893501020</t>
        </is>
      </c>
    </row>
    <row r="554">
      <c r="A554" t="inlineStr">
        <is>
          <t>No</t>
        </is>
      </c>
      <c r="B554" t="inlineStr">
        <is>
          <t>DD199 .F413 1968</t>
        </is>
      </c>
      <c r="C554" t="inlineStr">
        <is>
          <t>0                      DD 0199000F  413         1968</t>
        </is>
      </c>
      <c r="D554" t="inlineStr">
        <is>
          <t>Addresses to the German nation / Johann Gottlieb Fichte ; edited with an introd. by George Armstrong Kelly.</t>
        </is>
      </c>
      <c r="F554" t="inlineStr">
        <is>
          <t>No</t>
        </is>
      </c>
      <c r="G554" t="inlineStr">
        <is>
          <t>1</t>
        </is>
      </c>
      <c r="H554" t="inlineStr">
        <is>
          <t>No</t>
        </is>
      </c>
      <c r="I554" t="inlineStr">
        <is>
          <t>No</t>
        </is>
      </c>
      <c r="J554" t="inlineStr">
        <is>
          <t>0</t>
        </is>
      </c>
      <c r="K554" t="inlineStr">
        <is>
          <t>Fichte, Johann Gottlieb, 1762-1814.</t>
        </is>
      </c>
      <c r="L554" t="inlineStr">
        <is>
          <t>New York : Harper &amp; Row, [1968]</t>
        </is>
      </c>
      <c r="M554" t="inlineStr">
        <is>
          <t>1968</t>
        </is>
      </c>
      <c r="O554" t="inlineStr">
        <is>
          <t>eng</t>
        </is>
      </c>
      <c r="P554" t="inlineStr">
        <is>
          <t>nyu</t>
        </is>
      </c>
      <c r="Q554" t="inlineStr">
        <is>
          <t>European perspectives</t>
        </is>
      </c>
      <c r="R554" t="inlineStr">
        <is>
          <t xml:space="preserve">DD </t>
        </is>
      </c>
      <c r="S554" t="n">
        <v>1</v>
      </c>
      <c r="T554" t="n">
        <v>1</v>
      </c>
      <c r="U554" t="inlineStr">
        <is>
          <t>2004-03-04</t>
        </is>
      </c>
      <c r="V554" t="inlineStr">
        <is>
          <t>2004-03-04</t>
        </is>
      </c>
      <c r="W554" t="inlineStr">
        <is>
          <t>1991-01-18</t>
        </is>
      </c>
      <c r="X554" t="inlineStr">
        <is>
          <t>1991-01-18</t>
        </is>
      </c>
      <c r="Y554" t="n">
        <v>407</v>
      </c>
      <c r="Z554" t="n">
        <v>332</v>
      </c>
      <c r="AA554" t="n">
        <v>1018</v>
      </c>
      <c r="AB554" t="n">
        <v>2</v>
      </c>
      <c r="AC554" t="n">
        <v>13</v>
      </c>
      <c r="AD554" t="n">
        <v>14</v>
      </c>
      <c r="AE554" t="n">
        <v>50</v>
      </c>
      <c r="AF554" t="n">
        <v>4</v>
      </c>
      <c r="AG554" t="n">
        <v>19</v>
      </c>
      <c r="AH554" t="n">
        <v>4</v>
      </c>
      <c r="AI554" t="n">
        <v>11</v>
      </c>
      <c r="AJ554" t="n">
        <v>11</v>
      </c>
      <c r="AK554" t="n">
        <v>20</v>
      </c>
      <c r="AL554" t="n">
        <v>1</v>
      </c>
      <c r="AM554" t="n">
        <v>11</v>
      </c>
      <c r="AN554" t="n">
        <v>0</v>
      </c>
      <c r="AO554" t="n">
        <v>1</v>
      </c>
      <c r="AP554" t="inlineStr">
        <is>
          <t>No</t>
        </is>
      </c>
      <c r="AQ554" t="inlineStr">
        <is>
          <t>Yes</t>
        </is>
      </c>
      <c r="AR554">
        <f>HYPERLINK("http://catalog.hathitrust.org/Record/000415781","HathiTrust Record")</f>
        <v/>
      </c>
      <c r="AS554">
        <f>HYPERLINK("https://creighton-primo.hosted.exlibrisgroup.com/primo-explore/search?tab=default_tab&amp;search_scope=EVERYTHING&amp;vid=01CRU&amp;lang=en_US&amp;offset=0&amp;query=any,contains,991001084929702656","Catalog Record")</f>
        <v/>
      </c>
      <c r="AT554">
        <f>HYPERLINK("http://www.worldcat.org/oclc/179901","WorldCat Record")</f>
        <v/>
      </c>
      <c r="AU554" t="inlineStr">
        <is>
          <t>4202417188:eng</t>
        </is>
      </c>
      <c r="AV554" t="inlineStr">
        <is>
          <t>179901</t>
        </is>
      </c>
      <c r="AW554" t="inlineStr">
        <is>
          <t>991001084929702656</t>
        </is>
      </c>
      <c r="AX554" t="inlineStr">
        <is>
          <t>991001084929702656</t>
        </is>
      </c>
      <c r="AY554" t="inlineStr">
        <is>
          <t>2264936340002656</t>
        </is>
      </c>
      <c r="AZ554" t="inlineStr">
        <is>
          <t>BOOK</t>
        </is>
      </c>
      <c r="BC554" t="inlineStr">
        <is>
          <t>32285000455773</t>
        </is>
      </c>
      <c r="BD554" t="inlineStr">
        <is>
          <t>893237857</t>
        </is>
      </c>
    </row>
    <row r="555">
      <c r="A555" t="inlineStr">
        <is>
          <t>No</t>
        </is>
      </c>
      <c r="B555" t="inlineStr">
        <is>
          <t>DD203 .C73 1999</t>
        </is>
      </c>
      <c r="C555" t="inlineStr">
        <is>
          <t>0                      DD 0203000C  73          1999</t>
        </is>
      </c>
      <c r="D555" t="inlineStr">
        <is>
          <t>Politics and culture in modern Germany : essays from The New York review of books / Gordon A. Craig.</t>
        </is>
      </c>
      <c r="F555" t="inlineStr">
        <is>
          <t>No</t>
        </is>
      </c>
      <c r="G555" t="inlineStr">
        <is>
          <t>1</t>
        </is>
      </c>
      <c r="H555" t="inlineStr">
        <is>
          <t>No</t>
        </is>
      </c>
      <c r="I555" t="inlineStr">
        <is>
          <t>No</t>
        </is>
      </c>
      <c r="J555" t="inlineStr">
        <is>
          <t>0</t>
        </is>
      </c>
      <c r="K555" t="inlineStr">
        <is>
          <t>Craig, Gordon Alexander, 1913-2005.</t>
        </is>
      </c>
      <c r="L555" t="inlineStr">
        <is>
          <t>Palo Alto, Calif. : Society for the Promotion of Science and Scholarship, [1999?].</t>
        </is>
      </c>
      <c r="M555" t="inlineStr">
        <is>
          <t>1999</t>
        </is>
      </c>
      <c r="O555" t="inlineStr">
        <is>
          <t>eng</t>
        </is>
      </c>
      <c r="P555" t="inlineStr">
        <is>
          <t>cau</t>
        </is>
      </c>
      <c r="R555" t="inlineStr">
        <is>
          <t xml:space="preserve">DD </t>
        </is>
      </c>
      <c r="S555" t="n">
        <v>3</v>
      </c>
      <c r="T555" t="n">
        <v>3</v>
      </c>
      <c r="U555" t="inlineStr">
        <is>
          <t>2001-05-16</t>
        </is>
      </c>
      <c r="V555" t="inlineStr">
        <is>
          <t>2001-05-16</t>
        </is>
      </c>
      <c r="W555" t="inlineStr">
        <is>
          <t>2001-03-29</t>
        </is>
      </c>
      <c r="X555" t="inlineStr">
        <is>
          <t>2001-03-29</t>
        </is>
      </c>
      <c r="Y555" t="n">
        <v>235</v>
      </c>
      <c r="Z555" t="n">
        <v>191</v>
      </c>
      <c r="AA555" t="n">
        <v>195</v>
      </c>
      <c r="AB555" t="n">
        <v>2</v>
      </c>
      <c r="AC555" t="n">
        <v>2</v>
      </c>
      <c r="AD555" t="n">
        <v>8</v>
      </c>
      <c r="AE555" t="n">
        <v>8</v>
      </c>
      <c r="AF555" t="n">
        <v>3</v>
      </c>
      <c r="AG555" t="n">
        <v>3</v>
      </c>
      <c r="AH555" t="n">
        <v>3</v>
      </c>
      <c r="AI555" t="n">
        <v>3</v>
      </c>
      <c r="AJ555" t="n">
        <v>4</v>
      </c>
      <c r="AK555" t="n">
        <v>4</v>
      </c>
      <c r="AL555" t="n">
        <v>1</v>
      </c>
      <c r="AM555" t="n">
        <v>1</v>
      </c>
      <c r="AN555" t="n">
        <v>0</v>
      </c>
      <c r="AO555" t="n">
        <v>0</v>
      </c>
      <c r="AP555" t="inlineStr">
        <is>
          <t>No</t>
        </is>
      </c>
      <c r="AQ555" t="inlineStr">
        <is>
          <t>Yes</t>
        </is>
      </c>
      <c r="AR555">
        <f>HYPERLINK("http://catalog.hathitrust.org/Record/005937040","HathiTrust Record")</f>
        <v/>
      </c>
      <c r="AS555">
        <f>HYPERLINK("https://creighton-primo.hosted.exlibrisgroup.com/primo-explore/search?tab=default_tab&amp;search_scope=EVERYTHING&amp;vid=01CRU&amp;lang=en_US&amp;offset=0&amp;query=any,contains,991003515079702656","Catalog Record")</f>
        <v/>
      </c>
      <c r="AT555">
        <f>HYPERLINK("http://www.worldcat.org/oclc/42289630","WorldCat Record")</f>
        <v/>
      </c>
      <c r="AU555" t="inlineStr">
        <is>
          <t>815270204:eng</t>
        </is>
      </c>
      <c r="AV555" t="inlineStr">
        <is>
          <t>42289630</t>
        </is>
      </c>
      <c r="AW555" t="inlineStr">
        <is>
          <t>991003515079702656</t>
        </is>
      </c>
      <c r="AX555" t="inlineStr">
        <is>
          <t>991003515079702656</t>
        </is>
      </c>
      <c r="AY555" t="inlineStr">
        <is>
          <t>2267028190002656</t>
        </is>
      </c>
      <c r="AZ555" t="inlineStr">
        <is>
          <t>BOOK</t>
        </is>
      </c>
      <c r="BB555" t="inlineStr">
        <is>
          <t>9780930664213</t>
        </is>
      </c>
      <c r="BC555" t="inlineStr">
        <is>
          <t>32285004308663</t>
        </is>
      </c>
      <c r="BD555" t="inlineStr">
        <is>
          <t>893330367</t>
        </is>
      </c>
    </row>
    <row r="556">
      <c r="A556" t="inlineStr">
        <is>
          <t>No</t>
        </is>
      </c>
      <c r="B556" t="inlineStr">
        <is>
          <t>DD256.5 .H364</t>
        </is>
      </c>
      <c r="C556" t="inlineStr">
        <is>
          <t>0                      DD 0256500H  364</t>
        </is>
      </c>
      <c r="D556" t="inlineStr">
        <is>
          <t>NSDAP Hauptarchiv : guide to the Hoover Institution microfilm collection / compiled by Grete Heinz and Agnes F. Peterson.</t>
        </is>
      </c>
      <c r="F556" t="inlineStr">
        <is>
          <t>No</t>
        </is>
      </c>
      <c r="G556" t="inlineStr">
        <is>
          <t>1</t>
        </is>
      </c>
      <c r="H556" t="inlineStr">
        <is>
          <t>No</t>
        </is>
      </c>
      <c r="I556" t="inlineStr">
        <is>
          <t>No</t>
        </is>
      </c>
      <c r="J556" t="inlineStr">
        <is>
          <t>0</t>
        </is>
      </c>
      <c r="K556" t="inlineStr">
        <is>
          <t>Heinz, Grete.</t>
        </is>
      </c>
      <c r="L556" t="inlineStr">
        <is>
          <t>Stanford, Calif. : Hoover Institution on War, Revolution, and Peace, Stanford University, 1964.</t>
        </is>
      </c>
      <c r="M556" t="inlineStr">
        <is>
          <t>1964</t>
        </is>
      </c>
      <c r="O556" t="inlineStr">
        <is>
          <t>eng</t>
        </is>
      </c>
      <c r="P556" t="inlineStr">
        <is>
          <t>cau</t>
        </is>
      </c>
      <c r="Q556" t="inlineStr">
        <is>
          <t>Hoover Institution bibliographical series ; 17</t>
        </is>
      </c>
      <c r="R556" t="inlineStr">
        <is>
          <t xml:space="preserve">DD </t>
        </is>
      </c>
      <c r="S556" t="n">
        <v>0</v>
      </c>
      <c r="T556" t="n">
        <v>0</v>
      </c>
      <c r="U556" t="inlineStr">
        <is>
          <t>2006-06-13</t>
        </is>
      </c>
      <c r="V556" t="inlineStr">
        <is>
          <t>2006-06-13</t>
        </is>
      </c>
      <c r="W556" t="inlineStr">
        <is>
          <t>1993-11-04</t>
        </is>
      </c>
      <c r="X556" t="inlineStr">
        <is>
          <t>1993-11-04</t>
        </is>
      </c>
      <c r="Y556" t="n">
        <v>340</v>
      </c>
      <c r="Z556" t="n">
        <v>258</v>
      </c>
      <c r="AA556" t="n">
        <v>259</v>
      </c>
      <c r="AB556" t="n">
        <v>3</v>
      </c>
      <c r="AC556" t="n">
        <v>3</v>
      </c>
      <c r="AD556" t="n">
        <v>9</v>
      </c>
      <c r="AE556" t="n">
        <v>9</v>
      </c>
      <c r="AF556" t="n">
        <v>2</v>
      </c>
      <c r="AG556" t="n">
        <v>2</v>
      </c>
      <c r="AH556" t="n">
        <v>2</v>
      </c>
      <c r="AI556" t="n">
        <v>2</v>
      </c>
      <c r="AJ556" t="n">
        <v>6</v>
      </c>
      <c r="AK556" t="n">
        <v>6</v>
      </c>
      <c r="AL556" t="n">
        <v>2</v>
      </c>
      <c r="AM556" t="n">
        <v>2</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HYPERLINK("https://creighton-primo.hosted.exlibrisgroup.com/primo-explore/search?tab=default_tab&amp;search_scope=EVERYTHING&amp;vid=01CRU&amp;lang=en_US&amp;offset=0&amp;query=any,contains,991002707519702656","Catalog Record")</f>
        <v/>
      </c>
      <c r="AT556">
        <f>HYPERLINK("http://www.worldcat.org/oclc/407654","WorldCat Record")</f>
        <v/>
      </c>
      <c r="AU556" t="inlineStr">
        <is>
          <t>1440134:eng</t>
        </is>
      </c>
      <c r="AV556" t="inlineStr">
        <is>
          <t>407654</t>
        </is>
      </c>
      <c r="AW556" t="inlineStr">
        <is>
          <t>991002707519702656</t>
        </is>
      </c>
      <c r="AX556" t="inlineStr">
        <is>
          <t>991002707519702656</t>
        </is>
      </c>
      <c r="AY556" t="inlineStr">
        <is>
          <t>2261565010002656</t>
        </is>
      </c>
      <c r="AZ556" t="inlineStr">
        <is>
          <t>BOOK</t>
        </is>
      </c>
      <c r="BC556" t="inlineStr">
        <is>
          <t>32285001796415</t>
        </is>
      </c>
      <c r="BD556" t="inlineStr">
        <is>
          <t>893233320</t>
        </is>
      </c>
    </row>
    <row r="557">
      <c r="A557" t="inlineStr">
        <is>
          <t>No</t>
        </is>
      </c>
      <c r="B557" t="inlineStr">
        <is>
          <t>DD257.2 .W54 1989</t>
        </is>
      </c>
      <c r="C557" t="inlineStr">
        <is>
          <t>0                      DD 0257200W  54          1989</t>
        </is>
      </c>
      <c r="D557" t="inlineStr">
        <is>
          <t>The Americanization of Germany, 1945-1949 / Ralph Willett.</t>
        </is>
      </c>
      <c r="F557" t="inlineStr">
        <is>
          <t>No</t>
        </is>
      </c>
      <c r="G557" t="inlineStr">
        <is>
          <t>1</t>
        </is>
      </c>
      <c r="H557" t="inlineStr">
        <is>
          <t>No</t>
        </is>
      </c>
      <c r="I557" t="inlineStr">
        <is>
          <t>No</t>
        </is>
      </c>
      <c r="J557" t="inlineStr">
        <is>
          <t>0</t>
        </is>
      </c>
      <c r="K557" t="inlineStr">
        <is>
          <t>Willett, Ralph.</t>
        </is>
      </c>
      <c r="L557" t="inlineStr">
        <is>
          <t>London ; New York : Routledge, c1989.</t>
        </is>
      </c>
      <c r="M557" t="inlineStr">
        <is>
          <t>1989</t>
        </is>
      </c>
      <c r="O557" t="inlineStr">
        <is>
          <t>eng</t>
        </is>
      </c>
      <c r="P557" t="inlineStr">
        <is>
          <t>enk</t>
        </is>
      </c>
      <c r="Q557" t="inlineStr">
        <is>
          <t>Studies on film, television, and the media</t>
        </is>
      </c>
      <c r="R557" t="inlineStr">
        <is>
          <t xml:space="preserve">DD </t>
        </is>
      </c>
      <c r="S557" t="n">
        <v>0</v>
      </c>
      <c r="T557" t="n">
        <v>0</v>
      </c>
      <c r="U557" t="inlineStr">
        <is>
          <t>2005-03-22</t>
        </is>
      </c>
      <c r="V557" t="inlineStr">
        <is>
          <t>2005-03-22</t>
        </is>
      </c>
      <c r="W557" t="inlineStr">
        <is>
          <t>1989-11-16</t>
        </is>
      </c>
      <c r="X557" t="inlineStr">
        <is>
          <t>1989-11-16</t>
        </is>
      </c>
      <c r="Y557" t="n">
        <v>353</v>
      </c>
      <c r="Z557" t="n">
        <v>217</v>
      </c>
      <c r="AA557" t="n">
        <v>235</v>
      </c>
      <c r="AB557" t="n">
        <v>2</v>
      </c>
      <c r="AC557" t="n">
        <v>2</v>
      </c>
      <c r="AD557" t="n">
        <v>10</v>
      </c>
      <c r="AE557" t="n">
        <v>11</v>
      </c>
      <c r="AF557" t="n">
        <v>2</v>
      </c>
      <c r="AG557" t="n">
        <v>2</v>
      </c>
      <c r="AH557" t="n">
        <v>4</v>
      </c>
      <c r="AI557" t="n">
        <v>4</v>
      </c>
      <c r="AJ557" t="n">
        <v>7</v>
      </c>
      <c r="AK557" t="n">
        <v>8</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HYPERLINK("https://creighton-primo.hosted.exlibrisgroup.com/primo-explore/search?tab=default_tab&amp;search_scope=EVERYTHING&amp;vid=01CRU&amp;lang=en_US&amp;offset=0&amp;query=any,contains,991001359229702656","Catalog Record")</f>
        <v/>
      </c>
      <c r="AT557">
        <f>HYPERLINK("http://www.worldcat.org/oclc/18519827","WorldCat Record")</f>
        <v/>
      </c>
      <c r="AU557" t="inlineStr">
        <is>
          <t>17589063:eng</t>
        </is>
      </c>
      <c r="AV557" t="inlineStr">
        <is>
          <t>18519827</t>
        </is>
      </c>
      <c r="AW557" t="inlineStr">
        <is>
          <t>991001359229702656</t>
        </is>
      </c>
      <c r="AX557" t="inlineStr">
        <is>
          <t>991001359229702656</t>
        </is>
      </c>
      <c r="AY557" t="inlineStr">
        <is>
          <t>2255877410002656</t>
        </is>
      </c>
      <c r="AZ557" t="inlineStr">
        <is>
          <t>BOOK</t>
        </is>
      </c>
      <c r="BB557" t="inlineStr">
        <is>
          <t>9780415002875</t>
        </is>
      </c>
      <c r="BC557" t="inlineStr">
        <is>
          <t>32285000012988</t>
        </is>
      </c>
      <c r="BD557" t="inlineStr">
        <is>
          <t>893503350</t>
        </is>
      </c>
    </row>
    <row r="558">
      <c r="A558" t="inlineStr">
        <is>
          <t>No</t>
        </is>
      </c>
      <c r="B558" t="inlineStr">
        <is>
          <t>DD259.7.A3 S3313 1995, v...</t>
        </is>
      </c>
      <c r="C558" t="inlineStr">
        <is>
          <t>0                      DD 0259700A  3                  S  3313        1995                  v...</t>
        </is>
      </c>
      <c r="D558" t="inlineStr">
        <is>
          <t>Konrad Adenauer : a German politician and statesman in a period of war, revolution, and reconstruction / Hans-Peter Schwarz ; [translated from the German by Louise Willmot].</t>
        </is>
      </c>
      <c r="E558" t="inlineStr">
        <is>
          <t>V.2</t>
        </is>
      </c>
      <c r="F558" t="inlineStr">
        <is>
          <t>Yes</t>
        </is>
      </c>
      <c r="G558" t="inlineStr">
        <is>
          <t>1</t>
        </is>
      </c>
      <c r="H558" t="inlineStr">
        <is>
          <t>No</t>
        </is>
      </c>
      <c r="I558" t="inlineStr">
        <is>
          <t>No</t>
        </is>
      </c>
      <c r="J558" t="inlineStr">
        <is>
          <t>0</t>
        </is>
      </c>
      <c r="K558" t="inlineStr">
        <is>
          <t>Schwarz, Hans-Peter, 1934-2017.</t>
        </is>
      </c>
      <c r="L558" t="inlineStr">
        <is>
          <t>Providence, RI : Berghahn Books, 1995-</t>
        </is>
      </c>
      <c r="M558" t="inlineStr">
        <is>
          <t>1995</t>
        </is>
      </c>
      <c r="O558" t="inlineStr">
        <is>
          <t>eng</t>
        </is>
      </c>
      <c r="P558" t="inlineStr">
        <is>
          <t>riu</t>
        </is>
      </c>
      <c r="R558" t="inlineStr">
        <is>
          <t xml:space="preserve">DD </t>
        </is>
      </c>
      <c r="S558" t="n">
        <v>0</v>
      </c>
      <c r="T558" t="n">
        <v>2</v>
      </c>
      <c r="V558" t="inlineStr">
        <is>
          <t>1998-12-23</t>
        </is>
      </c>
      <c r="W558" t="inlineStr">
        <is>
          <t>1998-01-26</t>
        </is>
      </c>
      <c r="X558" t="inlineStr">
        <is>
          <t>1998-01-26</t>
        </is>
      </c>
      <c r="Y558" t="n">
        <v>458</v>
      </c>
      <c r="Z558" t="n">
        <v>376</v>
      </c>
      <c r="AA558" t="n">
        <v>391</v>
      </c>
      <c r="AB558" t="n">
        <v>3</v>
      </c>
      <c r="AC558" t="n">
        <v>3</v>
      </c>
      <c r="AD558" t="n">
        <v>25</v>
      </c>
      <c r="AE558" t="n">
        <v>26</v>
      </c>
      <c r="AF558" t="n">
        <v>9</v>
      </c>
      <c r="AG558" t="n">
        <v>9</v>
      </c>
      <c r="AH558" t="n">
        <v>5</v>
      </c>
      <c r="AI558" t="n">
        <v>6</v>
      </c>
      <c r="AJ558" t="n">
        <v>17</v>
      </c>
      <c r="AK558" t="n">
        <v>17</v>
      </c>
      <c r="AL558" t="n">
        <v>2</v>
      </c>
      <c r="AM558" t="n">
        <v>2</v>
      </c>
      <c r="AN558" t="n">
        <v>0</v>
      </c>
      <c r="AO558" t="n">
        <v>0</v>
      </c>
      <c r="AP558" t="inlineStr">
        <is>
          <t>No</t>
        </is>
      </c>
      <c r="AQ558" t="inlineStr">
        <is>
          <t>Yes</t>
        </is>
      </c>
      <c r="AR558">
        <f>HYPERLINK("http://catalog.hathitrust.org/Record/003027928","HathiTrust Record")</f>
        <v/>
      </c>
      <c r="AS558">
        <f>HYPERLINK("https://creighton-primo.hosted.exlibrisgroup.com/primo-explore/search?tab=default_tab&amp;search_scope=EVERYTHING&amp;vid=01CRU&amp;lang=en_US&amp;offset=0&amp;query=any,contains,991002539669702656","Catalog Record")</f>
        <v/>
      </c>
      <c r="AT558">
        <f>HYPERLINK("http://www.worldcat.org/oclc/33009088","WorldCat Record")</f>
        <v/>
      </c>
      <c r="AU558" t="inlineStr">
        <is>
          <t>9657269296:eng</t>
        </is>
      </c>
      <c r="AV558" t="inlineStr">
        <is>
          <t>33009088</t>
        </is>
      </c>
      <c r="AW558" t="inlineStr">
        <is>
          <t>991002539669702656</t>
        </is>
      </c>
      <c r="AX558" t="inlineStr">
        <is>
          <t>991002539669702656</t>
        </is>
      </c>
      <c r="AY558" t="inlineStr">
        <is>
          <t>2258404010002656</t>
        </is>
      </c>
      <c r="AZ558" t="inlineStr">
        <is>
          <t>BOOK</t>
        </is>
      </c>
      <c r="BB558" t="inlineStr">
        <is>
          <t>9781571818706</t>
        </is>
      </c>
      <c r="BC558" t="inlineStr">
        <is>
          <t>32285003311007</t>
        </is>
      </c>
      <c r="BD558" t="inlineStr">
        <is>
          <t>893251349</t>
        </is>
      </c>
    </row>
    <row r="559">
      <c r="A559" t="inlineStr">
        <is>
          <t>No</t>
        </is>
      </c>
      <c r="B559" t="inlineStr">
        <is>
          <t>DD285 .P55 1992</t>
        </is>
      </c>
      <c r="C559" t="inlineStr">
        <is>
          <t>0                      DD 0285000P  55          1992</t>
        </is>
      </c>
      <c r="D559" t="inlineStr">
        <is>
          <t>The politics of culture in Soviet-occupied Germany, 1945-1949 / David Pike.</t>
        </is>
      </c>
      <c r="F559" t="inlineStr">
        <is>
          <t>No</t>
        </is>
      </c>
      <c r="G559" t="inlineStr">
        <is>
          <t>1</t>
        </is>
      </c>
      <c r="H559" t="inlineStr">
        <is>
          <t>No</t>
        </is>
      </c>
      <c r="I559" t="inlineStr">
        <is>
          <t>No</t>
        </is>
      </c>
      <c r="J559" t="inlineStr">
        <is>
          <t>0</t>
        </is>
      </c>
      <c r="K559" t="inlineStr">
        <is>
          <t>Pike, David, 1950-</t>
        </is>
      </c>
      <c r="L559" t="inlineStr">
        <is>
          <t>Stanford, Calif. : Stanford University Press, c1992.</t>
        </is>
      </c>
      <c r="M559" t="inlineStr">
        <is>
          <t>1992</t>
        </is>
      </c>
      <c r="O559" t="inlineStr">
        <is>
          <t>eng</t>
        </is>
      </c>
      <c r="P559" t="inlineStr">
        <is>
          <t>cau</t>
        </is>
      </c>
      <c r="R559" t="inlineStr">
        <is>
          <t xml:space="preserve">DD </t>
        </is>
      </c>
      <c r="S559" t="n">
        <v>0</v>
      </c>
      <c r="T559" t="n">
        <v>0</v>
      </c>
      <c r="U559" t="inlineStr">
        <is>
          <t>2005-03-02</t>
        </is>
      </c>
      <c r="V559" t="inlineStr">
        <is>
          <t>2005-03-02</t>
        </is>
      </c>
      <c r="W559" t="inlineStr">
        <is>
          <t>1993-12-10</t>
        </is>
      </c>
      <c r="X559" t="inlineStr">
        <is>
          <t>1993-12-10</t>
        </is>
      </c>
      <c r="Y559" t="n">
        <v>321</v>
      </c>
      <c r="Z559" t="n">
        <v>236</v>
      </c>
      <c r="AA559" t="n">
        <v>236</v>
      </c>
      <c r="AB559" t="n">
        <v>3</v>
      </c>
      <c r="AC559" t="n">
        <v>3</v>
      </c>
      <c r="AD559" t="n">
        <v>11</v>
      </c>
      <c r="AE559" t="n">
        <v>11</v>
      </c>
      <c r="AF559" t="n">
        <v>2</v>
      </c>
      <c r="AG559" t="n">
        <v>2</v>
      </c>
      <c r="AH559" t="n">
        <v>5</v>
      </c>
      <c r="AI559" t="n">
        <v>5</v>
      </c>
      <c r="AJ559" t="n">
        <v>6</v>
      </c>
      <c r="AK559" t="n">
        <v>6</v>
      </c>
      <c r="AL559" t="n">
        <v>2</v>
      </c>
      <c r="AM559" t="n">
        <v>2</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HYPERLINK("https://creighton-primo.hosted.exlibrisgroup.com/primo-explore/search?tab=default_tab&amp;search_scope=EVERYTHING&amp;vid=01CRU&amp;lang=en_US&amp;offset=0&amp;query=any,contains,991002082089702656","Catalog Record")</f>
        <v/>
      </c>
      <c r="AT559">
        <f>HYPERLINK("http://www.worldcat.org/oclc/26720053","WorldCat Record")</f>
        <v/>
      </c>
      <c r="AU559" t="inlineStr">
        <is>
          <t>44045480:eng</t>
        </is>
      </c>
      <c r="AV559" t="inlineStr">
        <is>
          <t>26720053</t>
        </is>
      </c>
      <c r="AW559" t="inlineStr">
        <is>
          <t>991002082089702656</t>
        </is>
      </c>
      <c r="AX559" t="inlineStr">
        <is>
          <t>991002082089702656</t>
        </is>
      </c>
      <c r="AY559" t="inlineStr">
        <is>
          <t>2271097170002656</t>
        </is>
      </c>
      <c r="AZ559" t="inlineStr">
        <is>
          <t>BOOK</t>
        </is>
      </c>
      <c r="BB559" t="inlineStr">
        <is>
          <t>9780804720939</t>
        </is>
      </c>
      <c r="BC559" t="inlineStr">
        <is>
          <t>32285001815702</t>
        </is>
      </c>
      <c r="BD559" t="inlineStr">
        <is>
          <t>893427186</t>
        </is>
      </c>
    </row>
    <row r="560">
      <c r="A560" t="inlineStr">
        <is>
          <t>No</t>
        </is>
      </c>
      <c r="B560" t="inlineStr">
        <is>
          <t>DD3 .B58</t>
        </is>
      </c>
      <c r="C560" t="inlineStr">
        <is>
          <t>0                      DD 0003000B  58</t>
        </is>
      </c>
      <c r="D560" t="inlineStr">
        <is>
          <t>Bibliotheca rerum germanicarum / edidit Philippus Jaffé.</t>
        </is>
      </c>
      <c r="E560" t="inlineStr">
        <is>
          <t>V.1</t>
        </is>
      </c>
      <c r="F560" t="inlineStr">
        <is>
          <t>Yes</t>
        </is>
      </c>
      <c r="G560" t="inlineStr">
        <is>
          <t>1</t>
        </is>
      </c>
      <c r="H560" t="inlineStr">
        <is>
          <t>No</t>
        </is>
      </c>
      <c r="I560" t="inlineStr">
        <is>
          <t>No</t>
        </is>
      </c>
      <c r="J560" t="inlineStr">
        <is>
          <t>0</t>
        </is>
      </c>
      <c r="L560" t="inlineStr">
        <is>
          <t>Berolini : apud Weidmannos, 1864-73.</t>
        </is>
      </c>
      <c r="M560" t="inlineStr">
        <is>
          <t>1864</t>
        </is>
      </c>
      <c r="O560" t="inlineStr">
        <is>
          <t>lat</t>
        </is>
      </c>
      <c r="P560" t="inlineStr">
        <is>
          <t xml:space="preserve">gw </t>
        </is>
      </c>
      <c r="R560" t="inlineStr">
        <is>
          <t xml:space="preserve">DD </t>
        </is>
      </c>
      <c r="S560" t="n">
        <v>0</v>
      </c>
      <c r="T560" t="n">
        <v>0</v>
      </c>
      <c r="V560" t="inlineStr">
        <is>
          <t>2004-10-06</t>
        </is>
      </c>
      <c r="W560" t="inlineStr">
        <is>
          <t>1996-08-01</t>
        </is>
      </c>
      <c r="X560" t="inlineStr">
        <is>
          <t>1996-08-01</t>
        </is>
      </c>
      <c r="Y560" t="n">
        <v>72</v>
      </c>
      <c r="Z560" t="n">
        <v>51</v>
      </c>
      <c r="AA560" t="n">
        <v>129</v>
      </c>
      <c r="AB560" t="n">
        <v>1</v>
      </c>
      <c r="AC560" t="n">
        <v>1</v>
      </c>
      <c r="AD560" t="n">
        <v>2</v>
      </c>
      <c r="AE560" t="n">
        <v>6</v>
      </c>
      <c r="AF560" t="n">
        <v>0</v>
      </c>
      <c r="AG560" t="n">
        <v>2</v>
      </c>
      <c r="AH560" t="n">
        <v>1</v>
      </c>
      <c r="AI560" t="n">
        <v>2</v>
      </c>
      <c r="AJ560" t="n">
        <v>2</v>
      </c>
      <c r="AK560" t="n">
        <v>5</v>
      </c>
      <c r="AL560" t="n">
        <v>0</v>
      </c>
      <c r="AM560" t="n">
        <v>0</v>
      </c>
      <c r="AN560" t="n">
        <v>0</v>
      </c>
      <c r="AO560" t="n">
        <v>0</v>
      </c>
      <c r="AP560" t="inlineStr">
        <is>
          <t>Yes</t>
        </is>
      </c>
      <c r="AQ560" t="inlineStr">
        <is>
          <t>No</t>
        </is>
      </c>
      <c r="AR560">
        <f>HYPERLINK("http://catalog.hathitrust.org/Record/008647521","HathiTrust Record")</f>
        <v/>
      </c>
      <c r="AS560">
        <f>HYPERLINK("https://creighton-primo.hosted.exlibrisgroup.com/primo-explore/search?tab=default_tab&amp;search_scope=EVERYTHING&amp;vid=01CRU&amp;lang=en_US&amp;offset=0&amp;query=any,contains,991005069779702656","Catalog Record")</f>
        <v/>
      </c>
      <c r="AT560">
        <f>HYPERLINK("http://www.worldcat.org/oclc/7006335","WorldCat Record")</f>
        <v/>
      </c>
      <c r="AU560" t="inlineStr">
        <is>
          <t>4919345723:lat</t>
        </is>
      </c>
      <c r="AV560" t="inlineStr">
        <is>
          <t>7006335</t>
        </is>
      </c>
      <c r="AW560" t="inlineStr">
        <is>
          <t>991005069779702656</t>
        </is>
      </c>
      <c r="AX560" t="inlineStr">
        <is>
          <t>991005069779702656</t>
        </is>
      </c>
      <c r="AY560" t="inlineStr">
        <is>
          <t>2267903250002656</t>
        </is>
      </c>
      <c r="AZ560" t="inlineStr">
        <is>
          <t>BOOK</t>
        </is>
      </c>
      <c r="BC560" t="inlineStr">
        <is>
          <t>32285002251394</t>
        </is>
      </c>
      <c r="BD560" t="inlineStr">
        <is>
          <t>893430798</t>
        </is>
      </c>
    </row>
    <row r="561">
      <c r="A561" t="inlineStr">
        <is>
          <t>No</t>
        </is>
      </c>
      <c r="B561" t="inlineStr">
        <is>
          <t>DD3 .B58</t>
        </is>
      </c>
      <c r="C561" t="inlineStr">
        <is>
          <t>0                      DD 0003000B  58</t>
        </is>
      </c>
      <c r="D561" t="inlineStr">
        <is>
          <t>Bibliotheca rerum germanicarum / edidit Philippus Jaffé.</t>
        </is>
      </c>
      <c r="E561" t="inlineStr">
        <is>
          <t>V.6</t>
        </is>
      </c>
      <c r="F561" t="inlineStr">
        <is>
          <t>Yes</t>
        </is>
      </c>
      <c r="G561" t="inlineStr">
        <is>
          <t>1</t>
        </is>
      </c>
      <c r="H561" t="inlineStr">
        <is>
          <t>No</t>
        </is>
      </c>
      <c r="I561" t="inlineStr">
        <is>
          <t>No</t>
        </is>
      </c>
      <c r="J561" t="inlineStr">
        <is>
          <t>0</t>
        </is>
      </c>
      <c r="L561" t="inlineStr">
        <is>
          <t>Berolini : apud Weidmannos, 1864-73.</t>
        </is>
      </c>
      <c r="M561" t="inlineStr">
        <is>
          <t>1864</t>
        </is>
      </c>
      <c r="O561" t="inlineStr">
        <is>
          <t>lat</t>
        </is>
      </c>
      <c r="P561" t="inlineStr">
        <is>
          <t xml:space="preserve">gw </t>
        </is>
      </c>
      <c r="R561" t="inlineStr">
        <is>
          <t xml:space="preserve">DD </t>
        </is>
      </c>
      <c r="S561" t="n">
        <v>0</v>
      </c>
      <c r="T561" t="n">
        <v>0</v>
      </c>
      <c r="V561" t="inlineStr">
        <is>
          <t>2004-10-06</t>
        </is>
      </c>
      <c r="W561" t="inlineStr">
        <is>
          <t>1996-08-01</t>
        </is>
      </c>
      <c r="X561" t="inlineStr">
        <is>
          <t>1996-08-01</t>
        </is>
      </c>
      <c r="Y561" t="n">
        <v>72</v>
      </c>
      <c r="Z561" t="n">
        <v>51</v>
      </c>
      <c r="AA561" t="n">
        <v>129</v>
      </c>
      <c r="AB561" t="n">
        <v>1</v>
      </c>
      <c r="AC561" t="n">
        <v>1</v>
      </c>
      <c r="AD561" t="n">
        <v>2</v>
      </c>
      <c r="AE561" t="n">
        <v>6</v>
      </c>
      <c r="AF561" t="n">
        <v>0</v>
      </c>
      <c r="AG561" t="n">
        <v>2</v>
      </c>
      <c r="AH561" t="n">
        <v>1</v>
      </c>
      <c r="AI561" t="n">
        <v>2</v>
      </c>
      <c r="AJ561" t="n">
        <v>2</v>
      </c>
      <c r="AK561" t="n">
        <v>5</v>
      </c>
      <c r="AL561" t="n">
        <v>0</v>
      </c>
      <c r="AM561" t="n">
        <v>0</v>
      </c>
      <c r="AN561" t="n">
        <v>0</v>
      </c>
      <c r="AO561" t="n">
        <v>0</v>
      </c>
      <c r="AP561" t="inlineStr">
        <is>
          <t>Yes</t>
        </is>
      </c>
      <c r="AQ561" t="inlineStr">
        <is>
          <t>No</t>
        </is>
      </c>
      <c r="AR561">
        <f>HYPERLINK("http://catalog.hathitrust.org/Record/008647521","HathiTrust Record")</f>
        <v/>
      </c>
      <c r="AS561">
        <f>HYPERLINK("https://creighton-primo.hosted.exlibrisgroup.com/primo-explore/search?tab=default_tab&amp;search_scope=EVERYTHING&amp;vid=01CRU&amp;lang=en_US&amp;offset=0&amp;query=any,contains,991005069779702656","Catalog Record")</f>
        <v/>
      </c>
      <c r="AT561">
        <f>HYPERLINK("http://www.worldcat.org/oclc/7006335","WorldCat Record")</f>
        <v/>
      </c>
      <c r="AU561" t="inlineStr">
        <is>
          <t>4919345723:lat</t>
        </is>
      </c>
      <c r="AV561" t="inlineStr">
        <is>
          <t>7006335</t>
        </is>
      </c>
      <c r="AW561" t="inlineStr">
        <is>
          <t>991005069779702656</t>
        </is>
      </c>
      <c r="AX561" t="inlineStr">
        <is>
          <t>991005069779702656</t>
        </is>
      </c>
      <c r="AY561" t="inlineStr">
        <is>
          <t>2267903250002656</t>
        </is>
      </c>
      <c r="AZ561" t="inlineStr">
        <is>
          <t>BOOK</t>
        </is>
      </c>
      <c r="BC561" t="inlineStr">
        <is>
          <t>32285002251444</t>
        </is>
      </c>
      <c r="BD561" t="inlineStr">
        <is>
          <t>893430797</t>
        </is>
      </c>
    </row>
    <row r="562">
      <c r="A562" t="inlineStr">
        <is>
          <t>No</t>
        </is>
      </c>
      <c r="B562" t="inlineStr">
        <is>
          <t>DD3 .B58</t>
        </is>
      </c>
      <c r="C562" t="inlineStr">
        <is>
          <t>0                      DD 0003000B  58</t>
        </is>
      </c>
      <c r="D562" t="inlineStr">
        <is>
          <t>Bibliotheca rerum germanicarum / edidit Philippus Jaffé.</t>
        </is>
      </c>
      <c r="E562" t="inlineStr">
        <is>
          <t>V.3</t>
        </is>
      </c>
      <c r="F562" t="inlineStr">
        <is>
          <t>Yes</t>
        </is>
      </c>
      <c r="G562" t="inlineStr">
        <is>
          <t>1</t>
        </is>
      </c>
      <c r="H562" t="inlineStr">
        <is>
          <t>No</t>
        </is>
      </c>
      <c r="I562" t="inlineStr">
        <is>
          <t>No</t>
        </is>
      </c>
      <c r="J562" t="inlineStr">
        <is>
          <t>0</t>
        </is>
      </c>
      <c r="L562" t="inlineStr">
        <is>
          <t>Berolini : apud Weidmannos, 1864-73.</t>
        </is>
      </c>
      <c r="M562" t="inlineStr">
        <is>
          <t>1864</t>
        </is>
      </c>
      <c r="O562" t="inlineStr">
        <is>
          <t>lat</t>
        </is>
      </c>
      <c r="P562" t="inlineStr">
        <is>
          <t xml:space="preserve">gw </t>
        </is>
      </c>
      <c r="R562" t="inlineStr">
        <is>
          <t xml:space="preserve">DD </t>
        </is>
      </c>
      <c r="S562" t="n">
        <v>0</v>
      </c>
      <c r="T562" t="n">
        <v>0</v>
      </c>
      <c r="U562" t="inlineStr">
        <is>
          <t>2004-10-06</t>
        </is>
      </c>
      <c r="V562" t="inlineStr">
        <is>
          <t>2004-10-06</t>
        </is>
      </c>
      <c r="W562" t="inlineStr">
        <is>
          <t>1996-08-01</t>
        </is>
      </c>
      <c r="X562" t="inlineStr">
        <is>
          <t>1996-08-01</t>
        </is>
      </c>
      <c r="Y562" t="n">
        <v>72</v>
      </c>
      <c r="Z562" t="n">
        <v>51</v>
      </c>
      <c r="AA562" t="n">
        <v>129</v>
      </c>
      <c r="AB562" t="n">
        <v>1</v>
      </c>
      <c r="AC562" t="n">
        <v>1</v>
      </c>
      <c r="AD562" t="n">
        <v>2</v>
      </c>
      <c r="AE562" t="n">
        <v>6</v>
      </c>
      <c r="AF562" t="n">
        <v>0</v>
      </c>
      <c r="AG562" t="n">
        <v>2</v>
      </c>
      <c r="AH562" t="n">
        <v>1</v>
      </c>
      <c r="AI562" t="n">
        <v>2</v>
      </c>
      <c r="AJ562" t="n">
        <v>2</v>
      </c>
      <c r="AK562" t="n">
        <v>5</v>
      </c>
      <c r="AL562" t="n">
        <v>0</v>
      </c>
      <c r="AM562" t="n">
        <v>0</v>
      </c>
      <c r="AN562" t="n">
        <v>0</v>
      </c>
      <c r="AO562" t="n">
        <v>0</v>
      </c>
      <c r="AP562" t="inlineStr">
        <is>
          <t>Yes</t>
        </is>
      </c>
      <c r="AQ562" t="inlineStr">
        <is>
          <t>No</t>
        </is>
      </c>
      <c r="AR562">
        <f>HYPERLINK("http://catalog.hathitrust.org/Record/008647521","HathiTrust Record")</f>
        <v/>
      </c>
      <c r="AS562">
        <f>HYPERLINK("https://creighton-primo.hosted.exlibrisgroup.com/primo-explore/search?tab=default_tab&amp;search_scope=EVERYTHING&amp;vid=01CRU&amp;lang=en_US&amp;offset=0&amp;query=any,contains,991005069779702656","Catalog Record")</f>
        <v/>
      </c>
      <c r="AT562">
        <f>HYPERLINK("http://www.worldcat.org/oclc/7006335","WorldCat Record")</f>
        <v/>
      </c>
      <c r="AU562" t="inlineStr">
        <is>
          <t>4919345723:lat</t>
        </is>
      </c>
      <c r="AV562" t="inlineStr">
        <is>
          <t>7006335</t>
        </is>
      </c>
      <c r="AW562" t="inlineStr">
        <is>
          <t>991005069779702656</t>
        </is>
      </c>
      <c r="AX562" t="inlineStr">
        <is>
          <t>991005069779702656</t>
        </is>
      </c>
      <c r="AY562" t="inlineStr">
        <is>
          <t>2267903250002656</t>
        </is>
      </c>
      <c r="AZ562" t="inlineStr">
        <is>
          <t>BOOK</t>
        </is>
      </c>
      <c r="BC562" t="inlineStr">
        <is>
          <t>32285002251410</t>
        </is>
      </c>
      <c r="BD562" t="inlineStr">
        <is>
          <t>893443351</t>
        </is>
      </c>
    </row>
    <row r="563">
      <c r="A563" t="inlineStr">
        <is>
          <t>No</t>
        </is>
      </c>
      <c r="B563" t="inlineStr">
        <is>
          <t>DD3 .B58</t>
        </is>
      </c>
      <c r="C563" t="inlineStr">
        <is>
          <t>0                      DD 0003000B  58</t>
        </is>
      </c>
      <c r="D563" t="inlineStr">
        <is>
          <t>Bibliotheca rerum germanicarum / edidit Philippus Jaffé.</t>
        </is>
      </c>
      <c r="E563" t="inlineStr">
        <is>
          <t>V.2</t>
        </is>
      </c>
      <c r="F563" t="inlineStr">
        <is>
          <t>Yes</t>
        </is>
      </c>
      <c r="G563" t="inlineStr">
        <is>
          <t>1</t>
        </is>
      </c>
      <c r="H563" t="inlineStr">
        <is>
          <t>No</t>
        </is>
      </c>
      <c r="I563" t="inlineStr">
        <is>
          <t>No</t>
        </is>
      </c>
      <c r="J563" t="inlineStr">
        <is>
          <t>0</t>
        </is>
      </c>
      <c r="L563" t="inlineStr">
        <is>
          <t>Berolini : apud Weidmannos, 1864-73.</t>
        </is>
      </c>
      <c r="M563" t="inlineStr">
        <is>
          <t>1864</t>
        </is>
      </c>
      <c r="O563" t="inlineStr">
        <is>
          <t>lat</t>
        </is>
      </c>
      <c r="P563" t="inlineStr">
        <is>
          <t xml:space="preserve">gw </t>
        </is>
      </c>
      <c r="R563" t="inlineStr">
        <is>
          <t xml:space="preserve">DD </t>
        </is>
      </c>
      <c r="S563" t="n">
        <v>0</v>
      </c>
      <c r="T563" t="n">
        <v>0</v>
      </c>
      <c r="V563" t="inlineStr">
        <is>
          <t>2004-10-06</t>
        </is>
      </c>
      <c r="W563" t="inlineStr">
        <is>
          <t>1996-08-01</t>
        </is>
      </c>
      <c r="X563" t="inlineStr">
        <is>
          <t>1996-08-01</t>
        </is>
      </c>
      <c r="Y563" t="n">
        <v>72</v>
      </c>
      <c r="Z563" t="n">
        <v>51</v>
      </c>
      <c r="AA563" t="n">
        <v>129</v>
      </c>
      <c r="AB563" t="n">
        <v>1</v>
      </c>
      <c r="AC563" t="n">
        <v>1</v>
      </c>
      <c r="AD563" t="n">
        <v>2</v>
      </c>
      <c r="AE563" t="n">
        <v>6</v>
      </c>
      <c r="AF563" t="n">
        <v>0</v>
      </c>
      <c r="AG563" t="n">
        <v>2</v>
      </c>
      <c r="AH563" t="n">
        <v>1</v>
      </c>
      <c r="AI563" t="n">
        <v>2</v>
      </c>
      <c r="AJ563" t="n">
        <v>2</v>
      </c>
      <c r="AK563" t="n">
        <v>5</v>
      </c>
      <c r="AL563" t="n">
        <v>0</v>
      </c>
      <c r="AM563" t="n">
        <v>0</v>
      </c>
      <c r="AN563" t="n">
        <v>0</v>
      </c>
      <c r="AO563" t="n">
        <v>0</v>
      </c>
      <c r="AP563" t="inlineStr">
        <is>
          <t>Yes</t>
        </is>
      </c>
      <c r="AQ563" t="inlineStr">
        <is>
          <t>No</t>
        </is>
      </c>
      <c r="AR563">
        <f>HYPERLINK("http://catalog.hathitrust.org/Record/008647521","HathiTrust Record")</f>
        <v/>
      </c>
      <c r="AS563">
        <f>HYPERLINK("https://creighton-primo.hosted.exlibrisgroup.com/primo-explore/search?tab=default_tab&amp;search_scope=EVERYTHING&amp;vid=01CRU&amp;lang=en_US&amp;offset=0&amp;query=any,contains,991005069779702656","Catalog Record")</f>
        <v/>
      </c>
      <c r="AT563">
        <f>HYPERLINK("http://www.worldcat.org/oclc/7006335","WorldCat Record")</f>
        <v/>
      </c>
      <c r="AU563" t="inlineStr">
        <is>
          <t>4919345723:lat</t>
        </is>
      </c>
      <c r="AV563" t="inlineStr">
        <is>
          <t>7006335</t>
        </is>
      </c>
      <c r="AW563" t="inlineStr">
        <is>
          <t>991005069779702656</t>
        </is>
      </c>
      <c r="AX563" t="inlineStr">
        <is>
          <t>991005069779702656</t>
        </is>
      </c>
      <c r="AY563" t="inlineStr">
        <is>
          <t>2267903250002656</t>
        </is>
      </c>
      <c r="AZ563" t="inlineStr">
        <is>
          <t>BOOK</t>
        </is>
      </c>
      <c r="BC563" t="inlineStr">
        <is>
          <t>32285002251402</t>
        </is>
      </c>
      <c r="BD563" t="inlineStr">
        <is>
          <t>893424499</t>
        </is>
      </c>
    </row>
    <row r="564">
      <c r="A564" t="inlineStr">
        <is>
          <t>No</t>
        </is>
      </c>
      <c r="B564" t="inlineStr">
        <is>
          <t>DD3 .B58</t>
        </is>
      </c>
      <c r="C564" t="inlineStr">
        <is>
          <t>0                      DD 0003000B  58</t>
        </is>
      </c>
      <c r="D564" t="inlineStr">
        <is>
          <t>Bibliotheca rerum germanicarum / edidit Philippus Jaffé.</t>
        </is>
      </c>
      <c r="E564" t="inlineStr">
        <is>
          <t>V.5</t>
        </is>
      </c>
      <c r="F564" t="inlineStr">
        <is>
          <t>Yes</t>
        </is>
      </c>
      <c r="G564" t="inlineStr">
        <is>
          <t>1</t>
        </is>
      </c>
      <c r="H564" t="inlineStr">
        <is>
          <t>No</t>
        </is>
      </c>
      <c r="I564" t="inlineStr">
        <is>
          <t>No</t>
        </is>
      </c>
      <c r="J564" t="inlineStr">
        <is>
          <t>0</t>
        </is>
      </c>
      <c r="L564" t="inlineStr">
        <is>
          <t>Berolini : apud Weidmannos, 1864-73.</t>
        </is>
      </c>
      <c r="M564" t="inlineStr">
        <is>
          <t>1864</t>
        </is>
      </c>
      <c r="O564" t="inlineStr">
        <is>
          <t>lat</t>
        </is>
      </c>
      <c r="P564" t="inlineStr">
        <is>
          <t xml:space="preserve">gw </t>
        </is>
      </c>
      <c r="R564" t="inlineStr">
        <is>
          <t xml:space="preserve">DD </t>
        </is>
      </c>
      <c r="S564" t="n">
        <v>0</v>
      </c>
      <c r="T564" t="n">
        <v>0</v>
      </c>
      <c r="V564" t="inlineStr">
        <is>
          <t>2004-10-06</t>
        </is>
      </c>
      <c r="W564" t="inlineStr">
        <is>
          <t>1996-08-01</t>
        </is>
      </c>
      <c r="X564" t="inlineStr">
        <is>
          <t>1996-08-01</t>
        </is>
      </c>
      <c r="Y564" t="n">
        <v>72</v>
      </c>
      <c r="Z564" t="n">
        <v>51</v>
      </c>
      <c r="AA564" t="n">
        <v>129</v>
      </c>
      <c r="AB564" t="n">
        <v>1</v>
      </c>
      <c r="AC564" t="n">
        <v>1</v>
      </c>
      <c r="AD564" t="n">
        <v>2</v>
      </c>
      <c r="AE564" t="n">
        <v>6</v>
      </c>
      <c r="AF564" t="n">
        <v>0</v>
      </c>
      <c r="AG564" t="n">
        <v>2</v>
      </c>
      <c r="AH564" t="n">
        <v>1</v>
      </c>
      <c r="AI564" t="n">
        <v>2</v>
      </c>
      <c r="AJ564" t="n">
        <v>2</v>
      </c>
      <c r="AK564" t="n">
        <v>5</v>
      </c>
      <c r="AL564" t="n">
        <v>0</v>
      </c>
      <c r="AM564" t="n">
        <v>0</v>
      </c>
      <c r="AN564" t="n">
        <v>0</v>
      </c>
      <c r="AO564" t="n">
        <v>0</v>
      </c>
      <c r="AP564" t="inlineStr">
        <is>
          <t>Yes</t>
        </is>
      </c>
      <c r="AQ564" t="inlineStr">
        <is>
          <t>No</t>
        </is>
      </c>
      <c r="AR564">
        <f>HYPERLINK("http://catalog.hathitrust.org/Record/008647521","HathiTrust Record")</f>
        <v/>
      </c>
      <c r="AS564">
        <f>HYPERLINK("https://creighton-primo.hosted.exlibrisgroup.com/primo-explore/search?tab=default_tab&amp;search_scope=EVERYTHING&amp;vid=01CRU&amp;lang=en_US&amp;offset=0&amp;query=any,contains,991005069779702656","Catalog Record")</f>
        <v/>
      </c>
      <c r="AT564">
        <f>HYPERLINK("http://www.worldcat.org/oclc/7006335","WorldCat Record")</f>
        <v/>
      </c>
      <c r="AU564" t="inlineStr">
        <is>
          <t>4919345723:lat</t>
        </is>
      </c>
      <c r="AV564" t="inlineStr">
        <is>
          <t>7006335</t>
        </is>
      </c>
      <c r="AW564" t="inlineStr">
        <is>
          <t>991005069779702656</t>
        </is>
      </c>
      <c r="AX564" t="inlineStr">
        <is>
          <t>991005069779702656</t>
        </is>
      </c>
      <c r="AY564" t="inlineStr">
        <is>
          <t>2267903250002656</t>
        </is>
      </c>
      <c r="AZ564" t="inlineStr">
        <is>
          <t>BOOK</t>
        </is>
      </c>
      <c r="BC564" t="inlineStr">
        <is>
          <t>32285002251436</t>
        </is>
      </c>
      <c r="BD564" t="inlineStr">
        <is>
          <t>893424500</t>
        </is>
      </c>
    </row>
    <row r="565">
      <c r="A565" t="inlineStr">
        <is>
          <t>No</t>
        </is>
      </c>
      <c r="B565" t="inlineStr">
        <is>
          <t>DD3 .B58</t>
        </is>
      </c>
      <c r="C565" t="inlineStr">
        <is>
          <t>0                      DD 0003000B  58</t>
        </is>
      </c>
      <c r="D565" t="inlineStr">
        <is>
          <t>Bibliotheca rerum germanicarum / edidit Philippus Jaffé.</t>
        </is>
      </c>
      <c r="E565" t="inlineStr">
        <is>
          <t>V.4</t>
        </is>
      </c>
      <c r="F565" t="inlineStr">
        <is>
          <t>Yes</t>
        </is>
      </c>
      <c r="G565" t="inlineStr">
        <is>
          <t>1</t>
        </is>
      </c>
      <c r="H565" t="inlineStr">
        <is>
          <t>No</t>
        </is>
      </c>
      <c r="I565" t="inlineStr">
        <is>
          <t>No</t>
        </is>
      </c>
      <c r="J565" t="inlineStr">
        <is>
          <t>0</t>
        </is>
      </c>
      <c r="L565" t="inlineStr">
        <is>
          <t>Berolini : apud Weidmannos, 1864-73.</t>
        </is>
      </c>
      <c r="M565" t="inlineStr">
        <is>
          <t>1864</t>
        </is>
      </c>
      <c r="O565" t="inlineStr">
        <is>
          <t>lat</t>
        </is>
      </c>
      <c r="P565" t="inlineStr">
        <is>
          <t xml:space="preserve">gw </t>
        </is>
      </c>
      <c r="R565" t="inlineStr">
        <is>
          <t xml:space="preserve">DD </t>
        </is>
      </c>
      <c r="S565" t="n">
        <v>0</v>
      </c>
      <c r="T565" t="n">
        <v>0</v>
      </c>
      <c r="V565" t="inlineStr">
        <is>
          <t>2004-10-06</t>
        </is>
      </c>
      <c r="W565" t="inlineStr">
        <is>
          <t>1996-08-01</t>
        </is>
      </c>
      <c r="X565" t="inlineStr">
        <is>
          <t>1996-08-01</t>
        </is>
      </c>
      <c r="Y565" t="n">
        <v>72</v>
      </c>
      <c r="Z565" t="n">
        <v>51</v>
      </c>
      <c r="AA565" t="n">
        <v>129</v>
      </c>
      <c r="AB565" t="n">
        <v>1</v>
      </c>
      <c r="AC565" t="n">
        <v>1</v>
      </c>
      <c r="AD565" t="n">
        <v>2</v>
      </c>
      <c r="AE565" t="n">
        <v>6</v>
      </c>
      <c r="AF565" t="n">
        <v>0</v>
      </c>
      <c r="AG565" t="n">
        <v>2</v>
      </c>
      <c r="AH565" t="n">
        <v>1</v>
      </c>
      <c r="AI565" t="n">
        <v>2</v>
      </c>
      <c r="AJ565" t="n">
        <v>2</v>
      </c>
      <c r="AK565" t="n">
        <v>5</v>
      </c>
      <c r="AL565" t="n">
        <v>0</v>
      </c>
      <c r="AM565" t="n">
        <v>0</v>
      </c>
      <c r="AN565" t="n">
        <v>0</v>
      </c>
      <c r="AO565" t="n">
        <v>0</v>
      </c>
      <c r="AP565" t="inlineStr">
        <is>
          <t>Yes</t>
        </is>
      </c>
      <c r="AQ565" t="inlineStr">
        <is>
          <t>No</t>
        </is>
      </c>
      <c r="AR565">
        <f>HYPERLINK("http://catalog.hathitrust.org/Record/008647521","HathiTrust Record")</f>
        <v/>
      </c>
      <c r="AS565">
        <f>HYPERLINK("https://creighton-primo.hosted.exlibrisgroup.com/primo-explore/search?tab=default_tab&amp;search_scope=EVERYTHING&amp;vid=01CRU&amp;lang=en_US&amp;offset=0&amp;query=any,contains,991005069779702656","Catalog Record")</f>
        <v/>
      </c>
      <c r="AT565">
        <f>HYPERLINK("http://www.worldcat.org/oclc/7006335","WorldCat Record")</f>
        <v/>
      </c>
      <c r="AU565" t="inlineStr">
        <is>
          <t>4919345723:lat</t>
        </is>
      </c>
      <c r="AV565" t="inlineStr">
        <is>
          <t>7006335</t>
        </is>
      </c>
      <c r="AW565" t="inlineStr">
        <is>
          <t>991005069779702656</t>
        </is>
      </c>
      <c r="AX565" t="inlineStr">
        <is>
          <t>991005069779702656</t>
        </is>
      </c>
      <c r="AY565" t="inlineStr">
        <is>
          <t>2267903250002656</t>
        </is>
      </c>
      <c r="AZ565" t="inlineStr">
        <is>
          <t>BOOK</t>
        </is>
      </c>
      <c r="BC565" t="inlineStr">
        <is>
          <t>32285002251428</t>
        </is>
      </c>
      <c r="BD565" t="inlineStr">
        <is>
          <t>893443350</t>
        </is>
      </c>
    </row>
    <row r="566">
      <c r="A566" t="inlineStr">
        <is>
          <t>No</t>
        </is>
      </c>
      <c r="B566" t="inlineStr">
        <is>
          <t>DD5 .H56</t>
        </is>
      </c>
      <c r="C566" t="inlineStr">
        <is>
          <t>0                      DD 0005000H  56</t>
        </is>
      </c>
      <c r="D566" t="inlineStr">
        <is>
          <t>The historical essays of Otto Hintze / edited with an introd. by Felix Gilbert, with the assistance of Robert M. Berdahl.</t>
        </is>
      </c>
      <c r="F566" t="inlineStr">
        <is>
          <t>No</t>
        </is>
      </c>
      <c r="G566" t="inlineStr">
        <is>
          <t>1</t>
        </is>
      </c>
      <c r="H566" t="inlineStr">
        <is>
          <t>No</t>
        </is>
      </c>
      <c r="I566" t="inlineStr">
        <is>
          <t>No</t>
        </is>
      </c>
      <c r="J566" t="inlineStr">
        <is>
          <t>0</t>
        </is>
      </c>
      <c r="K566" t="inlineStr">
        <is>
          <t>Hintze, Otto, 1861-1940.</t>
        </is>
      </c>
      <c r="L566" t="inlineStr">
        <is>
          <t>New York : Oxford University Press, 1975.</t>
        </is>
      </c>
      <c r="M566" t="inlineStr">
        <is>
          <t>1975</t>
        </is>
      </c>
      <c r="O566" t="inlineStr">
        <is>
          <t>eng</t>
        </is>
      </c>
      <c r="P566" t="inlineStr">
        <is>
          <t>nyu</t>
        </is>
      </c>
      <c r="R566" t="inlineStr">
        <is>
          <t xml:space="preserve">DD </t>
        </is>
      </c>
      <c r="S566" t="n">
        <v>2</v>
      </c>
      <c r="T566" t="n">
        <v>2</v>
      </c>
      <c r="U566" t="inlineStr">
        <is>
          <t>2005-12-02</t>
        </is>
      </c>
      <c r="V566" t="inlineStr">
        <is>
          <t>2005-12-02</t>
        </is>
      </c>
      <c r="W566" t="inlineStr">
        <is>
          <t>1991-01-16</t>
        </is>
      </c>
      <c r="X566" t="inlineStr">
        <is>
          <t>1991-01-16</t>
        </is>
      </c>
      <c r="Y566" t="n">
        <v>542</v>
      </c>
      <c r="Z566" t="n">
        <v>407</v>
      </c>
      <c r="AA566" t="n">
        <v>414</v>
      </c>
      <c r="AB566" t="n">
        <v>4</v>
      </c>
      <c r="AC566" t="n">
        <v>4</v>
      </c>
      <c r="AD566" t="n">
        <v>20</v>
      </c>
      <c r="AE566" t="n">
        <v>20</v>
      </c>
      <c r="AF566" t="n">
        <v>3</v>
      </c>
      <c r="AG566" t="n">
        <v>3</v>
      </c>
      <c r="AH566" t="n">
        <v>9</v>
      </c>
      <c r="AI566" t="n">
        <v>9</v>
      </c>
      <c r="AJ566" t="n">
        <v>10</v>
      </c>
      <c r="AK566" t="n">
        <v>10</v>
      </c>
      <c r="AL566" t="n">
        <v>3</v>
      </c>
      <c r="AM566" t="n">
        <v>3</v>
      </c>
      <c r="AN566" t="n">
        <v>0</v>
      </c>
      <c r="AO566" t="n">
        <v>0</v>
      </c>
      <c r="AP566" t="inlineStr">
        <is>
          <t>No</t>
        </is>
      </c>
      <c r="AQ566" t="inlineStr">
        <is>
          <t>Yes</t>
        </is>
      </c>
      <c r="AR566">
        <f>HYPERLINK("http://catalog.hathitrust.org/Record/000026462","HathiTrust Record")</f>
        <v/>
      </c>
      <c r="AS566">
        <f>HYPERLINK("https://creighton-primo.hosted.exlibrisgroup.com/primo-explore/search?tab=default_tab&amp;search_scope=EVERYTHING&amp;vid=01CRU&amp;lang=en_US&amp;offset=0&amp;query=any,contains,991003652599702656","Catalog Record")</f>
        <v/>
      </c>
      <c r="AT566">
        <f>HYPERLINK("http://www.worldcat.org/oclc/1256179","WorldCat Record")</f>
        <v/>
      </c>
      <c r="AU566" t="inlineStr">
        <is>
          <t>3377377062:eng</t>
        </is>
      </c>
      <c r="AV566" t="inlineStr">
        <is>
          <t>1256179</t>
        </is>
      </c>
      <c r="AW566" t="inlineStr">
        <is>
          <t>991003652599702656</t>
        </is>
      </c>
      <c r="AX566" t="inlineStr">
        <is>
          <t>991003652599702656</t>
        </is>
      </c>
      <c r="AY566" t="inlineStr">
        <is>
          <t>2258257980002656</t>
        </is>
      </c>
      <c r="AZ566" t="inlineStr">
        <is>
          <t>BOOK</t>
        </is>
      </c>
      <c r="BB566" t="inlineStr">
        <is>
          <t>9780195018196</t>
        </is>
      </c>
      <c r="BC566" t="inlineStr">
        <is>
          <t>32285000455450</t>
        </is>
      </c>
      <c r="BD566" t="inlineStr">
        <is>
          <t>893868676</t>
        </is>
      </c>
    </row>
    <row r="567">
      <c r="A567" t="inlineStr">
        <is>
          <t>No</t>
        </is>
      </c>
      <c r="B567" t="inlineStr">
        <is>
          <t>DD5 .K33</t>
        </is>
      </c>
      <c r="C567" t="inlineStr">
        <is>
          <t>0                      DD 0005000K  33</t>
        </is>
      </c>
      <c r="D567" t="inlineStr">
        <is>
          <t>The Germans. Edited by Robert and Rita Kimber.</t>
        </is>
      </c>
      <c r="F567" t="inlineStr">
        <is>
          <t>No</t>
        </is>
      </c>
      <c r="G567" t="inlineStr">
        <is>
          <t>1</t>
        </is>
      </c>
      <c r="H567" t="inlineStr">
        <is>
          <t>No</t>
        </is>
      </c>
      <c r="I567" t="inlineStr">
        <is>
          <t>No</t>
        </is>
      </c>
      <c r="J567" t="inlineStr">
        <is>
          <t>0</t>
        </is>
      </c>
      <c r="K567" t="inlineStr">
        <is>
          <t>Kahler, Erich, 1885-1970.</t>
        </is>
      </c>
      <c r="L567" t="inlineStr">
        <is>
          <t>Princeton, N.J., Princeton University Press [1974]</t>
        </is>
      </c>
      <c r="M567" t="inlineStr">
        <is>
          <t>1974</t>
        </is>
      </c>
      <c r="O567" t="inlineStr">
        <is>
          <t>eng</t>
        </is>
      </c>
      <c r="P567" t="inlineStr">
        <is>
          <t>nju</t>
        </is>
      </c>
      <c r="R567" t="inlineStr">
        <is>
          <t xml:space="preserve">DD </t>
        </is>
      </c>
      <c r="S567" t="n">
        <v>1</v>
      </c>
      <c r="T567" t="n">
        <v>1</v>
      </c>
      <c r="U567" t="inlineStr">
        <is>
          <t>2005-11-14</t>
        </is>
      </c>
      <c r="V567" t="inlineStr">
        <is>
          <t>2005-11-14</t>
        </is>
      </c>
      <c r="W567" t="inlineStr">
        <is>
          <t>1991-01-16</t>
        </is>
      </c>
      <c r="X567" t="inlineStr">
        <is>
          <t>1991-01-16</t>
        </is>
      </c>
      <c r="Y567" t="n">
        <v>838</v>
      </c>
      <c r="Z567" t="n">
        <v>710</v>
      </c>
      <c r="AA567" t="n">
        <v>756</v>
      </c>
      <c r="AB567" t="n">
        <v>5</v>
      </c>
      <c r="AC567" t="n">
        <v>6</v>
      </c>
      <c r="AD567" t="n">
        <v>24</v>
      </c>
      <c r="AE567" t="n">
        <v>25</v>
      </c>
      <c r="AF567" t="n">
        <v>10</v>
      </c>
      <c r="AG567" t="n">
        <v>10</v>
      </c>
      <c r="AH567" t="n">
        <v>7</v>
      </c>
      <c r="AI567" t="n">
        <v>7</v>
      </c>
      <c r="AJ567" t="n">
        <v>13</v>
      </c>
      <c r="AK567" t="n">
        <v>13</v>
      </c>
      <c r="AL567" t="n">
        <v>2</v>
      </c>
      <c r="AM567" t="n">
        <v>3</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HYPERLINK("https://creighton-primo.hosted.exlibrisgroup.com/primo-explore/search?tab=default_tab&amp;search_scope=EVERYTHING&amp;vid=01CRU&amp;lang=en_US&amp;offset=0&amp;query=any,contains,991003240929702656","Catalog Record")</f>
        <v/>
      </c>
      <c r="AT567">
        <f>HYPERLINK("http://www.worldcat.org/oclc/763731","WorldCat Record")</f>
        <v/>
      </c>
      <c r="AU567" t="inlineStr">
        <is>
          <t>1648806:eng</t>
        </is>
      </c>
      <c r="AV567" t="inlineStr">
        <is>
          <t>763731</t>
        </is>
      </c>
      <c r="AW567" t="inlineStr">
        <is>
          <t>991003240929702656</t>
        </is>
      </c>
      <c r="AX567" t="inlineStr">
        <is>
          <t>991003240929702656</t>
        </is>
      </c>
      <c r="AY567" t="inlineStr">
        <is>
          <t>2266544510002656</t>
        </is>
      </c>
      <c r="AZ567" t="inlineStr">
        <is>
          <t>BOOK</t>
        </is>
      </c>
      <c r="BB567" t="inlineStr">
        <is>
          <t>9780691052229</t>
        </is>
      </c>
      <c r="BC567" t="inlineStr">
        <is>
          <t>32285000455468</t>
        </is>
      </c>
      <c r="BD567" t="inlineStr">
        <is>
          <t>893505370</t>
        </is>
      </c>
    </row>
    <row r="568">
      <c r="A568" t="inlineStr">
        <is>
          <t>No</t>
        </is>
      </c>
      <c r="B568" t="inlineStr">
        <is>
          <t>DD67 .G36</t>
        </is>
      </c>
      <c r="C568" t="inlineStr">
        <is>
          <t>0                      DD 0067000G  36</t>
        </is>
      </c>
      <c r="D568" t="inlineStr">
        <is>
          <t>Freud, Jews, and other Germans : masters and victims in modernist culture / Peter Gay.</t>
        </is>
      </c>
      <c r="F568" t="inlineStr">
        <is>
          <t>No</t>
        </is>
      </c>
      <c r="G568" t="inlineStr">
        <is>
          <t>1</t>
        </is>
      </c>
      <c r="H568" t="inlineStr">
        <is>
          <t>No</t>
        </is>
      </c>
      <c r="I568" t="inlineStr">
        <is>
          <t>No</t>
        </is>
      </c>
      <c r="J568" t="inlineStr">
        <is>
          <t>0</t>
        </is>
      </c>
      <c r="K568" t="inlineStr">
        <is>
          <t>Gay, Peter, 1923-2015.</t>
        </is>
      </c>
      <c r="L568" t="inlineStr">
        <is>
          <t>New York : Oxford University Press, 1978.</t>
        </is>
      </c>
      <c r="M568" t="inlineStr">
        <is>
          <t>1978</t>
        </is>
      </c>
      <c r="O568" t="inlineStr">
        <is>
          <t>eng</t>
        </is>
      </c>
      <c r="P568" t="inlineStr">
        <is>
          <t>nyu</t>
        </is>
      </c>
      <c r="R568" t="inlineStr">
        <is>
          <t xml:space="preserve">DD </t>
        </is>
      </c>
      <c r="S568" t="n">
        <v>1</v>
      </c>
      <c r="T568" t="n">
        <v>1</v>
      </c>
      <c r="U568" t="inlineStr">
        <is>
          <t>1998-07-13</t>
        </is>
      </c>
      <c r="V568" t="inlineStr">
        <is>
          <t>1998-07-13</t>
        </is>
      </c>
      <c r="W568" t="inlineStr">
        <is>
          <t>1993-12-06</t>
        </is>
      </c>
      <c r="X568" t="inlineStr">
        <is>
          <t>1993-12-06</t>
        </is>
      </c>
      <c r="Y568" t="n">
        <v>1111</v>
      </c>
      <c r="Z568" t="n">
        <v>899</v>
      </c>
      <c r="AA568" t="n">
        <v>917</v>
      </c>
      <c r="AB568" t="n">
        <v>5</v>
      </c>
      <c r="AC568" t="n">
        <v>5</v>
      </c>
      <c r="AD568" t="n">
        <v>34</v>
      </c>
      <c r="AE568" t="n">
        <v>36</v>
      </c>
      <c r="AF568" t="n">
        <v>13</v>
      </c>
      <c r="AG568" t="n">
        <v>15</v>
      </c>
      <c r="AH568" t="n">
        <v>9</v>
      </c>
      <c r="AI568" t="n">
        <v>10</v>
      </c>
      <c r="AJ568" t="n">
        <v>16</v>
      </c>
      <c r="AK568" t="n">
        <v>16</v>
      </c>
      <c r="AL568" t="n">
        <v>4</v>
      </c>
      <c r="AM568" t="n">
        <v>4</v>
      </c>
      <c r="AN568" t="n">
        <v>0</v>
      </c>
      <c r="AO568" t="n">
        <v>0</v>
      </c>
      <c r="AP568" t="inlineStr">
        <is>
          <t>No</t>
        </is>
      </c>
      <c r="AQ568" t="inlineStr">
        <is>
          <t>Yes</t>
        </is>
      </c>
      <c r="AR568">
        <f>HYPERLINK("http://catalog.hathitrust.org/Record/000251765","HathiTrust Record")</f>
        <v/>
      </c>
      <c r="AS568">
        <f>HYPERLINK("https://creighton-primo.hosted.exlibrisgroup.com/primo-explore/search?tab=default_tab&amp;search_scope=EVERYTHING&amp;vid=01CRU&amp;lang=en_US&amp;offset=0&amp;query=any,contains,991004319129702656","Catalog Record")</f>
        <v/>
      </c>
      <c r="AT568">
        <f>HYPERLINK("http://www.worldcat.org/oclc/3016580","WorldCat Record")</f>
        <v/>
      </c>
      <c r="AU568" t="inlineStr">
        <is>
          <t>796476899:eng</t>
        </is>
      </c>
      <c r="AV568" t="inlineStr">
        <is>
          <t>3016580</t>
        </is>
      </c>
      <c r="AW568" t="inlineStr">
        <is>
          <t>991004319129702656</t>
        </is>
      </c>
      <c r="AX568" t="inlineStr">
        <is>
          <t>991004319129702656</t>
        </is>
      </c>
      <c r="AY568" t="inlineStr">
        <is>
          <t>2271448990002656</t>
        </is>
      </c>
      <c r="AZ568" t="inlineStr">
        <is>
          <t>BOOK</t>
        </is>
      </c>
      <c r="BB568" t="inlineStr">
        <is>
          <t>9780195022582</t>
        </is>
      </c>
      <c r="BC568" t="inlineStr">
        <is>
          <t>32285001805877</t>
        </is>
      </c>
      <c r="BD568" t="inlineStr">
        <is>
          <t>893241269</t>
        </is>
      </c>
    </row>
    <row r="569">
      <c r="A569" t="inlineStr">
        <is>
          <t>No</t>
        </is>
      </c>
      <c r="B569" t="inlineStr">
        <is>
          <t>DD76 .K59 1965</t>
        </is>
      </c>
      <c r="C569" t="inlineStr">
        <is>
          <t>0                      DD 0076000K  59          1965</t>
        </is>
      </c>
      <c r="D569" t="inlineStr">
        <is>
          <t>The mind of Germany : the education of a nation / Hans Kohn.</t>
        </is>
      </c>
      <c r="F569" t="inlineStr">
        <is>
          <t>No</t>
        </is>
      </c>
      <c r="G569" t="inlineStr">
        <is>
          <t>1</t>
        </is>
      </c>
      <c r="H569" t="inlineStr">
        <is>
          <t>No</t>
        </is>
      </c>
      <c r="I569" t="inlineStr">
        <is>
          <t>No</t>
        </is>
      </c>
      <c r="J569" t="inlineStr">
        <is>
          <t>0</t>
        </is>
      </c>
      <c r="K569" t="inlineStr">
        <is>
          <t>Kohn, Hans, 1891-1971.</t>
        </is>
      </c>
      <c r="L569" t="inlineStr">
        <is>
          <t>New York : Harper &amp; Row, [1965, c1960]</t>
        </is>
      </c>
      <c r="M569" t="inlineStr">
        <is>
          <t>1965</t>
        </is>
      </c>
      <c r="O569" t="inlineStr">
        <is>
          <t>eng</t>
        </is>
      </c>
      <c r="P569" t="inlineStr">
        <is>
          <t>nyu</t>
        </is>
      </c>
      <c r="Q569" t="inlineStr">
        <is>
          <t>Harper torchbooks/The Academy library</t>
        </is>
      </c>
      <c r="R569" t="inlineStr">
        <is>
          <t xml:space="preserve">DD </t>
        </is>
      </c>
      <c r="S569" t="n">
        <v>1</v>
      </c>
      <c r="T569" t="n">
        <v>1</v>
      </c>
      <c r="U569" t="inlineStr">
        <is>
          <t>2001-07-24</t>
        </is>
      </c>
      <c r="V569" t="inlineStr">
        <is>
          <t>2001-07-24</t>
        </is>
      </c>
      <c r="W569" t="inlineStr">
        <is>
          <t>2001-07-23</t>
        </is>
      </c>
      <c r="X569" t="inlineStr">
        <is>
          <t>2001-07-23</t>
        </is>
      </c>
      <c r="Y569" t="n">
        <v>255</v>
      </c>
      <c r="Z569" t="n">
        <v>216</v>
      </c>
      <c r="AA569" t="n">
        <v>1166</v>
      </c>
      <c r="AB569" t="n">
        <v>1</v>
      </c>
      <c r="AC569" t="n">
        <v>6</v>
      </c>
      <c r="AD569" t="n">
        <v>12</v>
      </c>
      <c r="AE569" t="n">
        <v>50</v>
      </c>
      <c r="AF569" t="n">
        <v>6</v>
      </c>
      <c r="AG569" t="n">
        <v>21</v>
      </c>
      <c r="AH569" t="n">
        <v>4</v>
      </c>
      <c r="AI569" t="n">
        <v>10</v>
      </c>
      <c r="AJ569" t="n">
        <v>6</v>
      </c>
      <c r="AK569" t="n">
        <v>24</v>
      </c>
      <c r="AL569" t="n">
        <v>0</v>
      </c>
      <c r="AM569" t="n">
        <v>4</v>
      </c>
      <c r="AN569" t="n">
        <v>0</v>
      </c>
      <c r="AO569" t="n">
        <v>2</v>
      </c>
      <c r="AP569" t="inlineStr">
        <is>
          <t>No</t>
        </is>
      </c>
      <c r="AQ569" t="inlineStr">
        <is>
          <t>Yes</t>
        </is>
      </c>
      <c r="AR569">
        <f>HYPERLINK("http://catalog.hathitrust.org/Record/000372399","HathiTrust Record")</f>
        <v/>
      </c>
      <c r="AS569">
        <f>HYPERLINK("https://creighton-primo.hosted.exlibrisgroup.com/primo-explore/search?tab=default_tab&amp;search_scope=EVERYTHING&amp;vid=01CRU&amp;lang=en_US&amp;offset=0&amp;query=any,contains,991003583689702656","Catalog Record")</f>
        <v/>
      </c>
      <c r="AT569">
        <f>HYPERLINK("http://www.worldcat.org/oclc/804071","WorldCat Record")</f>
        <v/>
      </c>
      <c r="AU569" t="inlineStr">
        <is>
          <t>1618496:eng</t>
        </is>
      </c>
      <c r="AV569" t="inlineStr">
        <is>
          <t>804071</t>
        </is>
      </c>
      <c r="AW569" t="inlineStr">
        <is>
          <t>991003583689702656</t>
        </is>
      </c>
      <c r="AX569" t="inlineStr">
        <is>
          <t>991003583689702656</t>
        </is>
      </c>
      <c r="AY569" t="inlineStr">
        <is>
          <t>2269451460002656</t>
        </is>
      </c>
      <c r="AZ569" t="inlineStr">
        <is>
          <t>BOOK</t>
        </is>
      </c>
      <c r="BC569" t="inlineStr">
        <is>
          <t>32285004334214</t>
        </is>
      </c>
      <c r="BD569" t="inlineStr">
        <is>
          <t>893874918</t>
        </is>
      </c>
    </row>
    <row r="570">
      <c r="A570" t="inlineStr">
        <is>
          <t>No</t>
        </is>
      </c>
      <c r="B570" t="inlineStr">
        <is>
          <t>DD89 .D33 1969</t>
        </is>
      </c>
      <c r="C570" t="inlineStr">
        <is>
          <t>0                      DD 0089000D  33          1969</t>
        </is>
      </c>
      <c r="D570" t="inlineStr">
        <is>
          <t>Dahlmann-Waitz. Quellenkunde der deutschen Geschichte; Bibliographie der Quellen und der Literatur zur deutschen Geschichte.</t>
        </is>
      </c>
      <c r="E570" t="inlineStr">
        <is>
          <t>V.6</t>
        </is>
      </c>
      <c r="F570" t="inlineStr">
        <is>
          <t>Yes</t>
        </is>
      </c>
      <c r="G570" t="inlineStr">
        <is>
          <t>1</t>
        </is>
      </c>
      <c r="H570" t="inlineStr">
        <is>
          <t>No</t>
        </is>
      </c>
      <c r="I570" t="inlineStr">
        <is>
          <t>No</t>
        </is>
      </c>
      <c r="J570" t="inlineStr">
        <is>
          <t>0</t>
        </is>
      </c>
      <c r="K570" t="inlineStr">
        <is>
          <t>Dahlmann, F. C. (Friedrich Christoph), 1785-1860.</t>
        </is>
      </c>
      <c r="L570" t="inlineStr">
        <is>
          <t>Stuttgart, A. Hiersemann, 1965-1969-</t>
        </is>
      </c>
      <c r="M570" t="inlineStr">
        <is>
          <t>1969</t>
        </is>
      </c>
      <c r="N570" t="inlineStr">
        <is>
          <t>10. Aufl., hrsg. im Max-Planck-Institut für Geschichte von Hermann Heimpel und Herbert Geuss.</t>
        </is>
      </c>
      <c r="O570" t="inlineStr">
        <is>
          <t>eng</t>
        </is>
      </c>
      <c r="P570" t="inlineStr">
        <is>
          <t>___</t>
        </is>
      </c>
      <c r="R570" t="inlineStr">
        <is>
          <t xml:space="preserve">DD </t>
        </is>
      </c>
      <c r="S570" t="n">
        <v>0</v>
      </c>
      <c r="T570" t="n">
        <v>1</v>
      </c>
      <c r="V570" t="inlineStr">
        <is>
          <t>1998-05-04</t>
        </is>
      </c>
      <c r="W570" t="inlineStr">
        <is>
          <t>1992-04-23</t>
        </is>
      </c>
      <c r="X570" t="inlineStr">
        <is>
          <t>1998-04-29</t>
        </is>
      </c>
      <c r="Y570" t="n">
        <v>239</v>
      </c>
      <c r="Z570" t="n">
        <v>194</v>
      </c>
      <c r="AA570" t="n">
        <v>228</v>
      </c>
      <c r="AB570" t="n">
        <v>3</v>
      </c>
      <c r="AC570" t="n">
        <v>3</v>
      </c>
      <c r="AD570" t="n">
        <v>12</v>
      </c>
      <c r="AE570" t="n">
        <v>13</v>
      </c>
      <c r="AF570" t="n">
        <v>2</v>
      </c>
      <c r="AG570" t="n">
        <v>2</v>
      </c>
      <c r="AH570" t="n">
        <v>4</v>
      </c>
      <c r="AI570" t="n">
        <v>4</v>
      </c>
      <c r="AJ570" t="n">
        <v>6</v>
      </c>
      <c r="AK570" t="n">
        <v>7</v>
      </c>
      <c r="AL570" t="n">
        <v>2</v>
      </c>
      <c r="AM570" t="n">
        <v>2</v>
      </c>
      <c r="AN570" t="n">
        <v>0</v>
      </c>
      <c r="AO570" t="n">
        <v>0</v>
      </c>
      <c r="AP570" t="inlineStr">
        <is>
          <t>No</t>
        </is>
      </c>
      <c r="AQ570" t="inlineStr">
        <is>
          <t>Yes</t>
        </is>
      </c>
      <c r="AR570">
        <f>HYPERLINK("http://catalog.hathitrust.org/Record/000225449","HathiTrust Record")</f>
        <v/>
      </c>
      <c r="AS570">
        <f>HYPERLINK("https://creighton-primo.hosted.exlibrisgroup.com/primo-explore/search?tab=default_tab&amp;search_scope=EVERYTHING&amp;vid=01CRU&amp;lang=en_US&amp;offset=0&amp;query=any,contains,991001297609702656","Catalog Record")</f>
        <v/>
      </c>
      <c r="AT570">
        <f>HYPERLINK("http://www.worldcat.org/oclc/786018","WorldCat Record")</f>
        <v/>
      </c>
      <c r="AU570" t="inlineStr">
        <is>
          <t>4714342300:ger</t>
        </is>
      </c>
      <c r="AV570" t="inlineStr">
        <is>
          <t>786018</t>
        </is>
      </c>
      <c r="AW570" t="inlineStr">
        <is>
          <t>991001297609702656</t>
        </is>
      </c>
      <c r="AX570" t="inlineStr">
        <is>
          <t>991001297609702656</t>
        </is>
      </c>
      <c r="AY570" t="inlineStr">
        <is>
          <t>2262736360002656</t>
        </is>
      </c>
      <c r="AZ570" t="inlineStr">
        <is>
          <t>BOOK</t>
        </is>
      </c>
      <c r="BC570" t="inlineStr">
        <is>
          <t>32285001069490</t>
        </is>
      </c>
      <c r="BD570" t="inlineStr">
        <is>
          <t>893720990</t>
        </is>
      </c>
    </row>
    <row r="571">
      <c r="A571" t="inlineStr">
        <is>
          <t>No</t>
        </is>
      </c>
      <c r="B571" t="inlineStr">
        <is>
          <t>DD89 .D33 1969</t>
        </is>
      </c>
      <c r="C571" t="inlineStr">
        <is>
          <t>0                      DD 0089000D  33          1969</t>
        </is>
      </c>
      <c r="D571" t="inlineStr">
        <is>
          <t>Dahlmann-Waitz. Quellenkunde der deutschen Geschichte; Bibliographie der Quellen und der Literatur zur deutschen Geschichte.</t>
        </is>
      </c>
      <c r="E571" t="inlineStr">
        <is>
          <t>V.2</t>
        </is>
      </c>
      <c r="F571" t="inlineStr">
        <is>
          <t>Yes</t>
        </is>
      </c>
      <c r="G571" t="inlineStr">
        <is>
          <t>1</t>
        </is>
      </c>
      <c r="H571" t="inlineStr">
        <is>
          <t>No</t>
        </is>
      </c>
      <c r="I571" t="inlineStr">
        <is>
          <t>No</t>
        </is>
      </c>
      <c r="J571" t="inlineStr">
        <is>
          <t>0</t>
        </is>
      </c>
      <c r="K571" t="inlineStr">
        <is>
          <t>Dahlmann, F. C. (Friedrich Christoph), 1785-1860.</t>
        </is>
      </c>
      <c r="L571" t="inlineStr">
        <is>
          <t>Stuttgart, A. Hiersemann, 1965-1969-</t>
        </is>
      </c>
      <c r="M571" t="inlineStr">
        <is>
          <t>1969</t>
        </is>
      </c>
      <c r="N571" t="inlineStr">
        <is>
          <t>10. Aufl., hrsg. im Max-Planck-Institut für Geschichte von Hermann Heimpel und Herbert Geuss.</t>
        </is>
      </c>
      <c r="O571" t="inlineStr">
        <is>
          <t>eng</t>
        </is>
      </c>
      <c r="P571" t="inlineStr">
        <is>
          <t>___</t>
        </is>
      </c>
      <c r="R571" t="inlineStr">
        <is>
          <t xml:space="preserve">DD </t>
        </is>
      </c>
      <c r="S571" t="n">
        <v>0</v>
      </c>
      <c r="T571" t="n">
        <v>1</v>
      </c>
      <c r="V571" t="inlineStr">
        <is>
          <t>1998-05-04</t>
        </is>
      </c>
      <c r="W571" t="inlineStr">
        <is>
          <t>1998-03-26</t>
        </is>
      </c>
      <c r="X571" t="inlineStr">
        <is>
          <t>1998-04-29</t>
        </is>
      </c>
      <c r="Y571" t="n">
        <v>239</v>
      </c>
      <c r="Z571" t="n">
        <v>194</v>
      </c>
      <c r="AA571" t="n">
        <v>228</v>
      </c>
      <c r="AB571" t="n">
        <v>3</v>
      </c>
      <c r="AC571" t="n">
        <v>3</v>
      </c>
      <c r="AD571" t="n">
        <v>12</v>
      </c>
      <c r="AE571" t="n">
        <v>13</v>
      </c>
      <c r="AF571" t="n">
        <v>2</v>
      </c>
      <c r="AG571" t="n">
        <v>2</v>
      </c>
      <c r="AH571" t="n">
        <v>4</v>
      </c>
      <c r="AI571" t="n">
        <v>4</v>
      </c>
      <c r="AJ571" t="n">
        <v>6</v>
      </c>
      <c r="AK571" t="n">
        <v>7</v>
      </c>
      <c r="AL571" t="n">
        <v>2</v>
      </c>
      <c r="AM571" t="n">
        <v>2</v>
      </c>
      <c r="AN571" t="n">
        <v>0</v>
      </c>
      <c r="AO571" t="n">
        <v>0</v>
      </c>
      <c r="AP571" t="inlineStr">
        <is>
          <t>No</t>
        </is>
      </c>
      <c r="AQ571" t="inlineStr">
        <is>
          <t>Yes</t>
        </is>
      </c>
      <c r="AR571">
        <f>HYPERLINK("http://catalog.hathitrust.org/Record/000225449","HathiTrust Record")</f>
        <v/>
      </c>
      <c r="AS571">
        <f>HYPERLINK("https://creighton-primo.hosted.exlibrisgroup.com/primo-explore/search?tab=default_tab&amp;search_scope=EVERYTHING&amp;vid=01CRU&amp;lang=en_US&amp;offset=0&amp;query=any,contains,991001297609702656","Catalog Record")</f>
        <v/>
      </c>
      <c r="AT571">
        <f>HYPERLINK("http://www.worldcat.org/oclc/786018","WorldCat Record")</f>
        <v/>
      </c>
      <c r="AU571" t="inlineStr">
        <is>
          <t>4714342300:ger</t>
        </is>
      </c>
      <c r="AV571" t="inlineStr">
        <is>
          <t>786018</t>
        </is>
      </c>
      <c r="AW571" t="inlineStr">
        <is>
          <t>991001297609702656</t>
        </is>
      </c>
      <c r="AX571" t="inlineStr">
        <is>
          <t>991001297609702656</t>
        </is>
      </c>
      <c r="AY571" t="inlineStr">
        <is>
          <t>2262736360002656</t>
        </is>
      </c>
      <c r="AZ571" t="inlineStr">
        <is>
          <t>BOOK</t>
        </is>
      </c>
      <c r="BC571" t="inlineStr">
        <is>
          <t>32285003369757</t>
        </is>
      </c>
      <c r="BD571" t="inlineStr">
        <is>
          <t>893696647</t>
        </is>
      </c>
    </row>
    <row r="572">
      <c r="A572" t="inlineStr">
        <is>
          <t>No</t>
        </is>
      </c>
      <c r="B572" t="inlineStr">
        <is>
          <t>DD89 .D33 1969</t>
        </is>
      </c>
      <c r="C572" t="inlineStr">
        <is>
          <t>0                      DD 0089000D  33          1969</t>
        </is>
      </c>
      <c r="D572" t="inlineStr">
        <is>
          <t>Dahlmann-Waitz. Quellenkunde der deutschen Geschichte; Bibliographie der Quellen und der Literatur zur deutschen Geschichte.</t>
        </is>
      </c>
      <c r="E572" t="inlineStr">
        <is>
          <t>V.1</t>
        </is>
      </c>
      <c r="F572" t="inlineStr">
        <is>
          <t>Yes</t>
        </is>
      </c>
      <c r="G572" t="inlineStr">
        <is>
          <t>1</t>
        </is>
      </c>
      <c r="H572" t="inlineStr">
        <is>
          <t>No</t>
        </is>
      </c>
      <c r="I572" t="inlineStr">
        <is>
          <t>No</t>
        </is>
      </c>
      <c r="J572" t="inlineStr">
        <is>
          <t>0</t>
        </is>
      </c>
      <c r="K572" t="inlineStr">
        <is>
          <t>Dahlmann, F. C. (Friedrich Christoph), 1785-1860.</t>
        </is>
      </c>
      <c r="L572" t="inlineStr">
        <is>
          <t>Stuttgart, A. Hiersemann, 1965-1969-</t>
        </is>
      </c>
      <c r="M572" t="inlineStr">
        <is>
          <t>1969</t>
        </is>
      </c>
      <c r="N572" t="inlineStr">
        <is>
          <t>10. Aufl., hrsg. im Max-Planck-Institut für Geschichte von Hermann Heimpel und Herbert Geuss.</t>
        </is>
      </c>
      <c r="O572" t="inlineStr">
        <is>
          <t>eng</t>
        </is>
      </c>
      <c r="P572" t="inlineStr">
        <is>
          <t>___</t>
        </is>
      </c>
      <c r="R572" t="inlineStr">
        <is>
          <t xml:space="preserve">DD </t>
        </is>
      </c>
      <c r="S572" t="n">
        <v>0</v>
      </c>
      <c r="T572" t="n">
        <v>1</v>
      </c>
      <c r="V572" t="inlineStr">
        <is>
          <t>1998-05-04</t>
        </is>
      </c>
      <c r="W572" t="inlineStr">
        <is>
          <t>1998-03-26</t>
        </is>
      </c>
      <c r="X572" t="inlineStr">
        <is>
          <t>1998-04-29</t>
        </is>
      </c>
      <c r="Y572" t="n">
        <v>239</v>
      </c>
      <c r="Z572" t="n">
        <v>194</v>
      </c>
      <c r="AA572" t="n">
        <v>228</v>
      </c>
      <c r="AB572" t="n">
        <v>3</v>
      </c>
      <c r="AC572" t="n">
        <v>3</v>
      </c>
      <c r="AD572" t="n">
        <v>12</v>
      </c>
      <c r="AE572" t="n">
        <v>13</v>
      </c>
      <c r="AF572" t="n">
        <v>2</v>
      </c>
      <c r="AG572" t="n">
        <v>2</v>
      </c>
      <c r="AH572" t="n">
        <v>4</v>
      </c>
      <c r="AI572" t="n">
        <v>4</v>
      </c>
      <c r="AJ572" t="n">
        <v>6</v>
      </c>
      <c r="AK572" t="n">
        <v>7</v>
      </c>
      <c r="AL572" t="n">
        <v>2</v>
      </c>
      <c r="AM572" t="n">
        <v>2</v>
      </c>
      <c r="AN572" t="n">
        <v>0</v>
      </c>
      <c r="AO572" t="n">
        <v>0</v>
      </c>
      <c r="AP572" t="inlineStr">
        <is>
          <t>No</t>
        </is>
      </c>
      <c r="AQ572" t="inlineStr">
        <is>
          <t>Yes</t>
        </is>
      </c>
      <c r="AR572">
        <f>HYPERLINK("http://catalog.hathitrust.org/Record/000225449","HathiTrust Record")</f>
        <v/>
      </c>
      <c r="AS572">
        <f>HYPERLINK("https://creighton-primo.hosted.exlibrisgroup.com/primo-explore/search?tab=default_tab&amp;search_scope=EVERYTHING&amp;vid=01CRU&amp;lang=en_US&amp;offset=0&amp;query=any,contains,991001297609702656","Catalog Record")</f>
        <v/>
      </c>
      <c r="AT572">
        <f>HYPERLINK("http://www.worldcat.org/oclc/786018","WorldCat Record")</f>
        <v/>
      </c>
      <c r="AU572" t="inlineStr">
        <is>
          <t>4714342300:ger</t>
        </is>
      </c>
      <c r="AV572" t="inlineStr">
        <is>
          <t>786018</t>
        </is>
      </c>
      <c r="AW572" t="inlineStr">
        <is>
          <t>991001297609702656</t>
        </is>
      </c>
      <c r="AX572" t="inlineStr">
        <is>
          <t>991001297609702656</t>
        </is>
      </c>
      <c r="AY572" t="inlineStr">
        <is>
          <t>2262736360002656</t>
        </is>
      </c>
      <c r="AZ572" t="inlineStr">
        <is>
          <t>BOOK</t>
        </is>
      </c>
      <c r="BC572" t="inlineStr">
        <is>
          <t>32285003369740</t>
        </is>
      </c>
      <c r="BD572" t="inlineStr">
        <is>
          <t>893715352</t>
        </is>
      </c>
    </row>
    <row r="573">
      <c r="A573" t="inlineStr">
        <is>
          <t>No</t>
        </is>
      </c>
      <c r="B573" t="inlineStr">
        <is>
          <t>DD89 .D33 1969</t>
        </is>
      </c>
      <c r="C573" t="inlineStr">
        <is>
          <t>0                      DD 0089000D  33          1969</t>
        </is>
      </c>
      <c r="D573" t="inlineStr">
        <is>
          <t>Dahlmann-Waitz. Quellenkunde der deutschen Geschichte; Bibliographie der Quellen und der Literatur zur deutschen Geschichte.</t>
        </is>
      </c>
      <c r="E573" t="inlineStr">
        <is>
          <t>V.7</t>
        </is>
      </c>
      <c r="F573" t="inlineStr">
        <is>
          <t>Yes</t>
        </is>
      </c>
      <c r="G573" t="inlineStr">
        <is>
          <t>1</t>
        </is>
      </c>
      <c r="H573" t="inlineStr">
        <is>
          <t>No</t>
        </is>
      </c>
      <c r="I573" t="inlineStr">
        <is>
          <t>No</t>
        </is>
      </c>
      <c r="J573" t="inlineStr">
        <is>
          <t>0</t>
        </is>
      </c>
      <c r="K573" t="inlineStr">
        <is>
          <t>Dahlmann, F. C. (Friedrich Christoph), 1785-1860.</t>
        </is>
      </c>
      <c r="L573" t="inlineStr">
        <is>
          <t>Stuttgart, A. Hiersemann, 1965-1969-</t>
        </is>
      </c>
      <c r="M573" t="inlineStr">
        <is>
          <t>1969</t>
        </is>
      </c>
      <c r="N573" t="inlineStr">
        <is>
          <t>10. Aufl., hrsg. im Max-Planck-Institut für Geschichte von Hermann Heimpel und Herbert Geuss.</t>
        </is>
      </c>
      <c r="O573" t="inlineStr">
        <is>
          <t>eng</t>
        </is>
      </c>
      <c r="P573" t="inlineStr">
        <is>
          <t>___</t>
        </is>
      </c>
      <c r="R573" t="inlineStr">
        <is>
          <t xml:space="preserve">DD </t>
        </is>
      </c>
      <c r="S573" t="n">
        <v>1</v>
      </c>
      <c r="T573" t="n">
        <v>1</v>
      </c>
      <c r="U573" t="inlineStr">
        <is>
          <t>1998-05-04</t>
        </is>
      </c>
      <c r="V573" t="inlineStr">
        <is>
          <t>1998-05-04</t>
        </is>
      </c>
      <c r="W573" t="inlineStr">
        <is>
          <t>1998-04-29</t>
        </is>
      </c>
      <c r="X573" t="inlineStr">
        <is>
          <t>1998-04-29</t>
        </is>
      </c>
      <c r="Y573" t="n">
        <v>239</v>
      </c>
      <c r="Z573" t="n">
        <v>194</v>
      </c>
      <c r="AA573" t="n">
        <v>228</v>
      </c>
      <c r="AB573" t="n">
        <v>3</v>
      </c>
      <c r="AC573" t="n">
        <v>3</v>
      </c>
      <c r="AD573" t="n">
        <v>12</v>
      </c>
      <c r="AE573" t="n">
        <v>13</v>
      </c>
      <c r="AF573" t="n">
        <v>2</v>
      </c>
      <c r="AG573" t="n">
        <v>2</v>
      </c>
      <c r="AH573" t="n">
        <v>4</v>
      </c>
      <c r="AI573" t="n">
        <v>4</v>
      </c>
      <c r="AJ573" t="n">
        <v>6</v>
      </c>
      <c r="AK573" t="n">
        <v>7</v>
      </c>
      <c r="AL573" t="n">
        <v>2</v>
      </c>
      <c r="AM573" t="n">
        <v>2</v>
      </c>
      <c r="AN573" t="n">
        <v>0</v>
      </c>
      <c r="AO573" t="n">
        <v>0</v>
      </c>
      <c r="AP573" t="inlineStr">
        <is>
          <t>No</t>
        </is>
      </c>
      <c r="AQ573" t="inlineStr">
        <is>
          <t>Yes</t>
        </is>
      </c>
      <c r="AR573">
        <f>HYPERLINK("http://catalog.hathitrust.org/Record/000225449","HathiTrust Record")</f>
        <v/>
      </c>
      <c r="AS573">
        <f>HYPERLINK("https://creighton-primo.hosted.exlibrisgroup.com/primo-explore/search?tab=default_tab&amp;search_scope=EVERYTHING&amp;vid=01CRU&amp;lang=en_US&amp;offset=0&amp;query=any,contains,991001297609702656","Catalog Record")</f>
        <v/>
      </c>
      <c r="AT573">
        <f>HYPERLINK("http://www.worldcat.org/oclc/786018","WorldCat Record")</f>
        <v/>
      </c>
      <c r="AU573" t="inlineStr">
        <is>
          <t>4714342300:ger</t>
        </is>
      </c>
      <c r="AV573" t="inlineStr">
        <is>
          <t>786018</t>
        </is>
      </c>
      <c r="AW573" t="inlineStr">
        <is>
          <t>991001297609702656</t>
        </is>
      </c>
      <c r="AX573" t="inlineStr">
        <is>
          <t>991001297609702656</t>
        </is>
      </c>
      <c r="AY573" t="inlineStr">
        <is>
          <t>2262736360002656</t>
        </is>
      </c>
      <c r="AZ573" t="inlineStr">
        <is>
          <t>BOOK</t>
        </is>
      </c>
      <c r="BC573" t="inlineStr">
        <is>
          <t>32285003379236</t>
        </is>
      </c>
      <c r="BD573" t="inlineStr">
        <is>
          <t>893720988</t>
        </is>
      </c>
    </row>
    <row r="574">
      <c r="A574" t="inlineStr">
        <is>
          <t>No</t>
        </is>
      </c>
      <c r="B574" t="inlineStr">
        <is>
          <t>DD89 .D33 1969</t>
        </is>
      </c>
      <c r="C574" t="inlineStr">
        <is>
          <t>0                      DD 0089000D  33          1969</t>
        </is>
      </c>
      <c r="D574" t="inlineStr">
        <is>
          <t>Dahlmann-Waitz. Quellenkunde der deutschen Geschichte; Bibliographie der Quellen und der Literatur zur deutschen Geschichte.</t>
        </is>
      </c>
      <c r="E574" t="inlineStr">
        <is>
          <t>V.5</t>
        </is>
      </c>
      <c r="F574" t="inlineStr">
        <is>
          <t>Yes</t>
        </is>
      </c>
      <c r="G574" t="inlineStr">
        <is>
          <t>1</t>
        </is>
      </c>
      <c r="H574" t="inlineStr">
        <is>
          <t>No</t>
        </is>
      </c>
      <c r="I574" t="inlineStr">
        <is>
          <t>No</t>
        </is>
      </c>
      <c r="J574" t="inlineStr">
        <is>
          <t>0</t>
        </is>
      </c>
      <c r="K574" t="inlineStr">
        <is>
          <t>Dahlmann, F. C. (Friedrich Christoph), 1785-1860.</t>
        </is>
      </c>
      <c r="L574" t="inlineStr">
        <is>
          <t>Stuttgart, A. Hiersemann, 1965-1969-</t>
        </is>
      </c>
      <c r="M574" t="inlineStr">
        <is>
          <t>1969</t>
        </is>
      </c>
      <c r="N574" t="inlineStr">
        <is>
          <t>10. Aufl., hrsg. im Max-Planck-Institut für Geschichte von Hermann Heimpel und Herbert Geuss.</t>
        </is>
      </c>
      <c r="O574" t="inlineStr">
        <is>
          <t>eng</t>
        </is>
      </c>
      <c r="P574" t="inlineStr">
        <is>
          <t>___</t>
        </is>
      </c>
      <c r="R574" t="inlineStr">
        <is>
          <t xml:space="preserve">DD </t>
        </is>
      </c>
      <c r="S574" t="n">
        <v>0</v>
      </c>
      <c r="T574" t="n">
        <v>1</v>
      </c>
      <c r="V574" t="inlineStr">
        <is>
          <t>1998-05-04</t>
        </is>
      </c>
      <c r="W574" t="inlineStr">
        <is>
          <t>1998-03-26</t>
        </is>
      </c>
      <c r="X574" t="inlineStr">
        <is>
          <t>1998-04-29</t>
        </is>
      </c>
      <c r="Y574" t="n">
        <v>239</v>
      </c>
      <c r="Z574" t="n">
        <v>194</v>
      </c>
      <c r="AA574" t="n">
        <v>228</v>
      </c>
      <c r="AB574" t="n">
        <v>3</v>
      </c>
      <c r="AC574" t="n">
        <v>3</v>
      </c>
      <c r="AD574" t="n">
        <v>12</v>
      </c>
      <c r="AE574" t="n">
        <v>13</v>
      </c>
      <c r="AF574" t="n">
        <v>2</v>
      </c>
      <c r="AG574" t="n">
        <v>2</v>
      </c>
      <c r="AH574" t="n">
        <v>4</v>
      </c>
      <c r="AI574" t="n">
        <v>4</v>
      </c>
      <c r="AJ574" t="n">
        <v>6</v>
      </c>
      <c r="AK574" t="n">
        <v>7</v>
      </c>
      <c r="AL574" t="n">
        <v>2</v>
      </c>
      <c r="AM574" t="n">
        <v>2</v>
      </c>
      <c r="AN574" t="n">
        <v>0</v>
      </c>
      <c r="AO574" t="n">
        <v>0</v>
      </c>
      <c r="AP574" t="inlineStr">
        <is>
          <t>No</t>
        </is>
      </c>
      <c r="AQ574" t="inlineStr">
        <is>
          <t>Yes</t>
        </is>
      </c>
      <c r="AR574">
        <f>HYPERLINK("http://catalog.hathitrust.org/Record/000225449","HathiTrust Record")</f>
        <v/>
      </c>
      <c r="AS574">
        <f>HYPERLINK("https://creighton-primo.hosted.exlibrisgroup.com/primo-explore/search?tab=default_tab&amp;search_scope=EVERYTHING&amp;vid=01CRU&amp;lang=en_US&amp;offset=0&amp;query=any,contains,991001297609702656","Catalog Record")</f>
        <v/>
      </c>
      <c r="AT574">
        <f>HYPERLINK("http://www.worldcat.org/oclc/786018","WorldCat Record")</f>
        <v/>
      </c>
      <c r="AU574" t="inlineStr">
        <is>
          <t>4714342300:ger</t>
        </is>
      </c>
      <c r="AV574" t="inlineStr">
        <is>
          <t>786018</t>
        </is>
      </c>
      <c r="AW574" t="inlineStr">
        <is>
          <t>991001297609702656</t>
        </is>
      </c>
      <c r="AX574" t="inlineStr">
        <is>
          <t>991001297609702656</t>
        </is>
      </c>
      <c r="AY574" t="inlineStr">
        <is>
          <t>2262736360002656</t>
        </is>
      </c>
      <c r="AZ574" t="inlineStr">
        <is>
          <t>BOOK</t>
        </is>
      </c>
      <c r="BC574" t="inlineStr">
        <is>
          <t>32285003369781</t>
        </is>
      </c>
      <c r="BD574" t="inlineStr">
        <is>
          <t>893720989</t>
        </is>
      </c>
    </row>
    <row r="575">
      <c r="A575" t="inlineStr">
        <is>
          <t>No</t>
        </is>
      </c>
      <c r="B575" t="inlineStr">
        <is>
          <t>DD89 .D33 1969</t>
        </is>
      </c>
      <c r="C575" t="inlineStr">
        <is>
          <t>0                      DD 0089000D  33          1969</t>
        </is>
      </c>
      <c r="D575" t="inlineStr">
        <is>
          <t>Dahlmann-Waitz. Quellenkunde der deutschen Geschichte; Bibliographie der Quellen und der Literatur zur deutschen Geschichte.</t>
        </is>
      </c>
      <c r="E575" t="inlineStr">
        <is>
          <t>V.3</t>
        </is>
      </c>
      <c r="F575" t="inlineStr">
        <is>
          <t>Yes</t>
        </is>
      </c>
      <c r="G575" t="inlineStr">
        <is>
          <t>1</t>
        </is>
      </c>
      <c r="H575" t="inlineStr">
        <is>
          <t>No</t>
        </is>
      </c>
      <c r="I575" t="inlineStr">
        <is>
          <t>No</t>
        </is>
      </c>
      <c r="J575" t="inlineStr">
        <is>
          <t>0</t>
        </is>
      </c>
      <c r="K575" t="inlineStr">
        <is>
          <t>Dahlmann, F. C. (Friedrich Christoph), 1785-1860.</t>
        </is>
      </c>
      <c r="L575" t="inlineStr">
        <is>
          <t>Stuttgart, A. Hiersemann, 1965-1969-</t>
        </is>
      </c>
      <c r="M575" t="inlineStr">
        <is>
          <t>1969</t>
        </is>
      </c>
      <c r="N575" t="inlineStr">
        <is>
          <t>10. Aufl., hrsg. im Max-Planck-Institut für Geschichte von Hermann Heimpel und Herbert Geuss.</t>
        </is>
      </c>
      <c r="O575" t="inlineStr">
        <is>
          <t>eng</t>
        </is>
      </c>
      <c r="P575" t="inlineStr">
        <is>
          <t>___</t>
        </is>
      </c>
      <c r="R575" t="inlineStr">
        <is>
          <t xml:space="preserve">DD </t>
        </is>
      </c>
      <c r="S575" t="n">
        <v>0</v>
      </c>
      <c r="T575" t="n">
        <v>1</v>
      </c>
      <c r="V575" t="inlineStr">
        <is>
          <t>1998-05-04</t>
        </is>
      </c>
      <c r="W575" t="inlineStr">
        <is>
          <t>1998-03-26</t>
        </is>
      </c>
      <c r="X575" t="inlineStr">
        <is>
          <t>1998-04-29</t>
        </is>
      </c>
      <c r="Y575" t="n">
        <v>239</v>
      </c>
      <c r="Z575" t="n">
        <v>194</v>
      </c>
      <c r="AA575" t="n">
        <v>228</v>
      </c>
      <c r="AB575" t="n">
        <v>3</v>
      </c>
      <c r="AC575" t="n">
        <v>3</v>
      </c>
      <c r="AD575" t="n">
        <v>12</v>
      </c>
      <c r="AE575" t="n">
        <v>13</v>
      </c>
      <c r="AF575" t="n">
        <v>2</v>
      </c>
      <c r="AG575" t="n">
        <v>2</v>
      </c>
      <c r="AH575" t="n">
        <v>4</v>
      </c>
      <c r="AI575" t="n">
        <v>4</v>
      </c>
      <c r="AJ575" t="n">
        <v>6</v>
      </c>
      <c r="AK575" t="n">
        <v>7</v>
      </c>
      <c r="AL575" t="n">
        <v>2</v>
      </c>
      <c r="AM575" t="n">
        <v>2</v>
      </c>
      <c r="AN575" t="n">
        <v>0</v>
      </c>
      <c r="AO575" t="n">
        <v>0</v>
      </c>
      <c r="AP575" t="inlineStr">
        <is>
          <t>No</t>
        </is>
      </c>
      <c r="AQ575" t="inlineStr">
        <is>
          <t>Yes</t>
        </is>
      </c>
      <c r="AR575">
        <f>HYPERLINK("http://catalog.hathitrust.org/Record/000225449","HathiTrust Record")</f>
        <v/>
      </c>
      <c r="AS575">
        <f>HYPERLINK("https://creighton-primo.hosted.exlibrisgroup.com/primo-explore/search?tab=default_tab&amp;search_scope=EVERYTHING&amp;vid=01CRU&amp;lang=en_US&amp;offset=0&amp;query=any,contains,991001297609702656","Catalog Record")</f>
        <v/>
      </c>
      <c r="AT575">
        <f>HYPERLINK("http://www.worldcat.org/oclc/786018","WorldCat Record")</f>
        <v/>
      </c>
      <c r="AU575" t="inlineStr">
        <is>
          <t>4714342300:ger</t>
        </is>
      </c>
      <c r="AV575" t="inlineStr">
        <is>
          <t>786018</t>
        </is>
      </c>
      <c r="AW575" t="inlineStr">
        <is>
          <t>991001297609702656</t>
        </is>
      </c>
      <c r="AX575" t="inlineStr">
        <is>
          <t>991001297609702656</t>
        </is>
      </c>
      <c r="AY575" t="inlineStr">
        <is>
          <t>2262736360002656</t>
        </is>
      </c>
      <c r="AZ575" t="inlineStr">
        <is>
          <t>BOOK</t>
        </is>
      </c>
      <c r="BC575" t="inlineStr">
        <is>
          <t>32285003369765</t>
        </is>
      </c>
      <c r="BD575" t="inlineStr">
        <is>
          <t>893690519</t>
        </is>
      </c>
    </row>
    <row r="576">
      <c r="A576" t="inlineStr">
        <is>
          <t>No</t>
        </is>
      </c>
      <c r="B576" t="inlineStr">
        <is>
          <t>DD89 .D33 1969</t>
        </is>
      </c>
      <c r="C576" t="inlineStr">
        <is>
          <t>0                      DD 0089000D  33          1969</t>
        </is>
      </c>
      <c r="D576" t="inlineStr">
        <is>
          <t>Dahlmann-Waitz. Quellenkunde der deutschen Geschichte; Bibliographie der Quellen und der Literatur zur deutschen Geschichte.</t>
        </is>
      </c>
      <c r="E576" t="inlineStr">
        <is>
          <t>V.4</t>
        </is>
      </c>
      <c r="F576" t="inlineStr">
        <is>
          <t>Yes</t>
        </is>
      </c>
      <c r="G576" t="inlineStr">
        <is>
          <t>1</t>
        </is>
      </c>
      <c r="H576" t="inlineStr">
        <is>
          <t>No</t>
        </is>
      </c>
      <c r="I576" t="inlineStr">
        <is>
          <t>No</t>
        </is>
      </c>
      <c r="J576" t="inlineStr">
        <is>
          <t>0</t>
        </is>
      </c>
      <c r="K576" t="inlineStr">
        <is>
          <t>Dahlmann, F. C. (Friedrich Christoph), 1785-1860.</t>
        </is>
      </c>
      <c r="L576" t="inlineStr">
        <is>
          <t>Stuttgart, A. Hiersemann, 1965-1969-</t>
        </is>
      </c>
      <c r="M576" t="inlineStr">
        <is>
          <t>1969</t>
        </is>
      </c>
      <c r="N576" t="inlineStr">
        <is>
          <t>10. Aufl., hrsg. im Max-Planck-Institut für Geschichte von Hermann Heimpel und Herbert Geuss.</t>
        </is>
      </c>
      <c r="O576" t="inlineStr">
        <is>
          <t>eng</t>
        </is>
      </c>
      <c r="P576" t="inlineStr">
        <is>
          <t>___</t>
        </is>
      </c>
      <c r="R576" t="inlineStr">
        <is>
          <t xml:space="preserve">DD </t>
        </is>
      </c>
      <c r="S576" t="n">
        <v>0</v>
      </c>
      <c r="T576" t="n">
        <v>1</v>
      </c>
      <c r="V576" t="inlineStr">
        <is>
          <t>1998-05-04</t>
        </is>
      </c>
      <c r="W576" t="inlineStr">
        <is>
          <t>1998-03-26</t>
        </is>
      </c>
      <c r="X576" t="inlineStr">
        <is>
          <t>1998-04-29</t>
        </is>
      </c>
      <c r="Y576" t="n">
        <v>239</v>
      </c>
      <c r="Z576" t="n">
        <v>194</v>
      </c>
      <c r="AA576" t="n">
        <v>228</v>
      </c>
      <c r="AB576" t="n">
        <v>3</v>
      </c>
      <c r="AC576" t="n">
        <v>3</v>
      </c>
      <c r="AD576" t="n">
        <v>12</v>
      </c>
      <c r="AE576" t="n">
        <v>13</v>
      </c>
      <c r="AF576" t="n">
        <v>2</v>
      </c>
      <c r="AG576" t="n">
        <v>2</v>
      </c>
      <c r="AH576" t="n">
        <v>4</v>
      </c>
      <c r="AI576" t="n">
        <v>4</v>
      </c>
      <c r="AJ576" t="n">
        <v>6</v>
      </c>
      <c r="AK576" t="n">
        <v>7</v>
      </c>
      <c r="AL576" t="n">
        <v>2</v>
      </c>
      <c r="AM576" t="n">
        <v>2</v>
      </c>
      <c r="AN576" t="n">
        <v>0</v>
      </c>
      <c r="AO576" t="n">
        <v>0</v>
      </c>
      <c r="AP576" t="inlineStr">
        <is>
          <t>No</t>
        </is>
      </c>
      <c r="AQ576" t="inlineStr">
        <is>
          <t>Yes</t>
        </is>
      </c>
      <c r="AR576">
        <f>HYPERLINK("http://catalog.hathitrust.org/Record/000225449","HathiTrust Record")</f>
        <v/>
      </c>
      <c r="AS576">
        <f>HYPERLINK("https://creighton-primo.hosted.exlibrisgroup.com/primo-explore/search?tab=default_tab&amp;search_scope=EVERYTHING&amp;vid=01CRU&amp;lang=en_US&amp;offset=0&amp;query=any,contains,991001297609702656","Catalog Record")</f>
        <v/>
      </c>
      <c r="AT576">
        <f>HYPERLINK("http://www.worldcat.org/oclc/786018","WorldCat Record")</f>
        <v/>
      </c>
      <c r="AU576" t="inlineStr">
        <is>
          <t>4714342300:ger</t>
        </is>
      </c>
      <c r="AV576" t="inlineStr">
        <is>
          <t>786018</t>
        </is>
      </c>
      <c r="AW576" t="inlineStr">
        <is>
          <t>991001297609702656</t>
        </is>
      </c>
      <c r="AX576" t="inlineStr">
        <is>
          <t>991001297609702656</t>
        </is>
      </c>
      <c r="AY576" t="inlineStr">
        <is>
          <t>2262736360002656</t>
        </is>
      </c>
      <c r="AZ576" t="inlineStr">
        <is>
          <t>BOOK</t>
        </is>
      </c>
      <c r="BC576" t="inlineStr">
        <is>
          <t>32285003369773</t>
        </is>
      </c>
      <c r="BD576" t="inlineStr">
        <is>
          <t>893696645</t>
        </is>
      </c>
    </row>
    <row r="577">
      <c r="A577" t="inlineStr">
        <is>
          <t>No</t>
        </is>
      </c>
      <c r="B577" t="inlineStr">
        <is>
          <t>DD89 .D33 1969 ABT.393-394</t>
        </is>
      </c>
      <c r="C577" t="inlineStr">
        <is>
          <t>0                      DD 0089000D  33          1969                                        ABT.393-394</t>
        </is>
      </c>
      <c r="D577" t="inlineStr">
        <is>
          <t>Dahlmann-Waitz. Quellenkunde der deutschen Geschichte; Bibliographie der Quellen und der Literatur zur deutschen Geschichte.</t>
        </is>
      </c>
      <c r="F577" t="inlineStr">
        <is>
          <t>Yes</t>
        </is>
      </c>
      <c r="G577" t="inlineStr">
        <is>
          <t>1</t>
        </is>
      </c>
      <c r="H577" t="inlineStr">
        <is>
          <t>Yes</t>
        </is>
      </c>
      <c r="I577" t="inlineStr">
        <is>
          <t>No</t>
        </is>
      </c>
      <c r="J577" t="inlineStr">
        <is>
          <t>0</t>
        </is>
      </c>
      <c r="K577" t="inlineStr">
        <is>
          <t>Dahlmann, F. C. (Friedrich Christoph), 1785-1860.</t>
        </is>
      </c>
      <c r="L577" t="inlineStr">
        <is>
          <t>Stuttgart, A. Hiersemann, 1965-1969-</t>
        </is>
      </c>
      <c r="M577" t="inlineStr">
        <is>
          <t>1969</t>
        </is>
      </c>
      <c r="N577" t="inlineStr">
        <is>
          <t>10. Aufl., hrsg. im Max-Planck-Institut für Geschichte von Hermann Heimpel und Herbert Geuss.</t>
        </is>
      </c>
      <c r="O577" t="inlineStr">
        <is>
          <t>eng</t>
        </is>
      </c>
      <c r="P577" t="inlineStr">
        <is>
          <t>___</t>
        </is>
      </c>
      <c r="R577" t="inlineStr">
        <is>
          <t xml:space="preserve">DD </t>
        </is>
      </c>
      <c r="S577" t="n">
        <v>0</v>
      </c>
      <c r="T577" t="n">
        <v>1</v>
      </c>
      <c r="V577" t="inlineStr">
        <is>
          <t>1998-05-04</t>
        </is>
      </c>
      <c r="W577" t="inlineStr">
        <is>
          <t>1998-03-26</t>
        </is>
      </c>
      <c r="X577" t="inlineStr">
        <is>
          <t>1998-04-29</t>
        </is>
      </c>
      <c r="Y577" t="n">
        <v>239</v>
      </c>
      <c r="Z577" t="n">
        <v>194</v>
      </c>
      <c r="AA577" t="n">
        <v>228</v>
      </c>
      <c r="AB577" t="n">
        <v>3</v>
      </c>
      <c r="AC577" t="n">
        <v>3</v>
      </c>
      <c r="AD577" t="n">
        <v>12</v>
      </c>
      <c r="AE577" t="n">
        <v>13</v>
      </c>
      <c r="AF577" t="n">
        <v>2</v>
      </c>
      <c r="AG577" t="n">
        <v>2</v>
      </c>
      <c r="AH577" t="n">
        <v>4</v>
      </c>
      <c r="AI577" t="n">
        <v>4</v>
      </c>
      <c r="AJ577" t="n">
        <v>6</v>
      </c>
      <c r="AK577" t="n">
        <v>7</v>
      </c>
      <c r="AL577" t="n">
        <v>2</v>
      </c>
      <c r="AM577" t="n">
        <v>2</v>
      </c>
      <c r="AN577" t="n">
        <v>0</v>
      </c>
      <c r="AO577" t="n">
        <v>0</v>
      </c>
      <c r="AP577" t="inlineStr">
        <is>
          <t>No</t>
        </is>
      </c>
      <c r="AQ577" t="inlineStr">
        <is>
          <t>Yes</t>
        </is>
      </c>
      <c r="AR577">
        <f>HYPERLINK("http://catalog.hathitrust.org/Record/000225449","HathiTrust Record")</f>
        <v/>
      </c>
      <c r="AS577">
        <f>HYPERLINK("https://creighton-primo.hosted.exlibrisgroup.com/primo-explore/search?tab=default_tab&amp;search_scope=EVERYTHING&amp;vid=01CRU&amp;lang=en_US&amp;offset=0&amp;query=any,contains,991001297609702656","Catalog Record")</f>
        <v/>
      </c>
      <c r="AT577">
        <f>HYPERLINK("http://www.worldcat.org/oclc/786018","WorldCat Record")</f>
        <v/>
      </c>
      <c r="AU577" t="inlineStr">
        <is>
          <t>4714342300:ger</t>
        </is>
      </c>
      <c r="AV577" t="inlineStr">
        <is>
          <t>786018</t>
        </is>
      </c>
      <c r="AW577" t="inlineStr">
        <is>
          <t>991001297609702656</t>
        </is>
      </c>
      <c r="AX577" t="inlineStr">
        <is>
          <t>991001297609702656</t>
        </is>
      </c>
      <c r="AY577" t="inlineStr">
        <is>
          <t>2262736360002656</t>
        </is>
      </c>
      <c r="AZ577" t="inlineStr">
        <is>
          <t>BOOK</t>
        </is>
      </c>
      <c r="BC577" t="inlineStr">
        <is>
          <t>32285003369815</t>
        </is>
      </c>
      <c r="BD577" t="inlineStr">
        <is>
          <t>893715351</t>
        </is>
      </c>
    </row>
    <row r="578">
      <c r="A578" t="inlineStr">
        <is>
          <t>No</t>
        </is>
      </c>
      <c r="B578" t="inlineStr">
        <is>
          <t>DD89 .D33 1969 ABT.394-402</t>
        </is>
      </c>
      <c r="C578" t="inlineStr">
        <is>
          <t>0                      DD 0089000D  33          1969                                        ABT.394-402</t>
        </is>
      </c>
      <c r="D578" t="inlineStr">
        <is>
          <t>Dahlmann-Waitz. Quellenkunde der deutschen Geschichte; Bibliographie der Quellen und der Literatur zur deutschen Geschichte.</t>
        </is>
      </c>
      <c r="F578" t="inlineStr">
        <is>
          <t>Yes</t>
        </is>
      </c>
      <c r="G578" t="inlineStr">
        <is>
          <t>1</t>
        </is>
      </c>
      <c r="H578" t="inlineStr">
        <is>
          <t>Yes</t>
        </is>
      </c>
      <c r="I578" t="inlineStr">
        <is>
          <t>No</t>
        </is>
      </c>
      <c r="J578" t="inlineStr">
        <is>
          <t>0</t>
        </is>
      </c>
      <c r="K578" t="inlineStr">
        <is>
          <t>Dahlmann, F. C. (Friedrich Christoph), 1785-1860.</t>
        </is>
      </c>
      <c r="L578" t="inlineStr">
        <is>
          <t>Stuttgart, A. Hiersemann, 1965-1969-</t>
        </is>
      </c>
      <c r="M578" t="inlineStr">
        <is>
          <t>1969</t>
        </is>
      </c>
      <c r="N578" t="inlineStr">
        <is>
          <t>10. Aufl., hrsg. im Max-Planck-Institut für Geschichte von Hermann Heimpel und Herbert Geuss.</t>
        </is>
      </c>
      <c r="O578" t="inlineStr">
        <is>
          <t>eng</t>
        </is>
      </c>
      <c r="P578" t="inlineStr">
        <is>
          <t>___</t>
        </is>
      </c>
      <c r="R578" t="inlineStr">
        <is>
          <t xml:space="preserve">DD </t>
        </is>
      </c>
      <c r="S578" t="n">
        <v>0</v>
      </c>
      <c r="T578" t="n">
        <v>1</v>
      </c>
      <c r="V578" t="inlineStr">
        <is>
          <t>1998-05-04</t>
        </is>
      </c>
      <c r="W578" t="inlineStr">
        <is>
          <t>1998-03-26</t>
        </is>
      </c>
      <c r="X578" t="inlineStr">
        <is>
          <t>1998-04-29</t>
        </is>
      </c>
      <c r="Y578" t="n">
        <v>239</v>
      </c>
      <c r="Z578" t="n">
        <v>194</v>
      </c>
      <c r="AA578" t="n">
        <v>228</v>
      </c>
      <c r="AB578" t="n">
        <v>3</v>
      </c>
      <c r="AC578" t="n">
        <v>3</v>
      </c>
      <c r="AD578" t="n">
        <v>12</v>
      </c>
      <c r="AE578" t="n">
        <v>13</v>
      </c>
      <c r="AF578" t="n">
        <v>2</v>
      </c>
      <c r="AG578" t="n">
        <v>2</v>
      </c>
      <c r="AH578" t="n">
        <v>4</v>
      </c>
      <c r="AI578" t="n">
        <v>4</v>
      </c>
      <c r="AJ578" t="n">
        <v>6</v>
      </c>
      <c r="AK578" t="n">
        <v>7</v>
      </c>
      <c r="AL578" t="n">
        <v>2</v>
      </c>
      <c r="AM578" t="n">
        <v>2</v>
      </c>
      <c r="AN578" t="n">
        <v>0</v>
      </c>
      <c r="AO578" t="n">
        <v>0</v>
      </c>
      <c r="AP578" t="inlineStr">
        <is>
          <t>No</t>
        </is>
      </c>
      <c r="AQ578" t="inlineStr">
        <is>
          <t>Yes</t>
        </is>
      </c>
      <c r="AR578">
        <f>HYPERLINK("http://catalog.hathitrust.org/Record/000225449","HathiTrust Record")</f>
        <v/>
      </c>
      <c r="AS578">
        <f>HYPERLINK("https://creighton-primo.hosted.exlibrisgroup.com/primo-explore/search?tab=default_tab&amp;search_scope=EVERYTHING&amp;vid=01CRU&amp;lang=en_US&amp;offset=0&amp;query=any,contains,991001297609702656","Catalog Record")</f>
        <v/>
      </c>
      <c r="AT578">
        <f>HYPERLINK("http://www.worldcat.org/oclc/786018","WorldCat Record")</f>
        <v/>
      </c>
      <c r="AU578" t="inlineStr">
        <is>
          <t>4714342300:ger</t>
        </is>
      </c>
      <c r="AV578" t="inlineStr">
        <is>
          <t>786018</t>
        </is>
      </c>
      <c r="AW578" t="inlineStr">
        <is>
          <t>991001297609702656</t>
        </is>
      </c>
      <c r="AX578" t="inlineStr">
        <is>
          <t>991001297609702656</t>
        </is>
      </c>
      <c r="AY578" t="inlineStr">
        <is>
          <t>2262736360002656</t>
        </is>
      </c>
      <c r="AZ578" t="inlineStr">
        <is>
          <t>BOOK</t>
        </is>
      </c>
      <c r="BC578" t="inlineStr">
        <is>
          <t>32285003369823</t>
        </is>
      </c>
      <c r="BD578" t="inlineStr">
        <is>
          <t>893715353</t>
        </is>
      </c>
    </row>
    <row r="579">
      <c r="A579" t="inlineStr">
        <is>
          <t>No</t>
        </is>
      </c>
      <c r="B579" t="inlineStr">
        <is>
          <t>DD89 .D33 1969 INDEX</t>
        </is>
      </c>
      <c r="C579" t="inlineStr">
        <is>
          <t>0                      DD 0089000D  33          1969                                        INDEX</t>
        </is>
      </c>
      <c r="D579" t="inlineStr">
        <is>
          <t>Dahlmann-Waitz. Quellenkunde der deutschen Geschichte; Bibliographie der Quellen und der Literatur zur deutschen Geschichte.</t>
        </is>
      </c>
      <c r="E579" t="inlineStr">
        <is>
          <t>V.3-4</t>
        </is>
      </c>
      <c r="F579" t="inlineStr">
        <is>
          <t>Yes</t>
        </is>
      </c>
      <c r="G579" t="inlineStr">
        <is>
          <t>1</t>
        </is>
      </c>
      <c r="H579" t="inlineStr">
        <is>
          <t>No</t>
        </is>
      </c>
      <c r="I579" t="inlineStr">
        <is>
          <t>No</t>
        </is>
      </c>
      <c r="J579" t="inlineStr">
        <is>
          <t>0</t>
        </is>
      </c>
      <c r="K579" t="inlineStr">
        <is>
          <t>Dahlmann, F. C. (Friedrich Christoph), 1785-1860.</t>
        </is>
      </c>
      <c r="L579" t="inlineStr">
        <is>
          <t>Stuttgart, A. Hiersemann, 1965-1969-</t>
        </is>
      </c>
      <c r="M579" t="inlineStr">
        <is>
          <t>1969</t>
        </is>
      </c>
      <c r="N579" t="inlineStr">
        <is>
          <t>10. Aufl., hrsg. im Max-Planck-Institut für Geschichte von Hermann Heimpel und Herbert Geuss.</t>
        </is>
      </c>
      <c r="O579" t="inlineStr">
        <is>
          <t>eng</t>
        </is>
      </c>
      <c r="P579" t="inlineStr">
        <is>
          <t>___</t>
        </is>
      </c>
      <c r="R579" t="inlineStr">
        <is>
          <t xml:space="preserve">DD </t>
        </is>
      </c>
      <c r="S579" t="n">
        <v>0</v>
      </c>
      <c r="T579" t="n">
        <v>1</v>
      </c>
      <c r="V579" t="inlineStr">
        <is>
          <t>1998-05-04</t>
        </is>
      </c>
      <c r="W579" t="inlineStr">
        <is>
          <t>1998-03-26</t>
        </is>
      </c>
      <c r="X579" t="inlineStr">
        <is>
          <t>1998-04-29</t>
        </is>
      </c>
      <c r="Y579" t="n">
        <v>239</v>
      </c>
      <c r="Z579" t="n">
        <v>194</v>
      </c>
      <c r="AA579" t="n">
        <v>228</v>
      </c>
      <c r="AB579" t="n">
        <v>3</v>
      </c>
      <c r="AC579" t="n">
        <v>3</v>
      </c>
      <c r="AD579" t="n">
        <v>12</v>
      </c>
      <c r="AE579" t="n">
        <v>13</v>
      </c>
      <c r="AF579" t="n">
        <v>2</v>
      </c>
      <c r="AG579" t="n">
        <v>2</v>
      </c>
      <c r="AH579" t="n">
        <v>4</v>
      </c>
      <c r="AI579" t="n">
        <v>4</v>
      </c>
      <c r="AJ579" t="n">
        <v>6</v>
      </c>
      <c r="AK579" t="n">
        <v>7</v>
      </c>
      <c r="AL579" t="n">
        <v>2</v>
      </c>
      <c r="AM579" t="n">
        <v>2</v>
      </c>
      <c r="AN579" t="n">
        <v>0</v>
      </c>
      <c r="AO579" t="n">
        <v>0</v>
      </c>
      <c r="AP579" t="inlineStr">
        <is>
          <t>No</t>
        </is>
      </c>
      <c r="AQ579" t="inlineStr">
        <is>
          <t>Yes</t>
        </is>
      </c>
      <c r="AR579">
        <f>HYPERLINK("http://catalog.hathitrust.org/Record/000225449","HathiTrust Record")</f>
        <v/>
      </c>
      <c r="AS579">
        <f>HYPERLINK("https://creighton-primo.hosted.exlibrisgroup.com/primo-explore/search?tab=default_tab&amp;search_scope=EVERYTHING&amp;vid=01CRU&amp;lang=en_US&amp;offset=0&amp;query=any,contains,991001297609702656","Catalog Record")</f>
        <v/>
      </c>
      <c r="AT579">
        <f>HYPERLINK("http://www.worldcat.org/oclc/786018","WorldCat Record")</f>
        <v/>
      </c>
      <c r="AU579" t="inlineStr">
        <is>
          <t>4714342300:ger</t>
        </is>
      </c>
      <c r="AV579" t="inlineStr">
        <is>
          <t>786018</t>
        </is>
      </c>
      <c r="AW579" t="inlineStr">
        <is>
          <t>991001297609702656</t>
        </is>
      </c>
      <c r="AX579" t="inlineStr">
        <is>
          <t>991001297609702656</t>
        </is>
      </c>
      <c r="AY579" t="inlineStr">
        <is>
          <t>2262736360002656</t>
        </is>
      </c>
      <c r="AZ579" t="inlineStr">
        <is>
          <t>BOOK</t>
        </is>
      </c>
      <c r="BC579" t="inlineStr">
        <is>
          <t>32285003369807</t>
        </is>
      </c>
      <c r="BD579" t="inlineStr">
        <is>
          <t>893690518</t>
        </is>
      </c>
    </row>
    <row r="580">
      <c r="A580" t="inlineStr">
        <is>
          <t>No</t>
        </is>
      </c>
      <c r="B580" t="inlineStr">
        <is>
          <t>DD89 .D33 1969 INDEX</t>
        </is>
      </c>
      <c r="C580" t="inlineStr">
        <is>
          <t>0                      DD 0089000D  33          1969                                        INDEX</t>
        </is>
      </c>
      <c r="D580" t="inlineStr">
        <is>
          <t>Dahlmann-Waitz. Quellenkunde der deutschen Geschichte; Bibliographie der Quellen und der Literatur zur deutschen Geschichte.</t>
        </is>
      </c>
      <c r="E580" t="inlineStr">
        <is>
          <t>V.1-2</t>
        </is>
      </c>
      <c r="F580" t="inlineStr">
        <is>
          <t>Yes</t>
        </is>
      </c>
      <c r="G580" t="inlineStr">
        <is>
          <t>1</t>
        </is>
      </c>
      <c r="H580" t="inlineStr">
        <is>
          <t>No</t>
        </is>
      </c>
      <c r="I580" t="inlineStr">
        <is>
          <t>No</t>
        </is>
      </c>
      <c r="J580" t="inlineStr">
        <is>
          <t>0</t>
        </is>
      </c>
      <c r="K580" t="inlineStr">
        <is>
          <t>Dahlmann, F. C. (Friedrich Christoph), 1785-1860.</t>
        </is>
      </c>
      <c r="L580" t="inlineStr">
        <is>
          <t>Stuttgart, A. Hiersemann, 1965-1969-</t>
        </is>
      </c>
      <c r="M580" t="inlineStr">
        <is>
          <t>1969</t>
        </is>
      </c>
      <c r="N580" t="inlineStr">
        <is>
          <t>10. Aufl., hrsg. im Max-Planck-Institut für Geschichte von Hermann Heimpel und Herbert Geuss.</t>
        </is>
      </c>
      <c r="O580" t="inlineStr">
        <is>
          <t>eng</t>
        </is>
      </c>
      <c r="P580" t="inlineStr">
        <is>
          <t>___</t>
        </is>
      </c>
      <c r="R580" t="inlineStr">
        <is>
          <t xml:space="preserve">DD </t>
        </is>
      </c>
      <c r="S580" t="n">
        <v>0</v>
      </c>
      <c r="T580" t="n">
        <v>1</v>
      </c>
      <c r="V580" t="inlineStr">
        <is>
          <t>1998-05-04</t>
        </is>
      </c>
      <c r="W580" t="inlineStr">
        <is>
          <t>1998-03-26</t>
        </is>
      </c>
      <c r="X580" t="inlineStr">
        <is>
          <t>1998-04-29</t>
        </is>
      </c>
      <c r="Y580" t="n">
        <v>239</v>
      </c>
      <c r="Z580" t="n">
        <v>194</v>
      </c>
      <c r="AA580" t="n">
        <v>228</v>
      </c>
      <c r="AB580" t="n">
        <v>3</v>
      </c>
      <c r="AC580" t="n">
        <v>3</v>
      </c>
      <c r="AD580" t="n">
        <v>12</v>
      </c>
      <c r="AE580" t="n">
        <v>13</v>
      </c>
      <c r="AF580" t="n">
        <v>2</v>
      </c>
      <c r="AG580" t="n">
        <v>2</v>
      </c>
      <c r="AH580" t="n">
        <v>4</v>
      </c>
      <c r="AI580" t="n">
        <v>4</v>
      </c>
      <c r="AJ580" t="n">
        <v>6</v>
      </c>
      <c r="AK580" t="n">
        <v>7</v>
      </c>
      <c r="AL580" t="n">
        <v>2</v>
      </c>
      <c r="AM580" t="n">
        <v>2</v>
      </c>
      <c r="AN580" t="n">
        <v>0</v>
      </c>
      <c r="AO580" t="n">
        <v>0</v>
      </c>
      <c r="AP580" t="inlineStr">
        <is>
          <t>No</t>
        </is>
      </c>
      <c r="AQ580" t="inlineStr">
        <is>
          <t>Yes</t>
        </is>
      </c>
      <c r="AR580">
        <f>HYPERLINK("http://catalog.hathitrust.org/Record/000225449","HathiTrust Record")</f>
        <v/>
      </c>
      <c r="AS580">
        <f>HYPERLINK("https://creighton-primo.hosted.exlibrisgroup.com/primo-explore/search?tab=default_tab&amp;search_scope=EVERYTHING&amp;vid=01CRU&amp;lang=en_US&amp;offset=0&amp;query=any,contains,991001297609702656","Catalog Record")</f>
        <v/>
      </c>
      <c r="AT580">
        <f>HYPERLINK("http://www.worldcat.org/oclc/786018","WorldCat Record")</f>
        <v/>
      </c>
      <c r="AU580" t="inlineStr">
        <is>
          <t>4714342300:ger</t>
        </is>
      </c>
      <c r="AV580" t="inlineStr">
        <is>
          <t>786018</t>
        </is>
      </c>
      <c r="AW580" t="inlineStr">
        <is>
          <t>991001297609702656</t>
        </is>
      </c>
      <c r="AX580" t="inlineStr">
        <is>
          <t>991001297609702656</t>
        </is>
      </c>
      <c r="AY580" t="inlineStr">
        <is>
          <t>2262736360002656</t>
        </is>
      </c>
      <c r="AZ580" t="inlineStr">
        <is>
          <t>BOOK</t>
        </is>
      </c>
      <c r="BC580" t="inlineStr">
        <is>
          <t>32285003369799</t>
        </is>
      </c>
      <c r="BD580" t="inlineStr">
        <is>
          <t>893696646</t>
        </is>
      </c>
    </row>
    <row r="581">
      <c r="A581" t="inlineStr">
        <is>
          <t>No</t>
        </is>
      </c>
      <c r="B581" t="inlineStr">
        <is>
          <t>DD90 .T87 1999</t>
        </is>
      </c>
      <c r="C581" t="inlineStr">
        <is>
          <t>0                      DD 0090000T  87          1999</t>
        </is>
      </c>
      <c r="D581" t="inlineStr">
        <is>
          <t>The history of Germany / Eleanor L. Turk.</t>
        </is>
      </c>
      <c r="F581" t="inlineStr">
        <is>
          <t>No</t>
        </is>
      </c>
      <c r="G581" t="inlineStr">
        <is>
          <t>1</t>
        </is>
      </c>
      <c r="H581" t="inlineStr">
        <is>
          <t>No</t>
        </is>
      </c>
      <c r="I581" t="inlineStr">
        <is>
          <t>No</t>
        </is>
      </c>
      <c r="J581" t="inlineStr">
        <is>
          <t>0</t>
        </is>
      </c>
      <c r="K581" t="inlineStr">
        <is>
          <t>Turk, Eleanor L., 1935-</t>
        </is>
      </c>
      <c r="L581" t="inlineStr">
        <is>
          <t>Westport, Conn. : Greenwood Press, 1999.</t>
        </is>
      </c>
      <c r="M581" t="inlineStr">
        <is>
          <t>1999</t>
        </is>
      </c>
      <c r="O581" t="inlineStr">
        <is>
          <t>eng</t>
        </is>
      </c>
      <c r="P581" t="inlineStr">
        <is>
          <t>ctu</t>
        </is>
      </c>
      <c r="Q581" t="inlineStr">
        <is>
          <t>The Greenwood histories of the modern nations, 1096-2905</t>
        </is>
      </c>
      <c r="R581" t="inlineStr">
        <is>
          <t xml:space="preserve">DD </t>
        </is>
      </c>
      <c r="S581" t="n">
        <v>5</v>
      </c>
      <c r="T581" t="n">
        <v>5</v>
      </c>
      <c r="U581" t="inlineStr">
        <is>
          <t>2005-12-06</t>
        </is>
      </c>
      <c r="V581" t="inlineStr">
        <is>
          <t>2005-12-06</t>
        </is>
      </c>
      <c r="W581" t="inlineStr">
        <is>
          <t>2000-08-01</t>
        </is>
      </c>
      <c r="X581" t="inlineStr">
        <is>
          <t>2000-08-01</t>
        </is>
      </c>
      <c r="Y581" t="n">
        <v>1012</v>
      </c>
      <c r="Z581" t="n">
        <v>930</v>
      </c>
      <c r="AA581" t="n">
        <v>1127</v>
      </c>
      <c r="AB581" t="n">
        <v>8</v>
      </c>
      <c r="AC581" t="n">
        <v>19</v>
      </c>
      <c r="AD581" t="n">
        <v>34</v>
      </c>
      <c r="AE581" t="n">
        <v>40</v>
      </c>
      <c r="AF581" t="n">
        <v>16</v>
      </c>
      <c r="AG581" t="n">
        <v>17</v>
      </c>
      <c r="AH581" t="n">
        <v>7</v>
      </c>
      <c r="AI581" t="n">
        <v>7</v>
      </c>
      <c r="AJ581" t="n">
        <v>13</v>
      </c>
      <c r="AK581" t="n">
        <v>14</v>
      </c>
      <c r="AL581" t="n">
        <v>7</v>
      </c>
      <c r="AM581" t="n">
        <v>11</v>
      </c>
      <c r="AN581" t="n">
        <v>0</v>
      </c>
      <c r="AO581" t="n">
        <v>0</v>
      </c>
      <c r="AP581" t="inlineStr">
        <is>
          <t>No</t>
        </is>
      </c>
      <c r="AQ581" t="inlineStr">
        <is>
          <t>Yes</t>
        </is>
      </c>
      <c r="AR581">
        <f>HYPERLINK("http://catalog.hathitrust.org/Record/004040275","HathiTrust Record")</f>
        <v/>
      </c>
      <c r="AS581">
        <f>HYPERLINK("https://creighton-primo.hosted.exlibrisgroup.com/primo-explore/search?tab=default_tab&amp;search_scope=EVERYTHING&amp;vid=01CRU&amp;lang=en_US&amp;offset=0&amp;query=any,contains,991003229879702656","Catalog Record")</f>
        <v/>
      </c>
      <c r="AT581">
        <f>HYPERLINK("http://www.worldcat.org/oclc/39605817","WorldCat Record")</f>
        <v/>
      </c>
      <c r="AU581" t="inlineStr">
        <is>
          <t>3769210350:eng</t>
        </is>
      </c>
      <c r="AV581" t="inlineStr">
        <is>
          <t>39605817</t>
        </is>
      </c>
      <c r="AW581" t="inlineStr">
        <is>
          <t>991003229879702656</t>
        </is>
      </c>
      <c r="AX581" t="inlineStr">
        <is>
          <t>991003229879702656</t>
        </is>
      </c>
      <c r="AY581" t="inlineStr">
        <is>
          <t>2260477750002656</t>
        </is>
      </c>
      <c r="AZ581" t="inlineStr">
        <is>
          <t>BOOK</t>
        </is>
      </c>
      <c r="BB581" t="inlineStr">
        <is>
          <t>9780313302749</t>
        </is>
      </c>
      <c r="BC581" t="inlineStr">
        <is>
          <t>32285003744546</t>
        </is>
      </c>
      <c r="BD581" t="inlineStr">
        <is>
          <t>893342363</t>
        </is>
      </c>
    </row>
    <row r="582">
      <c r="A582" t="inlineStr">
        <is>
          <t>No</t>
        </is>
      </c>
      <c r="B582" t="inlineStr">
        <is>
          <t>DD901.D78 I7 1964</t>
        </is>
      </c>
      <c r="C582" t="inlineStr">
        <is>
          <t>0                      DD 0901000D  78                 I  7           1964</t>
        </is>
      </c>
      <c r="D582" t="inlineStr">
        <is>
          <t>The destruction of Dresden. With an introd. by Ira C. Eaker.</t>
        </is>
      </c>
      <c r="F582" t="inlineStr">
        <is>
          <t>No</t>
        </is>
      </c>
      <c r="G582" t="inlineStr">
        <is>
          <t>1</t>
        </is>
      </c>
      <c r="H582" t="inlineStr">
        <is>
          <t>No</t>
        </is>
      </c>
      <c r="I582" t="inlineStr">
        <is>
          <t>No</t>
        </is>
      </c>
      <c r="J582" t="inlineStr">
        <is>
          <t>0</t>
        </is>
      </c>
      <c r="K582" t="inlineStr">
        <is>
          <t>Irving, David John Cawdell, 1938-</t>
        </is>
      </c>
      <c r="L582" t="inlineStr">
        <is>
          <t>New York, Holt, Rinehart and Winston [1964, c1963]</t>
        </is>
      </c>
      <c r="M582" t="inlineStr">
        <is>
          <t>1964</t>
        </is>
      </c>
      <c r="N582" t="inlineStr">
        <is>
          <t>[1st ed.]</t>
        </is>
      </c>
      <c r="O582" t="inlineStr">
        <is>
          <t>eng</t>
        </is>
      </c>
      <c r="P582" t="inlineStr">
        <is>
          <t>nyu</t>
        </is>
      </c>
      <c r="R582" t="inlineStr">
        <is>
          <t xml:space="preserve">DD </t>
        </is>
      </c>
      <c r="S582" t="n">
        <v>0</v>
      </c>
      <c r="T582" t="n">
        <v>0</v>
      </c>
      <c r="U582" t="inlineStr">
        <is>
          <t>2006-04-05</t>
        </is>
      </c>
      <c r="V582" t="inlineStr">
        <is>
          <t>2006-04-05</t>
        </is>
      </c>
      <c r="W582" t="inlineStr">
        <is>
          <t>1997-01-28</t>
        </is>
      </c>
      <c r="X582" t="inlineStr">
        <is>
          <t>1997-01-28</t>
        </is>
      </c>
      <c r="Y582" t="n">
        <v>542</v>
      </c>
      <c r="Z582" t="n">
        <v>523</v>
      </c>
      <c r="AA582" t="n">
        <v>704</v>
      </c>
      <c r="AB582" t="n">
        <v>1</v>
      </c>
      <c r="AC582" t="n">
        <v>2</v>
      </c>
      <c r="AD582" t="n">
        <v>16</v>
      </c>
      <c r="AE582" t="n">
        <v>24</v>
      </c>
      <c r="AF582" t="n">
        <v>8</v>
      </c>
      <c r="AG582" t="n">
        <v>12</v>
      </c>
      <c r="AH582" t="n">
        <v>5</v>
      </c>
      <c r="AI582" t="n">
        <v>6</v>
      </c>
      <c r="AJ582" t="n">
        <v>8</v>
      </c>
      <c r="AK582" t="n">
        <v>11</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HYPERLINK("https://creighton-primo.hosted.exlibrisgroup.com/primo-explore/search?tab=default_tab&amp;search_scope=EVERYTHING&amp;vid=01CRU&amp;lang=en_US&amp;offset=0&amp;query=any,contains,991003711069702656","Catalog Record")</f>
        <v/>
      </c>
      <c r="AT582">
        <f>HYPERLINK("http://www.worldcat.org/oclc/1350046","WorldCat Record")</f>
        <v/>
      </c>
      <c r="AU582" t="inlineStr">
        <is>
          <t>2813341055:eng</t>
        </is>
      </c>
      <c r="AV582" t="inlineStr">
        <is>
          <t>1350046</t>
        </is>
      </c>
      <c r="AW582" t="inlineStr">
        <is>
          <t>991003711069702656</t>
        </is>
      </c>
      <c r="AX582" t="inlineStr">
        <is>
          <t>991003711069702656</t>
        </is>
      </c>
      <c r="AY582" t="inlineStr">
        <is>
          <t>2264574870002656</t>
        </is>
      </c>
      <c r="AZ582" t="inlineStr">
        <is>
          <t>BOOK</t>
        </is>
      </c>
      <c r="BC582" t="inlineStr">
        <is>
          <t>32285002416617</t>
        </is>
      </c>
      <c r="BD582" t="inlineStr">
        <is>
          <t>893535587</t>
        </is>
      </c>
    </row>
    <row r="583">
      <c r="A583" t="inlineStr">
        <is>
          <t>No</t>
        </is>
      </c>
      <c r="B583" t="inlineStr">
        <is>
          <t>DE15 .S5</t>
        </is>
      </c>
      <c r="C583" t="inlineStr">
        <is>
          <t>0                      DE 0015000S  5</t>
        </is>
      </c>
      <c r="D583" t="inlineStr">
        <is>
          <t>Sea power in ancient history; the story of the navies of classic Greece and Rome, by Arthur MacCartney Shepard, with a foreword by Rear Admiral William A. Moffett, U.S.N.</t>
        </is>
      </c>
      <c r="F583" t="inlineStr">
        <is>
          <t>No</t>
        </is>
      </c>
      <c r="G583" t="inlineStr">
        <is>
          <t>1</t>
        </is>
      </c>
      <c r="H583" t="inlineStr">
        <is>
          <t>No</t>
        </is>
      </c>
      <c r="I583" t="inlineStr">
        <is>
          <t>No</t>
        </is>
      </c>
      <c r="J583" t="inlineStr">
        <is>
          <t>0</t>
        </is>
      </c>
      <c r="K583" t="inlineStr">
        <is>
          <t>Shepard, Arthur MacCartney, 1886-</t>
        </is>
      </c>
      <c r="L583" t="inlineStr">
        <is>
          <t>Boston, Little, Brown, and Company, 1924.</t>
        </is>
      </c>
      <c r="M583" t="inlineStr">
        <is>
          <t>1924</t>
        </is>
      </c>
      <c r="O583" t="inlineStr">
        <is>
          <t>eng</t>
        </is>
      </c>
      <c r="P583" t="inlineStr">
        <is>
          <t>mau</t>
        </is>
      </c>
      <c r="R583" t="inlineStr">
        <is>
          <t xml:space="preserve">DE </t>
        </is>
      </c>
      <c r="S583" t="n">
        <v>4</v>
      </c>
      <c r="T583" t="n">
        <v>4</v>
      </c>
      <c r="U583" t="inlineStr">
        <is>
          <t>2006-04-24</t>
        </is>
      </c>
      <c r="V583" t="inlineStr">
        <is>
          <t>2006-04-24</t>
        </is>
      </c>
      <c r="W583" t="inlineStr">
        <is>
          <t>1997-01-28</t>
        </is>
      </c>
      <c r="X583" t="inlineStr">
        <is>
          <t>1997-01-28</t>
        </is>
      </c>
      <c r="Y583" t="n">
        <v>197</v>
      </c>
      <c r="Z583" t="n">
        <v>185</v>
      </c>
      <c r="AA583" t="n">
        <v>213</v>
      </c>
      <c r="AB583" t="n">
        <v>1</v>
      </c>
      <c r="AC583" t="n">
        <v>1</v>
      </c>
      <c r="AD583" t="n">
        <v>7</v>
      </c>
      <c r="AE583" t="n">
        <v>10</v>
      </c>
      <c r="AF583" t="n">
        <v>1</v>
      </c>
      <c r="AG583" t="n">
        <v>1</v>
      </c>
      <c r="AH583" t="n">
        <v>4</v>
      </c>
      <c r="AI583" t="n">
        <v>5</v>
      </c>
      <c r="AJ583" t="n">
        <v>6</v>
      </c>
      <c r="AK583" t="n">
        <v>9</v>
      </c>
      <c r="AL583" t="n">
        <v>0</v>
      </c>
      <c r="AM583" t="n">
        <v>0</v>
      </c>
      <c r="AN583" t="n">
        <v>0</v>
      </c>
      <c r="AO583" t="n">
        <v>0</v>
      </c>
      <c r="AP583" t="inlineStr">
        <is>
          <t>Yes</t>
        </is>
      </c>
      <c r="AQ583" t="inlineStr">
        <is>
          <t>No</t>
        </is>
      </c>
      <c r="AR583">
        <f>HYPERLINK("http://catalog.hathitrust.org/Record/000572436","HathiTrust Record")</f>
        <v/>
      </c>
      <c r="AS583">
        <f>HYPERLINK("https://creighton-primo.hosted.exlibrisgroup.com/primo-explore/search?tab=default_tab&amp;search_scope=EVERYTHING&amp;vid=01CRU&amp;lang=en_US&amp;offset=0&amp;query=any,contains,991002972559702656","Catalog Record")</f>
        <v/>
      </c>
      <c r="AT583">
        <f>HYPERLINK("http://www.worldcat.org/oclc/550141","WorldCat Record")</f>
        <v/>
      </c>
      <c r="AU583" t="inlineStr">
        <is>
          <t>1593939:eng</t>
        </is>
      </c>
      <c r="AV583" t="inlineStr">
        <is>
          <t>550141</t>
        </is>
      </c>
      <c r="AW583" t="inlineStr">
        <is>
          <t>991002972559702656</t>
        </is>
      </c>
      <c r="AX583" t="inlineStr">
        <is>
          <t>991002972559702656</t>
        </is>
      </c>
      <c r="AY583" t="inlineStr">
        <is>
          <t>2254890010002656</t>
        </is>
      </c>
      <c r="AZ583" t="inlineStr">
        <is>
          <t>BOOK</t>
        </is>
      </c>
      <c r="BC583" t="inlineStr">
        <is>
          <t>32285002416740</t>
        </is>
      </c>
      <c r="BD583" t="inlineStr">
        <is>
          <t>893409774</t>
        </is>
      </c>
    </row>
    <row r="584">
      <c r="A584" t="inlineStr">
        <is>
          <t>No</t>
        </is>
      </c>
      <c r="B584" t="inlineStr">
        <is>
          <t>DE3 .F76 1982</t>
        </is>
      </c>
      <c r="C584" t="inlineStr">
        <is>
          <t>0                      DE 0003000F  76          1982</t>
        </is>
      </c>
      <c r="D584" t="inlineStr">
        <is>
          <t>From Didaskalos : an anthology from the journal of the Joint Association of Classical Teachers / chosen and edited by Jean Mingay &amp; John Sharwood Smith.</t>
        </is>
      </c>
      <c r="F584" t="inlineStr">
        <is>
          <t>No</t>
        </is>
      </c>
      <c r="G584" t="inlineStr">
        <is>
          <t>1</t>
        </is>
      </c>
      <c r="H584" t="inlineStr">
        <is>
          <t>No</t>
        </is>
      </c>
      <c r="I584" t="inlineStr">
        <is>
          <t>No</t>
        </is>
      </c>
      <c r="J584" t="inlineStr">
        <is>
          <t>0</t>
        </is>
      </c>
      <c r="L584" t="inlineStr">
        <is>
          <t>Bristol : Bristol Classical Press in co-operation with Joint Assn. of Classical Teachers, 1982.</t>
        </is>
      </c>
      <c r="M584" t="inlineStr">
        <is>
          <t>1982</t>
        </is>
      </c>
      <c r="O584" t="inlineStr">
        <is>
          <t>eng</t>
        </is>
      </c>
      <c r="P584" t="inlineStr">
        <is>
          <t>enk</t>
        </is>
      </c>
      <c r="R584" t="inlineStr">
        <is>
          <t xml:space="preserve">DE </t>
        </is>
      </c>
      <c r="S584" t="n">
        <v>2</v>
      </c>
      <c r="T584" t="n">
        <v>2</v>
      </c>
      <c r="U584" t="inlineStr">
        <is>
          <t>1992-06-16</t>
        </is>
      </c>
      <c r="V584" t="inlineStr">
        <is>
          <t>1992-06-16</t>
        </is>
      </c>
      <c r="W584" t="inlineStr">
        <is>
          <t>1991-02-11</t>
        </is>
      </c>
      <c r="X584" t="inlineStr">
        <is>
          <t>1991-02-11</t>
        </is>
      </c>
      <c r="Y584" t="n">
        <v>24</v>
      </c>
      <c r="Z584" t="n">
        <v>10</v>
      </c>
      <c r="AA584" t="n">
        <v>10</v>
      </c>
      <c r="AB584" t="n">
        <v>1</v>
      </c>
      <c r="AC584" t="n">
        <v>1</v>
      </c>
      <c r="AD584" t="n">
        <v>2</v>
      </c>
      <c r="AE584" t="n">
        <v>2</v>
      </c>
      <c r="AF584" t="n">
        <v>0</v>
      </c>
      <c r="AG584" t="n">
        <v>0</v>
      </c>
      <c r="AH584" t="n">
        <v>0</v>
      </c>
      <c r="AI584" t="n">
        <v>0</v>
      </c>
      <c r="AJ584" t="n">
        <v>2</v>
      </c>
      <c r="AK584" t="n">
        <v>2</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HYPERLINK("https://creighton-primo.hosted.exlibrisgroup.com/primo-explore/search?tab=default_tab&amp;search_scope=EVERYTHING&amp;vid=01CRU&amp;lang=en_US&amp;offset=0&amp;query=any,contains,991000649529702656","Catalog Record")</f>
        <v/>
      </c>
      <c r="AT584">
        <f>HYPERLINK("http://www.worldcat.org/oclc/12161279","WorldCat Record")</f>
        <v/>
      </c>
      <c r="AU584" t="inlineStr">
        <is>
          <t>836716827:eng</t>
        </is>
      </c>
      <c r="AV584" t="inlineStr">
        <is>
          <t>12161279</t>
        </is>
      </c>
      <c r="AW584" t="inlineStr">
        <is>
          <t>991000649529702656</t>
        </is>
      </c>
      <c r="AX584" t="inlineStr">
        <is>
          <t>991000649529702656</t>
        </is>
      </c>
      <c r="AY584" t="inlineStr">
        <is>
          <t>2271005020002656</t>
        </is>
      </c>
      <c r="AZ584" t="inlineStr">
        <is>
          <t>BOOK</t>
        </is>
      </c>
      <c r="BB584" t="inlineStr">
        <is>
          <t>9780862920548</t>
        </is>
      </c>
      <c r="BC584" t="inlineStr">
        <is>
          <t>32285000458157</t>
        </is>
      </c>
      <c r="BD584" t="inlineStr">
        <is>
          <t>893802967</t>
        </is>
      </c>
    </row>
    <row r="585">
      <c r="A585" t="inlineStr">
        <is>
          <t>No</t>
        </is>
      </c>
      <c r="B585" t="inlineStr">
        <is>
          <t>DE3 .M52 2002</t>
        </is>
      </c>
      <c r="C585" t="inlineStr">
        <is>
          <t>0                      DE 0003000M  52          2002</t>
        </is>
      </c>
      <c r="D585" t="inlineStr">
        <is>
          <t>Rome, the Greek world, and the East / Fergus Millar ; edited by Hannah M. Cotton and Guy M. Rogers.</t>
        </is>
      </c>
      <c r="E585" t="inlineStr">
        <is>
          <t>V. 1</t>
        </is>
      </c>
      <c r="F585" t="inlineStr">
        <is>
          <t>Yes</t>
        </is>
      </c>
      <c r="G585" t="inlineStr">
        <is>
          <t>1</t>
        </is>
      </c>
      <c r="H585" t="inlineStr">
        <is>
          <t>No</t>
        </is>
      </c>
      <c r="I585" t="inlineStr">
        <is>
          <t>No</t>
        </is>
      </c>
      <c r="J585" t="inlineStr">
        <is>
          <t>0</t>
        </is>
      </c>
      <c r="K585" t="inlineStr">
        <is>
          <t>Millar, Fergus.</t>
        </is>
      </c>
      <c r="L585" t="inlineStr">
        <is>
          <t>Chapel Hill : University of North Carolina Press, c2002-c2006.</t>
        </is>
      </c>
      <c r="M585" t="inlineStr">
        <is>
          <t>2002</t>
        </is>
      </c>
      <c r="O585" t="inlineStr">
        <is>
          <t>eng</t>
        </is>
      </c>
      <c r="P585" t="inlineStr">
        <is>
          <t>ncu</t>
        </is>
      </c>
      <c r="Q585" t="inlineStr">
        <is>
          <t>Studies in the history of Greece and Rome</t>
        </is>
      </c>
      <c r="R585" t="inlineStr">
        <is>
          <t xml:space="preserve">DE </t>
        </is>
      </c>
      <c r="S585" t="n">
        <v>3</v>
      </c>
      <c r="T585" t="n">
        <v>9</v>
      </c>
      <c r="U585" t="inlineStr">
        <is>
          <t>2007-04-02</t>
        </is>
      </c>
      <c r="V585" t="inlineStr">
        <is>
          <t>2008-02-12</t>
        </is>
      </c>
      <c r="W585" t="inlineStr">
        <is>
          <t>2007-03-08</t>
        </is>
      </c>
      <c r="X585" t="inlineStr">
        <is>
          <t>2007-03-08</t>
        </is>
      </c>
      <c r="Y585" t="n">
        <v>549</v>
      </c>
      <c r="Z585" t="n">
        <v>438</v>
      </c>
      <c r="AA585" t="n">
        <v>755</v>
      </c>
      <c r="AB585" t="n">
        <v>3</v>
      </c>
      <c r="AC585" t="n">
        <v>7</v>
      </c>
      <c r="AD585" t="n">
        <v>27</v>
      </c>
      <c r="AE585" t="n">
        <v>37</v>
      </c>
      <c r="AF585" t="n">
        <v>11</v>
      </c>
      <c r="AG585" t="n">
        <v>16</v>
      </c>
      <c r="AH585" t="n">
        <v>7</v>
      </c>
      <c r="AI585" t="n">
        <v>9</v>
      </c>
      <c r="AJ585" t="n">
        <v>16</v>
      </c>
      <c r="AK585" t="n">
        <v>19</v>
      </c>
      <c r="AL585" t="n">
        <v>2</v>
      </c>
      <c r="AM585" t="n">
        <v>5</v>
      </c>
      <c r="AN585" t="n">
        <v>0</v>
      </c>
      <c r="AO585" t="n">
        <v>0</v>
      </c>
      <c r="AP585" t="inlineStr">
        <is>
          <t>No</t>
        </is>
      </c>
      <c r="AQ585" t="inlineStr">
        <is>
          <t>Yes</t>
        </is>
      </c>
      <c r="AR585">
        <f>HYPERLINK("http://catalog.hathitrust.org/Record/004293285","HathiTrust Record")</f>
        <v/>
      </c>
      <c r="AS585">
        <f>HYPERLINK("https://creighton-primo.hosted.exlibrisgroup.com/primo-explore/search?tab=default_tab&amp;search_scope=EVERYTHING&amp;vid=01CRU&amp;lang=en_US&amp;offset=0&amp;query=any,contains,991005034099702656","Catalog Record")</f>
        <v/>
      </c>
      <c r="AT585">
        <f>HYPERLINK("http://www.worldcat.org/oclc/46992203","WorldCat Record")</f>
        <v/>
      </c>
      <c r="AU585" t="inlineStr">
        <is>
          <t>1020804642:eng</t>
        </is>
      </c>
      <c r="AV585" t="inlineStr">
        <is>
          <t>46992203</t>
        </is>
      </c>
      <c r="AW585" t="inlineStr">
        <is>
          <t>991005034099702656</t>
        </is>
      </c>
      <c r="AX585" t="inlineStr">
        <is>
          <t>991005034099702656</t>
        </is>
      </c>
      <c r="AY585" t="inlineStr">
        <is>
          <t>2254899920002656</t>
        </is>
      </c>
      <c r="AZ585" t="inlineStr">
        <is>
          <t>BOOK</t>
        </is>
      </c>
      <c r="BB585" t="inlineStr">
        <is>
          <t>9780807826645</t>
        </is>
      </c>
      <c r="BC585" t="inlineStr">
        <is>
          <t>32285005281026</t>
        </is>
      </c>
      <c r="BD585" t="inlineStr">
        <is>
          <t>893606724</t>
        </is>
      </c>
    </row>
    <row r="586">
      <c r="A586" t="inlineStr">
        <is>
          <t>No</t>
        </is>
      </c>
      <c r="B586" t="inlineStr">
        <is>
          <t>DE3 .M52 2002</t>
        </is>
      </c>
      <c r="C586" t="inlineStr">
        <is>
          <t>0                      DE 0003000M  52          2002</t>
        </is>
      </c>
      <c r="D586" t="inlineStr">
        <is>
          <t>Rome, the Greek world, and the East / Fergus Millar ; edited by Hannah M. Cotton and Guy M. Rogers.</t>
        </is>
      </c>
      <c r="E586" t="inlineStr">
        <is>
          <t>V. 2</t>
        </is>
      </c>
      <c r="F586" t="inlineStr">
        <is>
          <t>Yes</t>
        </is>
      </c>
      <c r="G586" t="inlineStr">
        <is>
          <t>1</t>
        </is>
      </c>
      <c r="H586" t="inlineStr">
        <is>
          <t>No</t>
        </is>
      </c>
      <c r="I586" t="inlineStr">
        <is>
          <t>No</t>
        </is>
      </c>
      <c r="J586" t="inlineStr">
        <is>
          <t>0</t>
        </is>
      </c>
      <c r="K586" t="inlineStr">
        <is>
          <t>Millar, Fergus.</t>
        </is>
      </c>
      <c r="L586" t="inlineStr">
        <is>
          <t>Chapel Hill : University of North Carolina Press, c2002-c2006.</t>
        </is>
      </c>
      <c r="M586" t="inlineStr">
        <is>
          <t>2002</t>
        </is>
      </c>
      <c r="O586" t="inlineStr">
        <is>
          <t>eng</t>
        </is>
      </c>
      <c r="P586" t="inlineStr">
        <is>
          <t>ncu</t>
        </is>
      </c>
      <c r="Q586" t="inlineStr">
        <is>
          <t>Studies in the history of Greece and Rome</t>
        </is>
      </c>
      <c r="R586" t="inlineStr">
        <is>
          <t xml:space="preserve">DE </t>
        </is>
      </c>
      <c r="S586" t="n">
        <v>3</v>
      </c>
      <c r="T586" t="n">
        <v>9</v>
      </c>
      <c r="U586" t="inlineStr">
        <is>
          <t>2007-04-02</t>
        </is>
      </c>
      <c r="V586" t="inlineStr">
        <is>
          <t>2008-02-12</t>
        </is>
      </c>
      <c r="W586" t="inlineStr">
        <is>
          <t>2007-03-08</t>
        </is>
      </c>
      <c r="X586" t="inlineStr">
        <is>
          <t>2007-03-08</t>
        </is>
      </c>
      <c r="Y586" t="n">
        <v>549</v>
      </c>
      <c r="Z586" t="n">
        <v>438</v>
      </c>
      <c r="AA586" t="n">
        <v>755</v>
      </c>
      <c r="AB586" t="n">
        <v>3</v>
      </c>
      <c r="AC586" t="n">
        <v>7</v>
      </c>
      <c r="AD586" t="n">
        <v>27</v>
      </c>
      <c r="AE586" t="n">
        <v>37</v>
      </c>
      <c r="AF586" t="n">
        <v>11</v>
      </c>
      <c r="AG586" t="n">
        <v>16</v>
      </c>
      <c r="AH586" t="n">
        <v>7</v>
      </c>
      <c r="AI586" t="n">
        <v>9</v>
      </c>
      <c r="AJ586" t="n">
        <v>16</v>
      </c>
      <c r="AK586" t="n">
        <v>19</v>
      </c>
      <c r="AL586" t="n">
        <v>2</v>
      </c>
      <c r="AM586" t="n">
        <v>5</v>
      </c>
      <c r="AN586" t="n">
        <v>0</v>
      </c>
      <c r="AO586" t="n">
        <v>0</v>
      </c>
      <c r="AP586" t="inlineStr">
        <is>
          <t>No</t>
        </is>
      </c>
      <c r="AQ586" t="inlineStr">
        <is>
          <t>Yes</t>
        </is>
      </c>
      <c r="AR586">
        <f>HYPERLINK("http://catalog.hathitrust.org/Record/004293285","HathiTrust Record")</f>
        <v/>
      </c>
      <c r="AS586">
        <f>HYPERLINK("https://creighton-primo.hosted.exlibrisgroup.com/primo-explore/search?tab=default_tab&amp;search_scope=EVERYTHING&amp;vid=01CRU&amp;lang=en_US&amp;offset=0&amp;query=any,contains,991005034099702656","Catalog Record")</f>
        <v/>
      </c>
      <c r="AT586">
        <f>HYPERLINK("http://www.worldcat.org/oclc/46992203","WorldCat Record")</f>
        <v/>
      </c>
      <c r="AU586" t="inlineStr">
        <is>
          <t>1020804642:eng</t>
        </is>
      </c>
      <c r="AV586" t="inlineStr">
        <is>
          <t>46992203</t>
        </is>
      </c>
      <c r="AW586" t="inlineStr">
        <is>
          <t>991005034099702656</t>
        </is>
      </c>
      <c r="AX586" t="inlineStr">
        <is>
          <t>991005034099702656</t>
        </is>
      </c>
      <c r="AY586" t="inlineStr">
        <is>
          <t>2254899920002656</t>
        </is>
      </c>
      <c r="AZ586" t="inlineStr">
        <is>
          <t>BOOK</t>
        </is>
      </c>
      <c r="BB586" t="inlineStr">
        <is>
          <t>9780807826645</t>
        </is>
      </c>
      <c r="BC586" t="inlineStr">
        <is>
          <t>32285005281034</t>
        </is>
      </c>
      <c r="BD586" t="inlineStr">
        <is>
          <t>893600519</t>
        </is>
      </c>
    </row>
    <row r="587">
      <c r="A587" t="inlineStr">
        <is>
          <t>No</t>
        </is>
      </c>
      <c r="B587" t="inlineStr">
        <is>
          <t>DE3 .M52 2002</t>
        </is>
      </c>
      <c r="C587" t="inlineStr">
        <is>
          <t>0                      DE 0003000M  52          2002</t>
        </is>
      </c>
      <c r="D587" t="inlineStr">
        <is>
          <t>Rome, the Greek world, and the East / Fergus Millar ; edited by Hannah M. Cotton and Guy M. Rogers.</t>
        </is>
      </c>
      <c r="E587" t="inlineStr">
        <is>
          <t>V. 3</t>
        </is>
      </c>
      <c r="F587" t="inlineStr">
        <is>
          <t>Yes</t>
        </is>
      </c>
      <c r="G587" t="inlineStr">
        <is>
          <t>1</t>
        </is>
      </c>
      <c r="H587" t="inlineStr">
        <is>
          <t>No</t>
        </is>
      </c>
      <c r="I587" t="inlineStr">
        <is>
          <t>No</t>
        </is>
      </c>
      <c r="J587" t="inlineStr">
        <is>
          <t>0</t>
        </is>
      </c>
      <c r="K587" t="inlineStr">
        <is>
          <t>Millar, Fergus.</t>
        </is>
      </c>
      <c r="L587" t="inlineStr">
        <is>
          <t>Chapel Hill : University of North Carolina Press, c2002-c2006.</t>
        </is>
      </c>
      <c r="M587" t="inlineStr">
        <is>
          <t>2002</t>
        </is>
      </c>
      <c r="O587" t="inlineStr">
        <is>
          <t>eng</t>
        </is>
      </c>
      <c r="P587" t="inlineStr">
        <is>
          <t>ncu</t>
        </is>
      </c>
      <c r="Q587" t="inlineStr">
        <is>
          <t>Studies in the history of Greece and Rome</t>
        </is>
      </c>
      <c r="R587" t="inlineStr">
        <is>
          <t xml:space="preserve">DE </t>
        </is>
      </c>
      <c r="S587" t="n">
        <v>3</v>
      </c>
      <c r="T587" t="n">
        <v>9</v>
      </c>
      <c r="U587" t="inlineStr">
        <is>
          <t>2008-02-12</t>
        </is>
      </c>
      <c r="V587" t="inlineStr">
        <is>
          <t>2008-02-12</t>
        </is>
      </c>
      <c r="W587" t="inlineStr">
        <is>
          <t>2007-03-08</t>
        </is>
      </c>
      <c r="X587" t="inlineStr">
        <is>
          <t>2007-03-08</t>
        </is>
      </c>
      <c r="Y587" t="n">
        <v>549</v>
      </c>
      <c r="Z587" t="n">
        <v>438</v>
      </c>
      <c r="AA587" t="n">
        <v>755</v>
      </c>
      <c r="AB587" t="n">
        <v>3</v>
      </c>
      <c r="AC587" t="n">
        <v>7</v>
      </c>
      <c r="AD587" t="n">
        <v>27</v>
      </c>
      <c r="AE587" t="n">
        <v>37</v>
      </c>
      <c r="AF587" t="n">
        <v>11</v>
      </c>
      <c r="AG587" t="n">
        <v>16</v>
      </c>
      <c r="AH587" t="n">
        <v>7</v>
      </c>
      <c r="AI587" t="n">
        <v>9</v>
      </c>
      <c r="AJ587" t="n">
        <v>16</v>
      </c>
      <c r="AK587" t="n">
        <v>19</v>
      </c>
      <c r="AL587" t="n">
        <v>2</v>
      </c>
      <c r="AM587" t="n">
        <v>5</v>
      </c>
      <c r="AN587" t="n">
        <v>0</v>
      </c>
      <c r="AO587" t="n">
        <v>0</v>
      </c>
      <c r="AP587" t="inlineStr">
        <is>
          <t>No</t>
        </is>
      </c>
      <c r="AQ587" t="inlineStr">
        <is>
          <t>Yes</t>
        </is>
      </c>
      <c r="AR587">
        <f>HYPERLINK("http://catalog.hathitrust.org/Record/004293285","HathiTrust Record")</f>
        <v/>
      </c>
      <c r="AS587">
        <f>HYPERLINK("https://creighton-primo.hosted.exlibrisgroup.com/primo-explore/search?tab=default_tab&amp;search_scope=EVERYTHING&amp;vid=01CRU&amp;lang=en_US&amp;offset=0&amp;query=any,contains,991005034099702656","Catalog Record")</f>
        <v/>
      </c>
      <c r="AT587">
        <f>HYPERLINK("http://www.worldcat.org/oclc/46992203","WorldCat Record")</f>
        <v/>
      </c>
      <c r="AU587" t="inlineStr">
        <is>
          <t>1020804642:eng</t>
        </is>
      </c>
      <c r="AV587" t="inlineStr">
        <is>
          <t>46992203</t>
        </is>
      </c>
      <c r="AW587" t="inlineStr">
        <is>
          <t>991005034099702656</t>
        </is>
      </c>
      <c r="AX587" t="inlineStr">
        <is>
          <t>991005034099702656</t>
        </is>
      </c>
      <c r="AY587" t="inlineStr">
        <is>
          <t>2254899920002656</t>
        </is>
      </c>
      <c r="AZ587" t="inlineStr">
        <is>
          <t>BOOK</t>
        </is>
      </c>
      <c r="BB587" t="inlineStr">
        <is>
          <t>9780807826645</t>
        </is>
      </c>
      <c r="BC587" t="inlineStr">
        <is>
          <t>32285005281042</t>
        </is>
      </c>
      <c r="BD587" t="inlineStr">
        <is>
          <t>893606723</t>
        </is>
      </c>
    </row>
    <row r="588">
      <c r="A588" t="inlineStr">
        <is>
          <t>No</t>
        </is>
      </c>
      <c r="B588" t="inlineStr">
        <is>
          <t>DE5 .N48 1996, v...</t>
        </is>
      </c>
      <c r="C588" t="inlineStr">
        <is>
          <t>0                      DE 0005000N  48          1996                                        v...</t>
        </is>
      </c>
      <c r="D588" t="inlineStr">
        <is>
          <t>Der neue Pauly : Enzyklopädie der Antike / herausgegeben von Hubert Cancik und Helmuth Schneider.</t>
        </is>
      </c>
      <c r="E588" t="inlineStr">
        <is>
          <t>V. 3</t>
        </is>
      </c>
      <c r="F588" t="inlineStr">
        <is>
          <t>Yes</t>
        </is>
      </c>
      <c r="G588" t="inlineStr">
        <is>
          <t>1</t>
        </is>
      </c>
      <c r="H588" t="inlineStr">
        <is>
          <t>No</t>
        </is>
      </c>
      <c r="I588" t="inlineStr">
        <is>
          <t>No</t>
        </is>
      </c>
      <c r="J588" t="inlineStr">
        <is>
          <t>0</t>
        </is>
      </c>
      <c r="L588" t="inlineStr">
        <is>
          <t>Stuttgart : J.B. Metzler, c1996-</t>
        </is>
      </c>
      <c r="M588" t="inlineStr">
        <is>
          <t>1996</t>
        </is>
      </c>
      <c r="O588" t="inlineStr">
        <is>
          <t>ger</t>
        </is>
      </c>
      <c r="P588" t="inlineStr">
        <is>
          <t xml:space="preserve">gw </t>
        </is>
      </c>
      <c r="R588" t="inlineStr">
        <is>
          <t xml:space="preserve">DE </t>
        </is>
      </c>
      <c r="S588" t="n">
        <v>0</v>
      </c>
      <c r="T588" t="n">
        <v>23</v>
      </c>
      <c r="V588" t="inlineStr">
        <is>
          <t>2007-09-21</t>
        </is>
      </c>
      <c r="W588" t="inlineStr">
        <is>
          <t>1998-03-10</t>
        </is>
      </c>
      <c r="X588" t="inlineStr">
        <is>
          <t>2004-03-01</t>
        </is>
      </c>
      <c r="Y588" t="n">
        <v>245</v>
      </c>
      <c r="Z588" t="n">
        <v>172</v>
      </c>
      <c r="AA588" t="n">
        <v>172</v>
      </c>
      <c r="AB588" t="n">
        <v>2</v>
      </c>
      <c r="AC588" t="n">
        <v>2</v>
      </c>
      <c r="AD588" t="n">
        <v>10</v>
      </c>
      <c r="AE588" t="n">
        <v>10</v>
      </c>
      <c r="AF588" t="n">
        <v>1</v>
      </c>
      <c r="AG588" t="n">
        <v>1</v>
      </c>
      <c r="AH588" t="n">
        <v>3</v>
      </c>
      <c r="AI588" t="n">
        <v>3</v>
      </c>
      <c r="AJ588" t="n">
        <v>9</v>
      </c>
      <c r="AK588" t="n">
        <v>9</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HYPERLINK("https://creighton-primo.hosted.exlibrisgroup.com/primo-explore/search?tab=default_tab&amp;search_scope=EVERYTHING&amp;vid=01CRU&amp;lang=en_US&amp;offset=0&amp;query=any,contains,991002799779702656","Catalog Record")</f>
        <v/>
      </c>
      <c r="AT588">
        <f>HYPERLINK("http://www.worldcat.org/oclc/51059755","WorldCat Record")</f>
        <v/>
      </c>
      <c r="AU588" t="inlineStr">
        <is>
          <t>3856148930:ger</t>
        </is>
      </c>
      <c r="AV588" t="inlineStr">
        <is>
          <t>51059755</t>
        </is>
      </c>
      <c r="AW588" t="inlineStr">
        <is>
          <t>991002799779702656</t>
        </is>
      </c>
      <c r="AX588" t="inlineStr">
        <is>
          <t>991002799779702656</t>
        </is>
      </c>
      <c r="AY588" t="inlineStr">
        <is>
          <t>2259650870002656</t>
        </is>
      </c>
      <c r="AZ588" t="inlineStr">
        <is>
          <t>BOOK</t>
        </is>
      </c>
      <c r="BB588" t="inlineStr">
        <is>
          <t>9783476014702</t>
        </is>
      </c>
      <c r="BC588" t="inlineStr">
        <is>
          <t>32285003357422</t>
        </is>
      </c>
      <c r="BD588" t="inlineStr">
        <is>
          <t>893616597</t>
        </is>
      </c>
    </row>
    <row r="589">
      <c r="A589" t="inlineStr">
        <is>
          <t>No</t>
        </is>
      </c>
      <c r="B589" t="inlineStr">
        <is>
          <t>DE5 .N48 1996, v...</t>
        </is>
      </c>
      <c r="C589" t="inlineStr">
        <is>
          <t>0                      DE 0005000N  48          1996                                        v...</t>
        </is>
      </c>
      <c r="D589" t="inlineStr">
        <is>
          <t>Der neue Pauly : Enzyklopädie der Antike / herausgegeben von Hubert Cancik und Helmuth Schneider.</t>
        </is>
      </c>
      <c r="E589" t="inlineStr">
        <is>
          <t>V. 14</t>
        </is>
      </c>
      <c r="F589" t="inlineStr">
        <is>
          <t>Yes</t>
        </is>
      </c>
      <c r="G589" t="inlineStr">
        <is>
          <t>1</t>
        </is>
      </c>
      <c r="H589" t="inlineStr">
        <is>
          <t>No</t>
        </is>
      </c>
      <c r="I589" t="inlineStr">
        <is>
          <t>No</t>
        </is>
      </c>
      <c r="J589" t="inlineStr">
        <is>
          <t>0</t>
        </is>
      </c>
      <c r="L589" t="inlineStr">
        <is>
          <t>Stuttgart : J.B. Metzler, c1996-</t>
        </is>
      </c>
      <c r="M589" t="inlineStr">
        <is>
          <t>1996</t>
        </is>
      </c>
      <c r="O589" t="inlineStr">
        <is>
          <t>ger</t>
        </is>
      </c>
      <c r="P589" t="inlineStr">
        <is>
          <t xml:space="preserve">gw </t>
        </is>
      </c>
      <c r="R589" t="inlineStr">
        <is>
          <t xml:space="preserve">DE </t>
        </is>
      </c>
      <c r="S589" t="n">
        <v>1</v>
      </c>
      <c r="T589" t="n">
        <v>23</v>
      </c>
      <c r="U589" t="inlineStr">
        <is>
          <t>2001-03-14</t>
        </is>
      </c>
      <c r="V589" t="inlineStr">
        <is>
          <t>2007-09-21</t>
        </is>
      </c>
      <c r="W589" t="inlineStr">
        <is>
          <t>2001-03-14</t>
        </is>
      </c>
      <c r="X589" t="inlineStr">
        <is>
          <t>2004-03-01</t>
        </is>
      </c>
      <c r="Y589" t="n">
        <v>245</v>
      </c>
      <c r="Z589" t="n">
        <v>172</v>
      </c>
      <c r="AA589" t="n">
        <v>172</v>
      </c>
      <c r="AB589" t="n">
        <v>2</v>
      </c>
      <c r="AC589" t="n">
        <v>2</v>
      </c>
      <c r="AD589" t="n">
        <v>10</v>
      </c>
      <c r="AE589" t="n">
        <v>10</v>
      </c>
      <c r="AF589" t="n">
        <v>1</v>
      </c>
      <c r="AG589" t="n">
        <v>1</v>
      </c>
      <c r="AH589" t="n">
        <v>3</v>
      </c>
      <c r="AI589" t="n">
        <v>3</v>
      </c>
      <c r="AJ589" t="n">
        <v>9</v>
      </c>
      <c r="AK589" t="n">
        <v>9</v>
      </c>
      <c r="AL589" t="n">
        <v>1</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HYPERLINK("https://creighton-primo.hosted.exlibrisgroup.com/primo-explore/search?tab=default_tab&amp;search_scope=EVERYTHING&amp;vid=01CRU&amp;lang=en_US&amp;offset=0&amp;query=any,contains,991002799779702656","Catalog Record")</f>
        <v/>
      </c>
      <c r="AT589">
        <f>HYPERLINK("http://www.worldcat.org/oclc/51059755","WorldCat Record")</f>
        <v/>
      </c>
      <c r="AU589" t="inlineStr">
        <is>
          <t>3856148930:ger</t>
        </is>
      </c>
      <c r="AV589" t="inlineStr">
        <is>
          <t>51059755</t>
        </is>
      </c>
      <c r="AW589" t="inlineStr">
        <is>
          <t>991002799779702656</t>
        </is>
      </c>
      <c r="AX589" t="inlineStr">
        <is>
          <t>991002799779702656</t>
        </is>
      </c>
      <c r="AY589" t="inlineStr">
        <is>
          <t>2259650870002656</t>
        </is>
      </c>
      <c r="AZ589" t="inlineStr">
        <is>
          <t>BOOK</t>
        </is>
      </c>
      <c r="BB589" t="inlineStr">
        <is>
          <t>9783476014702</t>
        </is>
      </c>
      <c r="BC589" t="inlineStr">
        <is>
          <t>32285004287016</t>
        </is>
      </c>
      <c r="BD589" t="inlineStr">
        <is>
          <t>893616595</t>
        </is>
      </c>
    </row>
    <row r="590">
      <c r="A590" t="inlineStr">
        <is>
          <t>No</t>
        </is>
      </c>
      <c r="B590" t="inlineStr">
        <is>
          <t>DE5 .N48 1996, v...</t>
        </is>
      </c>
      <c r="C590" t="inlineStr">
        <is>
          <t>0                      DE 0005000N  48          1996                                        v...</t>
        </is>
      </c>
      <c r="D590" t="inlineStr">
        <is>
          <t>Der neue Pauly : Enzyklopädie der Antike / herausgegeben von Hubert Cancik und Helmuth Schneider.</t>
        </is>
      </c>
      <c r="E590" t="inlineStr">
        <is>
          <t>v...*</t>
        </is>
      </c>
      <c r="F590" t="inlineStr">
        <is>
          <t>Yes</t>
        </is>
      </c>
      <c r="G590" t="inlineStr">
        <is>
          <t>1</t>
        </is>
      </c>
      <c r="H590" t="inlineStr">
        <is>
          <t>No</t>
        </is>
      </c>
      <c r="I590" t="inlineStr">
        <is>
          <t>No</t>
        </is>
      </c>
      <c r="J590" t="inlineStr">
        <is>
          <t>0</t>
        </is>
      </c>
      <c r="L590" t="inlineStr">
        <is>
          <t>Stuttgart : J.B. Metzler, c1996-</t>
        </is>
      </c>
      <c r="M590" t="inlineStr">
        <is>
          <t>1996</t>
        </is>
      </c>
      <c r="O590" t="inlineStr">
        <is>
          <t>ger</t>
        </is>
      </c>
      <c r="P590" t="inlineStr">
        <is>
          <t xml:space="preserve">gw </t>
        </is>
      </c>
      <c r="R590" t="inlineStr">
        <is>
          <t xml:space="preserve">DE </t>
        </is>
      </c>
      <c r="S590" t="n">
        <v>0</v>
      </c>
      <c r="T590" t="n">
        <v>23</v>
      </c>
      <c r="V590" t="inlineStr">
        <is>
          <t>2007-09-21</t>
        </is>
      </c>
      <c r="W590" t="inlineStr">
        <is>
          <t>2000-10-20</t>
        </is>
      </c>
      <c r="X590" t="inlineStr">
        <is>
          <t>2004-03-01</t>
        </is>
      </c>
      <c r="Y590" t="n">
        <v>245</v>
      </c>
      <c r="Z590" t="n">
        <v>172</v>
      </c>
      <c r="AA590" t="n">
        <v>172</v>
      </c>
      <c r="AB590" t="n">
        <v>2</v>
      </c>
      <c r="AC590" t="n">
        <v>2</v>
      </c>
      <c r="AD590" t="n">
        <v>10</v>
      </c>
      <c r="AE590" t="n">
        <v>10</v>
      </c>
      <c r="AF590" t="n">
        <v>1</v>
      </c>
      <c r="AG590" t="n">
        <v>1</v>
      </c>
      <c r="AH590" t="n">
        <v>3</v>
      </c>
      <c r="AI590" t="n">
        <v>3</v>
      </c>
      <c r="AJ590" t="n">
        <v>9</v>
      </c>
      <c r="AK590" t="n">
        <v>9</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HYPERLINK("https://creighton-primo.hosted.exlibrisgroup.com/primo-explore/search?tab=default_tab&amp;search_scope=EVERYTHING&amp;vid=01CRU&amp;lang=en_US&amp;offset=0&amp;query=any,contains,991002799779702656","Catalog Record")</f>
        <v/>
      </c>
      <c r="AT590">
        <f>HYPERLINK("http://www.worldcat.org/oclc/51059755","WorldCat Record")</f>
        <v/>
      </c>
      <c r="AU590" t="inlineStr">
        <is>
          <t>3856148930:ger</t>
        </is>
      </c>
      <c r="AV590" t="inlineStr">
        <is>
          <t>51059755</t>
        </is>
      </c>
      <c r="AW590" t="inlineStr">
        <is>
          <t>991002799779702656</t>
        </is>
      </c>
      <c r="AX590" t="inlineStr">
        <is>
          <t>991002799779702656</t>
        </is>
      </c>
      <c r="AY590" t="inlineStr">
        <is>
          <t>2259650870002656</t>
        </is>
      </c>
      <c r="AZ590" t="inlineStr">
        <is>
          <t>BOOK</t>
        </is>
      </c>
      <c r="BB590" t="inlineStr">
        <is>
          <t>9783476014702</t>
        </is>
      </c>
      <c r="BC590" t="inlineStr">
        <is>
          <t>352885-8001</t>
        </is>
      </c>
      <c r="BD590" t="inlineStr">
        <is>
          <t>893610309</t>
        </is>
      </c>
    </row>
    <row r="591">
      <c r="A591" t="inlineStr">
        <is>
          <t>No</t>
        </is>
      </c>
      <c r="B591" t="inlineStr">
        <is>
          <t>DE5 .N48 1996, v...</t>
        </is>
      </c>
      <c r="C591" t="inlineStr">
        <is>
          <t>0                      DE 0005000N  48          1996                                        v...</t>
        </is>
      </c>
      <c r="D591" t="inlineStr">
        <is>
          <t>Der neue Pauly : Enzyklopädie der Antike / herausgegeben von Hubert Cancik und Helmuth Schneider.</t>
        </is>
      </c>
      <c r="E591" t="inlineStr">
        <is>
          <t>V. 5</t>
        </is>
      </c>
      <c r="F591" t="inlineStr">
        <is>
          <t>Yes</t>
        </is>
      </c>
      <c r="G591" t="inlineStr">
        <is>
          <t>1</t>
        </is>
      </c>
      <c r="H591" t="inlineStr">
        <is>
          <t>No</t>
        </is>
      </c>
      <c r="I591" t="inlineStr">
        <is>
          <t>No</t>
        </is>
      </c>
      <c r="J591" t="inlineStr">
        <is>
          <t>0</t>
        </is>
      </c>
      <c r="L591" t="inlineStr">
        <is>
          <t>Stuttgart : J.B. Metzler, c1996-</t>
        </is>
      </c>
      <c r="M591" t="inlineStr">
        <is>
          <t>1996</t>
        </is>
      </c>
      <c r="O591" t="inlineStr">
        <is>
          <t>ger</t>
        </is>
      </c>
      <c r="P591" t="inlineStr">
        <is>
          <t xml:space="preserve">gw </t>
        </is>
      </c>
      <c r="R591" t="inlineStr">
        <is>
          <t xml:space="preserve">DE </t>
        </is>
      </c>
      <c r="S591" t="n">
        <v>1</v>
      </c>
      <c r="T591" t="n">
        <v>23</v>
      </c>
      <c r="U591" t="inlineStr">
        <is>
          <t>2005-04-12</t>
        </is>
      </c>
      <c r="V591" t="inlineStr">
        <is>
          <t>2007-09-21</t>
        </is>
      </c>
      <c r="W591" t="inlineStr">
        <is>
          <t>1999-02-17</t>
        </is>
      </c>
      <c r="X591" t="inlineStr">
        <is>
          <t>2004-03-01</t>
        </is>
      </c>
      <c r="Y591" t="n">
        <v>245</v>
      </c>
      <c r="Z591" t="n">
        <v>172</v>
      </c>
      <c r="AA591" t="n">
        <v>172</v>
      </c>
      <c r="AB591" t="n">
        <v>2</v>
      </c>
      <c r="AC591" t="n">
        <v>2</v>
      </c>
      <c r="AD591" t="n">
        <v>10</v>
      </c>
      <c r="AE591" t="n">
        <v>10</v>
      </c>
      <c r="AF591" t="n">
        <v>1</v>
      </c>
      <c r="AG591" t="n">
        <v>1</v>
      </c>
      <c r="AH591" t="n">
        <v>3</v>
      </c>
      <c r="AI591" t="n">
        <v>3</v>
      </c>
      <c r="AJ591" t="n">
        <v>9</v>
      </c>
      <c r="AK591" t="n">
        <v>9</v>
      </c>
      <c r="AL591" t="n">
        <v>1</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HYPERLINK("https://creighton-primo.hosted.exlibrisgroup.com/primo-explore/search?tab=default_tab&amp;search_scope=EVERYTHING&amp;vid=01CRU&amp;lang=en_US&amp;offset=0&amp;query=any,contains,991002799779702656","Catalog Record")</f>
        <v/>
      </c>
      <c r="AT591">
        <f>HYPERLINK("http://www.worldcat.org/oclc/51059755","WorldCat Record")</f>
        <v/>
      </c>
      <c r="AU591" t="inlineStr">
        <is>
          <t>3856148930:ger</t>
        </is>
      </c>
      <c r="AV591" t="inlineStr">
        <is>
          <t>51059755</t>
        </is>
      </c>
      <c r="AW591" t="inlineStr">
        <is>
          <t>991002799779702656</t>
        </is>
      </c>
      <c r="AX591" t="inlineStr">
        <is>
          <t>991002799779702656</t>
        </is>
      </c>
      <c r="AY591" t="inlineStr">
        <is>
          <t>2259650870002656</t>
        </is>
      </c>
      <c r="AZ591" t="inlineStr">
        <is>
          <t>BOOK</t>
        </is>
      </c>
      <c r="BB591" t="inlineStr">
        <is>
          <t>9783476014702</t>
        </is>
      </c>
      <c r="BC591" t="inlineStr">
        <is>
          <t>32285003525945</t>
        </is>
      </c>
      <c r="BD591" t="inlineStr">
        <is>
          <t>893610312</t>
        </is>
      </c>
    </row>
    <row r="592">
      <c r="A592" t="inlineStr">
        <is>
          <t>No</t>
        </is>
      </c>
      <c r="B592" t="inlineStr">
        <is>
          <t>DE5 .N48 1996, v...</t>
        </is>
      </c>
      <c r="C592" t="inlineStr">
        <is>
          <t>0                      DE 0005000N  48          1996                                        v...</t>
        </is>
      </c>
      <c r="D592" t="inlineStr">
        <is>
          <t>Der neue Pauly : Enzyklopädie der Antike / herausgegeben von Hubert Cancik und Helmuth Schneider.</t>
        </is>
      </c>
      <c r="E592" t="inlineStr">
        <is>
          <t>V. 15 PT. 1</t>
        </is>
      </c>
      <c r="F592" t="inlineStr">
        <is>
          <t>Yes</t>
        </is>
      </c>
      <c r="G592" t="inlineStr">
        <is>
          <t>1</t>
        </is>
      </c>
      <c r="H592" t="inlineStr">
        <is>
          <t>No</t>
        </is>
      </c>
      <c r="I592" t="inlineStr">
        <is>
          <t>No</t>
        </is>
      </c>
      <c r="J592" t="inlineStr">
        <is>
          <t>0</t>
        </is>
      </c>
      <c r="L592" t="inlineStr">
        <is>
          <t>Stuttgart : J.B. Metzler, c1996-</t>
        </is>
      </c>
      <c r="M592" t="inlineStr">
        <is>
          <t>1996</t>
        </is>
      </c>
      <c r="O592" t="inlineStr">
        <is>
          <t>ger</t>
        </is>
      </c>
      <c r="P592" t="inlineStr">
        <is>
          <t xml:space="preserve">gw </t>
        </is>
      </c>
      <c r="R592" t="inlineStr">
        <is>
          <t xml:space="preserve">DE </t>
        </is>
      </c>
      <c r="S592" t="n">
        <v>1</v>
      </c>
      <c r="T592" t="n">
        <v>23</v>
      </c>
      <c r="U592" t="inlineStr">
        <is>
          <t>2002-01-11</t>
        </is>
      </c>
      <c r="V592" t="inlineStr">
        <is>
          <t>2007-09-21</t>
        </is>
      </c>
      <c r="W592" t="inlineStr">
        <is>
          <t>2002-01-11</t>
        </is>
      </c>
      <c r="X592" t="inlineStr">
        <is>
          <t>2004-03-01</t>
        </is>
      </c>
      <c r="Y592" t="n">
        <v>245</v>
      </c>
      <c r="Z592" t="n">
        <v>172</v>
      </c>
      <c r="AA592" t="n">
        <v>172</v>
      </c>
      <c r="AB592" t="n">
        <v>2</v>
      </c>
      <c r="AC592" t="n">
        <v>2</v>
      </c>
      <c r="AD592" t="n">
        <v>10</v>
      </c>
      <c r="AE592" t="n">
        <v>10</v>
      </c>
      <c r="AF592" t="n">
        <v>1</v>
      </c>
      <c r="AG592" t="n">
        <v>1</v>
      </c>
      <c r="AH592" t="n">
        <v>3</v>
      </c>
      <c r="AI592" t="n">
        <v>3</v>
      </c>
      <c r="AJ592" t="n">
        <v>9</v>
      </c>
      <c r="AK592" t="n">
        <v>9</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HYPERLINK("https://creighton-primo.hosted.exlibrisgroup.com/primo-explore/search?tab=default_tab&amp;search_scope=EVERYTHING&amp;vid=01CRU&amp;lang=en_US&amp;offset=0&amp;query=any,contains,991002799779702656","Catalog Record")</f>
        <v/>
      </c>
      <c r="AT592">
        <f>HYPERLINK("http://www.worldcat.org/oclc/51059755","WorldCat Record")</f>
        <v/>
      </c>
      <c r="AU592" t="inlineStr">
        <is>
          <t>3856148930:ger</t>
        </is>
      </c>
      <c r="AV592" t="inlineStr">
        <is>
          <t>51059755</t>
        </is>
      </c>
      <c r="AW592" t="inlineStr">
        <is>
          <t>991002799779702656</t>
        </is>
      </c>
      <c r="AX592" t="inlineStr">
        <is>
          <t>991002799779702656</t>
        </is>
      </c>
      <c r="AY592" t="inlineStr">
        <is>
          <t>2259650870002656</t>
        </is>
      </c>
      <c r="AZ592" t="inlineStr">
        <is>
          <t>BOOK</t>
        </is>
      </c>
      <c r="BB592" t="inlineStr">
        <is>
          <t>9783476014702</t>
        </is>
      </c>
      <c r="BC592" t="inlineStr">
        <is>
          <t>32285004389119</t>
        </is>
      </c>
      <c r="BD592" t="inlineStr">
        <is>
          <t>893591797</t>
        </is>
      </c>
    </row>
    <row r="593">
      <c r="A593" t="inlineStr">
        <is>
          <t>No</t>
        </is>
      </c>
      <c r="B593" t="inlineStr">
        <is>
          <t>DE5 .N48 1996, v...</t>
        </is>
      </c>
      <c r="C593" t="inlineStr">
        <is>
          <t>0                      DE 0005000N  48          1996                                        v...</t>
        </is>
      </c>
      <c r="D593" t="inlineStr">
        <is>
          <t>Der neue Pauly : Enzyklopädie der Antike / herausgegeben von Hubert Cancik und Helmuth Schneider.</t>
        </is>
      </c>
      <c r="E593" t="inlineStr">
        <is>
          <t>V. 11</t>
        </is>
      </c>
      <c r="F593" t="inlineStr">
        <is>
          <t>Yes</t>
        </is>
      </c>
      <c r="G593" t="inlineStr">
        <is>
          <t>1</t>
        </is>
      </c>
      <c r="H593" t="inlineStr">
        <is>
          <t>No</t>
        </is>
      </c>
      <c r="I593" t="inlineStr">
        <is>
          <t>No</t>
        </is>
      </c>
      <c r="J593" t="inlineStr">
        <is>
          <t>0</t>
        </is>
      </c>
      <c r="L593" t="inlineStr">
        <is>
          <t>Stuttgart : J.B. Metzler, c1996-</t>
        </is>
      </c>
      <c r="M593" t="inlineStr">
        <is>
          <t>1996</t>
        </is>
      </c>
      <c r="O593" t="inlineStr">
        <is>
          <t>ger</t>
        </is>
      </c>
      <c r="P593" t="inlineStr">
        <is>
          <t xml:space="preserve">gw </t>
        </is>
      </c>
      <c r="R593" t="inlineStr">
        <is>
          <t xml:space="preserve">DE </t>
        </is>
      </c>
      <c r="S593" t="n">
        <v>3</v>
      </c>
      <c r="T593" t="n">
        <v>23</v>
      </c>
      <c r="U593" t="inlineStr">
        <is>
          <t>2006-05-31</t>
        </is>
      </c>
      <c r="V593" t="inlineStr">
        <is>
          <t>2007-09-21</t>
        </is>
      </c>
      <c r="W593" t="inlineStr">
        <is>
          <t>2002-01-30</t>
        </is>
      </c>
      <c r="X593" t="inlineStr">
        <is>
          <t>2004-03-01</t>
        </is>
      </c>
      <c r="Y593" t="n">
        <v>245</v>
      </c>
      <c r="Z593" t="n">
        <v>172</v>
      </c>
      <c r="AA593" t="n">
        <v>172</v>
      </c>
      <c r="AB593" t="n">
        <v>2</v>
      </c>
      <c r="AC593" t="n">
        <v>2</v>
      </c>
      <c r="AD593" t="n">
        <v>10</v>
      </c>
      <c r="AE593" t="n">
        <v>10</v>
      </c>
      <c r="AF593" t="n">
        <v>1</v>
      </c>
      <c r="AG593" t="n">
        <v>1</v>
      </c>
      <c r="AH593" t="n">
        <v>3</v>
      </c>
      <c r="AI593" t="n">
        <v>3</v>
      </c>
      <c r="AJ593" t="n">
        <v>9</v>
      </c>
      <c r="AK593" t="n">
        <v>9</v>
      </c>
      <c r="AL593" t="n">
        <v>1</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HYPERLINK("https://creighton-primo.hosted.exlibrisgroup.com/primo-explore/search?tab=default_tab&amp;search_scope=EVERYTHING&amp;vid=01CRU&amp;lang=en_US&amp;offset=0&amp;query=any,contains,991002799779702656","Catalog Record")</f>
        <v/>
      </c>
      <c r="AT593">
        <f>HYPERLINK("http://www.worldcat.org/oclc/51059755","WorldCat Record")</f>
        <v/>
      </c>
      <c r="AU593" t="inlineStr">
        <is>
          <t>3856148930:ger</t>
        </is>
      </c>
      <c r="AV593" t="inlineStr">
        <is>
          <t>51059755</t>
        </is>
      </c>
      <c r="AW593" t="inlineStr">
        <is>
          <t>991002799779702656</t>
        </is>
      </c>
      <c r="AX593" t="inlineStr">
        <is>
          <t>991002799779702656</t>
        </is>
      </c>
      <c r="AY593" t="inlineStr">
        <is>
          <t>2259650870002656</t>
        </is>
      </c>
      <c r="AZ593" t="inlineStr">
        <is>
          <t>BOOK</t>
        </is>
      </c>
      <c r="BB593" t="inlineStr">
        <is>
          <t>9783476014702</t>
        </is>
      </c>
      <c r="BC593" t="inlineStr">
        <is>
          <t>32285004389994</t>
        </is>
      </c>
      <c r="BD593" t="inlineStr">
        <is>
          <t>893616596</t>
        </is>
      </c>
    </row>
    <row r="594">
      <c r="A594" t="inlineStr">
        <is>
          <t>No</t>
        </is>
      </c>
      <c r="B594" t="inlineStr">
        <is>
          <t>DE5 .N48 1996, v...</t>
        </is>
      </c>
      <c r="C594" t="inlineStr">
        <is>
          <t>0                      DE 0005000N  48          1996                                        v...</t>
        </is>
      </c>
      <c r="D594" t="inlineStr">
        <is>
          <t>Der neue Pauly : Enzyklopädie der Antike / herausgegeben von Hubert Cancik und Helmuth Schneider.</t>
        </is>
      </c>
      <c r="E594" t="inlineStr">
        <is>
          <t>V. 15 PT. 3</t>
        </is>
      </c>
      <c r="F594" t="inlineStr">
        <is>
          <t>Yes</t>
        </is>
      </c>
      <c r="G594" t="inlineStr">
        <is>
          <t>1</t>
        </is>
      </c>
      <c r="H594" t="inlineStr">
        <is>
          <t>No</t>
        </is>
      </c>
      <c r="I594" t="inlineStr">
        <is>
          <t>No</t>
        </is>
      </c>
      <c r="J594" t="inlineStr">
        <is>
          <t>0</t>
        </is>
      </c>
      <c r="L594" t="inlineStr">
        <is>
          <t>Stuttgart : J.B. Metzler, c1996-</t>
        </is>
      </c>
      <c r="M594" t="inlineStr">
        <is>
          <t>1996</t>
        </is>
      </c>
      <c r="O594" t="inlineStr">
        <is>
          <t>ger</t>
        </is>
      </c>
      <c r="P594" t="inlineStr">
        <is>
          <t xml:space="preserve">gw </t>
        </is>
      </c>
      <c r="R594" t="inlineStr">
        <is>
          <t xml:space="preserve">DE </t>
        </is>
      </c>
      <c r="S594" t="n">
        <v>1</v>
      </c>
      <c r="T594" t="n">
        <v>23</v>
      </c>
      <c r="U594" t="inlineStr">
        <is>
          <t>2003-12-22</t>
        </is>
      </c>
      <c r="V594" t="inlineStr">
        <is>
          <t>2007-09-21</t>
        </is>
      </c>
      <c r="W594" t="inlineStr">
        <is>
          <t>2003-12-22</t>
        </is>
      </c>
      <c r="X594" t="inlineStr">
        <is>
          <t>2004-03-01</t>
        </is>
      </c>
      <c r="Y594" t="n">
        <v>245</v>
      </c>
      <c r="Z594" t="n">
        <v>172</v>
      </c>
      <c r="AA594" t="n">
        <v>172</v>
      </c>
      <c r="AB594" t="n">
        <v>2</v>
      </c>
      <c r="AC594" t="n">
        <v>2</v>
      </c>
      <c r="AD594" t="n">
        <v>10</v>
      </c>
      <c r="AE594" t="n">
        <v>10</v>
      </c>
      <c r="AF594" t="n">
        <v>1</v>
      </c>
      <c r="AG594" t="n">
        <v>1</v>
      </c>
      <c r="AH594" t="n">
        <v>3</v>
      </c>
      <c r="AI594" t="n">
        <v>3</v>
      </c>
      <c r="AJ594" t="n">
        <v>9</v>
      </c>
      <c r="AK594" t="n">
        <v>9</v>
      </c>
      <c r="AL594" t="n">
        <v>1</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HYPERLINK("https://creighton-primo.hosted.exlibrisgroup.com/primo-explore/search?tab=default_tab&amp;search_scope=EVERYTHING&amp;vid=01CRU&amp;lang=en_US&amp;offset=0&amp;query=any,contains,991002799779702656","Catalog Record")</f>
        <v/>
      </c>
      <c r="AT594">
        <f>HYPERLINK("http://www.worldcat.org/oclc/51059755","WorldCat Record")</f>
        <v/>
      </c>
      <c r="AU594" t="inlineStr">
        <is>
          <t>3856148930:ger</t>
        </is>
      </c>
      <c r="AV594" t="inlineStr">
        <is>
          <t>51059755</t>
        </is>
      </c>
      <c r="AW594" t="inlineStr">
        <is>
          <t>991002799779702656</t>
        </is>
      </c>
      <c r="AX594" t="inlineStr">
        <is>
          <t>991002799779702656</t>
        </is>
      </c>
      <c r="AY594" t="inlineStr">
        <is>
          <t>2259650870002656</t>
        </is>
      </c>
      <c r="AZ594" t="inlineStr">
        <is>
          <t>BOOK</t>
        </is>
      </c>
      <c r="BB594" t="inlineStr">
        <is>
          <t>9783476014702</t>
        </is>
      </c>
      <c r="BC594" t="inlineStr">
        <is>
          <t>32285004679154</t>
        </is>
      </c>
      <c r="BD594" t="inlineStr">
        <is>
          <t>893591798</t>
        </is>
      </c>
    </row>
    <row r="595">
      <c r="A595" t="inlineStr">
        <is>
          <t>No</t>
        </is>
      </c>
      <c r="B595" t="inlineStr">
        <is>
          <t>DE5 .N48 1996, v...</t>
        </is>
      </c>
      <c r="C595" t="inlineStr">
        <is>
          <t>0                      DE 0005000N  48          1996                                        v...</t>
        </is>
      </c>
      <c r="D595" t="inlineStr">
        <is>
          <t>Der neue Pauly : Enzyklopädie der Antike / herausgegeben von Hubert Cancik und Helmuth Schneider.</t>
        </is>
      </c>
      <c r="E595" t="inlineStr">
        <is>
          <t>V. 2</t>
        </is>
      </c>
      <c r="F595" t="inlineStr">
        <is>
          <t>Yes</t>
        </is>
      </c>
      <c r="G595" t="inlineStr">
        <is>
          <t>1</t>
        </is>
      </c>
      <c r="H595" t="inlineStr">
        <is>
          <t>No</t>
        </is>
      </c>
      <c r="I595" t="inlineStr">
        <is>
          <t>No</t>
        </is>
      </c>
      <c r="J595" t="inlineStr">
        <is>
          <t>0</t>
        </is>
      </c>
      <c r="L595" t="inlineStr">
        <is>
          <t>Stuttgart : J.B. Metzler, c1996-</t>
        </is>
      </c>
      <c r="M595" t="inlineStr">
        <is>
          <t>1996</t>
        </is>
      </c>
      <c r="O595" t="inlineStr">
        <is>
          <t>ger</t>
        </is>
      </c>
      <c r="P595" t="inlineStr">
        <is>
          <t xml:space="preserve">gw </t>
        </is>
      </c>
      <c r="R595" t="inlineStr">
        <is>
          <t xml:space="preserve">DE </t>
        </is>
      </c>
      <c r="S595" t="n">
        <v>1</v>
      </c>
      <c r="T595" t="n">
        <v>23</v>
      </c>
      <c r="U595" t="inlineStr">
        <is>
          <t>2007-09-20</t>
        </is>
      </c>
      <c r="V595" t="inlineStr">
        <is>
          <t>2007-09-21</t>
        </is>
      </c>
      <c r="W595" t="inlineStr">
        <is>
          <t>1998-03-02</t>
        </is>
      </c>
      <c r="X595" t="inlineStr">
        <is>
          <t>2004-03-01</t>
        </is>
      </c>
      <c r="Y595" t="n">
        <v>245</v>
      </c>
      <c r="Z595" t="n">
        <v>172</v>
      </c>
      <c r="AA595" t="n">
        <v>172</v>
      </c>
      <c r="AB595" t="n">
        <v>2</v>
      </c>
      <c r="AC595" t="n">
        <v>2</v>
      </c>
      <c r="AD595" t="n">
        <v>10</v>
      </c>
      <c r="AE595" t="n">
        <v>10</v>
      </c>
      <c r="AF595" t="n">
        <v>1</v>
      </c>
      <c r="AG595" t="n">
        <v>1</v>
      </c>
      <c r="AH595" t="n">
        <v>3</v>
      </c>
      <c r="AI595" t="n">
        <v>3</v>
      </c>
      <c r="AJ595" t="n">
        <v>9</v>
      </c>
      <c r="AK595" t="n">
        <v>9</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HYPERLINK("https://creighton-primo.hosted.exlibrisgroup.com/primo-explore/search?tab=default_tab&amp;search_scope=EVERYTHING&amp;vid=01CRU&amp;lang=en_US&amp;offset=0&amp;query=any,contains,991002799779702656","Catalog Record")</f>
        <v/>
      </c>
      <c r="AT595">
        <f>HYPERLINK("http://www.worldcat.org/oclc/51059755","WorldCat Record")</f>
        <v/>
      </c>
      <c r="AU595" t="inlineStr">
        <is>
          <t>3856148930:ger</t>
        </is>
      </c>
      <c r="AV595" t="inlineStr">
        <is>
          <t>51059755</t>
        </is>
      </c>
      <c r="AW595" t="inlineStr">
        <is>
          <t>991002799779702656</t>
        </is>
      </c>
      <c r="AX595" t="inlineStr">
        <is>
          <t>991002799779702656</t>
        </is>
      </c>
      <c r="AY595" t="inlineStr">
        <is>
          <t>2259650870002656</t>
        </is>
      </c>
      <c r="AZ595" t="inlineStr">
        <is>
          <t>BOOK</t>
        </is>
      </c>
      <c r="BB595" t="inlineStr">
        <is>
          <t>9783476014702</t>
        </is>
      </c>
      <c r="BC595" t="inlineStr">
        <is>
          <t>32285003356051</t>
        </is>
      </c>
      <c r="BD595" t="inlineStr">
        <is>
          <t>893597891</t>
        </is>
      </c>
    </row>
    <row r="596">
      <c r="A596" t="inlineStr">
        <is>
          <t>No</t>
        </is>
      </c>
      <c r="B596" t="inlineStr">
        <is>
          <t>DE5 .N48 1996, v...</t>
        </is>
      </c>
      <c r="C596" t="inlineStr">
        <is>
          <t>0                      DE 0005000N  48          1996                                        v...</t>
        </is>
      </c>
      <c r="D596" t="inlineStr">
        <is>
          <t>Der neue Pauly : Enzyklopädie der Antike / herausgegeben von Hubert Cancik und Helmuth Schneider.</t>
        </is>
      </c>
      <c r="E596" t="inlineStr">
        <is>
          <t>V. 6</t>
        </is>
      </c>
      <c r="F596" t="inlineStr">
        <is>
          <t>Yes</t>
        </is>
      </c>
      <c r="G596" t="inlineStr">
        <is>
          <t>1</t>
        </is>
      </c>
      <c r="H596" t="inlineStr">
        <is>
          <t>No</t>
        </is>
      </c>
      <c r="I596" t="inlineStr">
        <is>
          <t>No</t>
        </is>
      </c>
      <c r="J596" t="inlineStr">
        <is>
          <t>0</t>
        </is>
      </c>
      <c r="L596" t="inlineStr">
        <is>
          <t>Stuttgart : J.B. Metzler, c1996-</t>
        </is>
      </c>
      <c r="M596" t="inlineStr">
        <is>
          <t>1996</t>
        </is>
      </c>
      <c r="O596" t="inlineStr">
        <is>
          <t>ger</t>
        </is>
      </c>
      <c r="P596" t="inlineStr">
        <is>
          <t xml:space="preserve">gw </t>
        </is>
      </c>
      <c r="R596" t="inlineStr">
        <is>
          <t xml:space="preserve">DE </t>
        </is>
      </c>
      <c r="S596" t="n">
        <v>3</v>
      </c>
      <c r="T596" t="n">
        <v>23</v>
      </c>
      <c r="U596" t="inlineStr">
        <is>
          <t>2004-04-29</t>
        </is>
      </c>
      <c r="V596" t="inlineStr">
        <is>
          <t>2007-09-21</t>
        </is>
      </c>
      <c r="W596" t="inlineStr">
        <is>
          <t>2000-04-25</t>
        </is>
      </c>
      <c r="X596" t="inlineStr">
        <is>
          <t>2004-03-01</t>
        </is>
      </c>
      <c r="Y596" t="n">
        <v>245</v>
      </c>
      <c r="Z596" t="n">
        <v>172</v>
      </c>
      <c r="AA596" t="n">
        <v>172</v>
      </c>
      <c r="AB596" t="n">
        <v>2</v>
      </c>
      <c r="AC596" t="n">
        <v>2</v>
      </c>
      <c r="AD596" t="n">
        <v>10</v>
      </c>
      <c r="AE596" t="n">
        <v>10</v>
      </c>
      <c r="AF596" t="n">
        <v>1</v>
      </c>
      <c r="AG596" t="n">
        <v>1</v>
      </c>
      <c r="AH596" t="n">
        <v>3</v>
      </c>
      <c r="AI596" t="n">
        <v>3</v>
      </c>
      <c r="AJ596" t="n">
        <v>9</v>
      </c>
      <c r="AK596" t="n">
        <v>9</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HYPERLINK("https://creighton-primo.hosted.exlibrisgroup.com/primo-explore/search?tab=default_tab&amp;search_scope=EVERYTHING&amp;vid=01CRU&amp;lang=en_US&amp;offset=0&amp;query=any,contains,991002799779702656","Catalog Record")</f>
        <v/>
      </c>
      <c r="AT596">
        <f>HYPERLINK("http://www.worldcat.org/oclc/51059755","WorldCat Record")</f>
        <v/>
      </c>
      <c r="AU596" t="inlineStr">
        <is>
          <t>3856148930:ger</t>
        </is>
      </c>
      <c r="AV596" t="inlineStr">
        <is>
          <t>51059755</t>
        </is>
      </c>
      <c r="AW596" t="inlineStr">
        <is>
          <t>991002799779702656</t>
        </is>
      </c>
      <c r="AX596" t="inlineStr">
        <is>
          <t>991002799779702656</t>
        </is>
      </c>
      <c r="AY596" t="inlineStr">
        <is>
          <t>2259650870002656</t>
        </is>
      </c>
      <c r="AZ596" t="inlineStr">
        <is>
          <t>BOOK</t>
        </is>
      </c>
      <c r="BB596" t="inlineStr">
        <is>
          <t>9783476014702</t>
        </is>
      </c>
      <c r="BC596" t="inlineStr">
        <is>
          <t>32285003684221</t>
        </is>
      </c>
      <c r="BD596" t="inlineStr">
        <is>
          <t>893616594</t>
        </is>
      </c>
    </row>
    <row r="597">
      <c r="A597" t="inlineStr">
        <is>
          <t>No</t>
        </is>
      </c>
      <c r="B597" t="inlineStr">
        <is>
          <t>DE5 .N48 1996, v...</t>
        </is>
      </c>
      <c r="C597" t="inlineStr">
        <is>
          <t>0                      DE 0005000N  48          1996                                        v...</t>
        </is>
      </c>
      <c r="D597" t="inlineStr">
        <is>
          <t>Der neue Pauly : Enzyklopädie der Antike / herausgegeben von Hubert Cancik und Helmuth Schneider.</t>
        </is>
      </c>
      <c r="E597" t="inlineStr">
        <is>
          <t>V. 1</t>
        </is>
      </c>
      <c r="F597" t="inlineStr">
        <is>
          <t>Yes</t>
        </is>
      </c>
      <c r="G597" t="inlineStr">
        <is>
          <t>1</t>
        </is>
      </c>
      <c r="H597" t="inlineStr">
        <is>
          <t>No</t>
        </is>
      </c>
      <c r="I597" t="inlineStr">
        <is>
          <t>No</t>
        </is>
      </c>
      <c r="J597" t="inlineStr">
        <is>
          <t>0</t>
        </is>
      </c>
      <c r="L597" t="inlineStr">
        <is>
          <t>Stuttgart : J.B. Metzler, c1996-</t>
        </is>
      </c>
      <c r="M597" t="inlineStr">
        <is>
          <t>1996</t>
        </is>
      </c>
      <c r="O597" t="inlineStr">
        <is>
          <t>ger</t>
        </is>
      </c>
      <c r="P597" t="inlineStr">
        <is>
          <t xml:space="preserve">gw </t>
        </is>
      </c>
      <c r="R597" t="inlineStr">
        <is>
          <t xml:space="preserve">DE </t>
        </is>
      </c>
      <c r="S597" t="n">
        <v>1</v>
      </c>
      <c r="T597" t="n">
        <v>23</v>
      </c>
      <c r="U597" t="inlineStr">
        <is>
          <t>2007-09-21</t>
        </is>
      </c>
      <c r="V597" t="inlineStr">
        <is>
          <t>2007-09-21</t>
        </is>
      </c>
      <c r="W597" t="inlineStr">
        <is>
          <t>1998-03-02</t>
        </is>
      </c>
      <c r="X597" t="inlineStr">
        <is>
          <t>2004-03-01</t>
        </is>
      </c>
      <c r="Y597" t="n">
        <v>245</v>
      </c>
      <c r="Z597" t="n">
        <v>172</v>
      </c>
      <c r="AA597" t="n">
        <v>172</v>
      </c>
      <c r="AB597" t="n">
        <v>2</v>
      </c>
      <c r="AC597" t="n">
        <v>2</v>
      </c>
      <c r="AD597" t="n">
        <v>10</v>
      </c>
      <c r="AE597" t="n">
        <v>10</v>
      </c>
      <c r="AF597" t="n">
        <v>1</v>
      </c>
      <c r="AG597" t="n">
        <v>1</v>
      </c>
      <c r="AH597" t="n">
        <v>3</v>
      </c>
      <c r="AI597" t="n">
        <v>3</v>
      </c>
      <c r="AJ597" t="n">
        <v>9</v>
      </c>
      <c r="AK597" t="n">
        <v>9</v>
      </c>
      <c r="AL597" t="n">
        <v>1</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HYPERLINK("https://creighton-primo.hosted.exlibrisgroup.com/primo-explore/search?tab=default_tab&amp;search_scope=EVERYTHING&amp;vid=01CRU&amp;lang=en_US&amp;offset=0&amp;query=any,contains,991002799779702656","Catalog Record")</f>
        <v/>
      </c>
      <c r="AT597">
        <f>HYPERLINK("http://www.worldcat.org/oclc/51059755","WorldCat Record")</f>
        <v/>
      </c>
      <c r="AU597" t="inlineStr">
        <is>
          <t>3856148930:ger</t>
        </is>
      </c>
      <c r="AV597" t="inlineStr">
        <is>
          <t>51059755</t>
        </is>
      </c>
      <c r="AW597" t="inlineStr">
        <is>
          <t>991002799779702656</t>
        </is>
      </c>
      <c r="AX597" t="inlineStr">
        <is>
          <t>991002799779702656</t>
        </is>
      </c>
      <c r="AY597" t="inlineStr">
        <is>
          <t>2259650870002656</t>
        </is>
      </c>
      <c r="AZ597" t="inlineStr">
        <is>
          <t>BOOK</t>
        </is>
      </c>
      <c r="BB597" t="inlineStr">
        <is>
          <t>9783476014702</t>
        </is>
      </c>
      <c r="BC597" t="inlineStr">
        <is>
          <t>32285003356044</t>
        </is>
      </c>
      <c r="BD597" t="inlineStr">
        <is>
          <t>893591801</t>
        </is>
      </c>
    </row>
    <row r="598">
      <c r="A598" t="inlineStr">
        <is>
          <t>No</t>
        </is>
      </c>
      <c r="B598" t="inlineStr">
        <is>
          <t>DE5 .N48 1996, v...</t>
        </is>
      </c>
      <c r="C598" t="inlineStr">
        <is>
          <t>0                      DE 0005000N  48          1996                                        v...</t>
        </is>
      </c>
      <c r="D598" t="inlineStr">
        <is>
          <t>Der neue Pauly : Enzyklopädie der Antike / herausgegeben von Hubert Cancik und Helmuth Schneider.</t>
        </is>
      </c>
      <c r="E598" t="inlineStr">
        <is>
          <t>V. 15 PT. 2</t>
        </is>
      </c>
      <c r="F598" t="inlineStr">
        <is>
          <t>Yes</t>
        </is>
      </c>
      <c r="G598" t="inlineStr">
        <is>
          <t>1</t>
        </is>
      </c>
      <c r="H598" t="inlineStr">
        <is>
          <t>No</t>
        </is>
      </c>
      <c r="I598" t="inlineStr">
        <is>
          <t>No</t>
        </is>
      </c>
      <c r="J598" t="inlineStr">
        <is>
          <t>0</t>
        </is>
      </c>
      <c r="L598" t="inlineStr">
        <is>
          <t>Stuttgart : J.B. Metzler, c1996-</t>
        </is>
      </c>
      <c r="M598" t="inlineStr">
        <is>
          <t>1996</t>
        </is>
      </c>
      <c r="O598" t="inlineStr">
        <is>
          <t>ger</t>
        </is>
      </c>
      <c r="P598" t="inlineStr">
        <is>
          <t xml:space="preserve">gw </t>
        </is>
      </c>
      <c r="R598" t="inlineStr">
        <is>
          <t xml:space="preserve">DE </t>
        </is>
      </c>
      <c r="S598" t="n">
        <v>1</v>
      </c>
      <c r="T598" t="n">
        <v>23</v>
      </c>
      <c r="U598" t="inlineStr">
        <is>
          <t>2002-12-03</t>
        </is>
      </c>
      <c r="V598" t="inlineStr">
        <is>
          <t>2007-09-21</t>
        </is>
      </c>
      <c r="W598" t="inlineStr">
        <is>
          <t>2002-12-03</t>
        </is>
      </c>
      <c r="X598" t="inlineStr">
        <is>
          <t>2004-03-01</t>
        </is>
      </c>
      <c r="Y598" t="n">
        <v>245</v>
      </c>
      <c r="Z598" t="n">
        <v>172</v>
      </c>
      <c r="AA598" t="n">
        <v>172</v>
      </c>
      <c r="AB598" t="n">
        <v>2</v>
      </c>
      <c r="AC598" t="n">
        <v>2</v>
      </c>
      <c r="AD598" t="n">
        <v>10</v>
      </c>
      <c r="AE598" t="n">
        <v>10</v>
      </c>
      <c r="AF598" t="n">
        <v>1</v>
      </c>
      <c r="AG598" t="n">
        <v>1</v>
      </c>
      <c r="AH598" t="n">
        <v>3</v>
      </c>
      <c r="AI598" t="n">
        <v>3</v>
      </c>
      <c r="AJ598" t="n">
        <v>9</v>
      </c>
      <c r="AK598" t="n">
        <v>9</v>
      </c>
      <c r="AL598" t="n">
        <v>1</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HYPERLINK("https://creighton-primo.hosted.exlibrisgroup.com/primo-explore/search?tab=default_tab&amp;search_scope=EVERYTHING&amp;vid=01CRU&amp;lang=en_US&amp;offset=0&amp;query=any,contains,991002799779702656","Catalog Record")</f>
        <v/>
      </c>
      <c r="AT598">
        <f>HYPERLINK("http://www.worldcat.org/oclc/51059755","WorldCat Record")</f>
        <v/>
      </c>
      <c r="AU598" t="inlineStr">
        <is>
          <t>3856148930:ger</t>
        </is>
      </c>
      <c r="AV598" t="inlineStr">
        <is>
          <t>51059755</t>
        </is>
      </c>
      <c r="AW598" t="inlineStr">
        <is>
          <t>991002799779702656</t>
        </is>
      </c>
      <c r="AX598" t="inlineStr">
        <is>
          <t>991002799779702656</t>
        </is>
      </c>
      <c r="AY598" t="inlineStr">
        <is>
          <t>2259650870002656</t>
        </is>
      </c>
      <c r="AZ598" t="inlineStr">
        <is>
          <t>BOOK</t>
        </is>
      </c>
      <c r="BB598" t="inlineStr">
        <is>
          <t>9783476014702</t>
        </is>
      </c>
      <c r="BC598" t="inlineStr">
        <is>
          <t>32285004672076</t>
        </is>
      </c>
      <c r="BD598" t="inlineStr">
        <is>
          <t>893597892</t>
        </is>
      </c>
    </row>
    <row r="599">
      <c r="A599" t="inlineStr">
        <is>
          <t>No</t>
        </is>
      </c>
      <c r="B599" t="inlineStr">
        <is>
          <t>DE5 .N48 1996, v...</t>
        </is>
      </c>
      <c r="C599" t="inlineStr">
        <is>
          <t>0                      DE 0005000N  48          1996                                        v...</t>
        </is>
      </c>
      <c r="D599" t="inlineStr">
        <is>
          <t>Der neue Pauly : Enzyklopädie der Antike / herausgegeben von Hubert Cancik und Helmuth Schneider.</t>
        </is>
      </c>
      <c r="E599" t="inlineStr">
        <is>
          <t>V. 12 PT. 1</t>
        </is>
      </c>
      <c r="F599" t="inlineStr">
        <is>
          <t>Yes</t>
        </is>
      </c>
      <c r="G599" t="inlineStr">
        <is>
          <t>1</t>
        </is>
      </c>
      <c r="H599" t="inlineStr">
        <is>
          <t>No</t>
        </is>
      </c>
      <c r="I599" t="inlineStr">
        <is>
          <t>No</t>
        </is>
      </c>
      <c r="J599" t="inlineStr">
        <is>
          <t>0</t>
        </is>
      </c>
      <c r="L599" t="inlineStr">
        <is>
          <t>Stuttgart : J.B. Metzler, c1996-</t>
        </is>
      </c>
      <c r="M599" t="inlineStr">
        <is>
          <t>1996</t>
        </is>
      </c>
      <c r="O599" t="inlineStr">
        <is>
          <t>ger</t>
        </is>
      </c>
      <c r="P599" t="inlineStr">
        <is>
          <t xml:space="preserve">gw </t>
        </is>
      </c>
      <c r="R599" t="inlineStr">
        <is>
          <t xml:space="preserve">DE </t>
        </is>
      </c>
      <c r="S599" t="n">
        <v>1</v>
      </c>
      <c r="T599" t="n">
        <v>23</v>
      </c>
      <c r="U599" t="inlineStr">
        <is>
          <t>2002-09-24</t>
        </is>
      </c>
      <c r="V599" t="inlineStr">
        <is>
          <t>2007-09-21</t>
        </is>
      </c>
      <c r="W599" t="inlineStr">
        <is>
          <t>2002-09-23</t>
        </is>
      </c>
      <c r="X599" t="inlineStr">
        <is>
          <t>2004-03-01</t>
        </is>
      </c>
      <c r="Y599" t="n">
        <v>245</v>
      </c>
      <c r="Z599" t="n">
        <v>172</v>
      </c>
      <c r="AA599" t="n">
        <v>172</v>
      </c>
      <c r="AB599" t="n">
        <v>2</v>
      </c>
      <c r="AC599" t="n">
        <v>2</v>
      </c>
      <c r="AD599" t="n">
        <v>10</v>
      </c>
      <c r="AE599" t="n">
        <v>10</v>
      </c>
      <c r="AF599" t="n">
        <v>1</v>
      </c>
      <c r="AG599" t="n">
        <v>1</v>
      </c>
      <c r="AH599" t="n">
        <v>3</v>
      </c>
      <c r="AI599" t="n">
        <v>3</v>
      </c>
      <c r="AJ599" t="n">
        <v>9</v>
      </c>
      <c r="AK599" t="n">
        <v>9</v>
      </c>
      <c r="AL599" t="n">
        <v>1</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HYPERLINK("https://creighton-primo.hosted.exlibrisgroup.com/primo-explore/search?tab=default_tab&amp;search_scope=EVERYTHING&amp;vid=01CRU&amp;lang=en_US&amp;offset=0&amp;query=any,contains,991002799779702656","Catalog Record")</f>
        <v/>
      </c>
      <c r="AT599">
        <f>HYPERLINK("http://www.worldcat.org/oclc/51059755","WorldCat Record")</f>
        <v/>
      </c>
      <c r="AU599" t="inlineStr">
        <is>
          <t>3856148930:ger</t>
        </is>
      </c>
      <c r="AV599" t="inlineStr">
        <is>
          <t>51059755</t>
        </is>
      </c>
      <c r="AW599" t="inlineStr">
        <is>
          <t>991002799779702656</t>
        </is>
      </c>
      <c r="AX599" t="inlineStr">
        <is>
          <t>991002799779702656</t>
        </is>
      </c>
      <c r="AY599" t="inlineStr">
        <is>
          <t>2259650870002656</t>
        </is>
      </c>
      <c r="AZ599" t="inlineStr">
        <is>
          <t>BOOK</t>
        </is>
      </c>
      <c r="BB599" t="inlineStr">
        <is>
          <t>9783476014702</t>
        </is>
      </c>
      <c r="BC599" t="inlineStr">
        <is>
          <t>32285004670260</t>
        </is>
      </c>
      <c r="BD599" t="inlineStr">
        <is>
          <t>893616598</t>
        </is>
      </c>
    </row>
    <row r="600">
      <c r="A600" t="inlineStr">
        <is>
          <t>No</t>
        </is>
      </c>
      <c r="B600" t="inlineStr">
        <is>
          <t>DE5 .N48 1996, v...</t>
        </is>
      </c>
      <c r="C600" t="inlineStr">
        <is>
          <t>0                      DE 0005000N  48          1996                                        v...</t>
        </is>
      </c>
      <c r="D600" t="inlineStr">
        <is>
          <t>Der neue Pauly : Enzyklopädie der Antike / herausgegeben von Hubert Cancik und Helmuth Schneider.</t>
        </is>
      </c>
      <c r="E600" t="inlineStr">
        <is>
          <t>V. 9</t>
        </is>
      </c>
      <c r="F600" t="inlineStr">
        <is>
          <t>Yes</t>
        </is>
      </c>
      <c r="G600" t="inlineStr">
        <is>
          <t>1</t>
        </is>
      </c>
      <c r="H600" t="inlineStr">
        <is>
          <t>No</t>
        </is>
      </c>
      <c r="I600" t="inlineStr">
        <is>
          <t>No</t>
        </is>
      </c>
      <c r="J600" t="inlineStr">
        <is>
          <t>0</t>
        </is>
      </c>
      <c r="L600" t="inlineStr">
        <is>
          <t>Stuttgart : J.B. Metzler, c1996-</t>
        </is>
      </c>
      <c r="M600" t="inlineStr">
        <is>
          <t>1996</t>
        </is>
      </c>
      <c r="O600" t="inlineStr">
        <is>
          <t>ger</t>
        </is>
      </c>
      <c r="P600" t="inlineStr">
        <is>
          <t xml:space="preserve">gw </t>
        </is>
      </c>
      <c r="R600" t="inlineStr">
        <is>
          <t xml:space="preserve">DE </t>
        </is>
      </c>
      <c r="S600" t="n">
        <v>2</v>
      </c>
      <c r="T600" t="n">
        <v>23</v>
      </c>
      <c r="U600" t="inlineStr">
        <is>
          <t>2001-05-16</t>
        </is>
      </c>
      <c r="V600" t="inlineStr">
        <is>
          <t>2007-09-21</t>
        </is>
      </c>
      <c r="W600" t="inlineStr">
        <is>
          <t>2001-04-25</t>
        </is>
      </c>
      <c r="X600" t="inlineStr">
        <is>
          <t>2004-03-01</t>
        </is>
      </c>
      <c r="Y600" t="n">
        <v>245</v>
      </c>
      <c r="Z600" t="n">
        <v>172</v>
      </c>
      <c r="AA600" t="n">
        <v>172</v>
      </c>
      <c r="AB600" t="n">
        <v>2</v>
      </c>
      <c r="AC600" t="n">
        <v>2</v>
      </c>
      <c r="AD600" t="n">
        <v>10</v>
      </c>
      <c r="AE600" t="n">
        <v>10</v>
      </c>
      <c r="AF600" t="n">
        <v>1</v>
      </c>
      <c r="AG600" t="n">
        <v>1</v>
      </c>
      <c r="AH600" t="n">
        <v>3</v>
      </c>
      <c r="AI600" t="n">
        <v>3</v>
      </c>
      <c r="AJ600" t="n">
        <v>9</v>
      </c>
      <c r="AK600" t="n">
        <v>9</v>
      </c>
      <c r="AL600" t="n">
        <v>1</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HYPERLINK("https://creighton-primo.hosted.exlibrisgroup.com/primo-explore/search?tab=default_tab&amp;search_scope=EVERYTHING&amp;vid=01CRU&amp;lang=en_US&amp;offset=0&amp;query=any,contains,991002799779702656","Catalog Record")</f>
        <v/>
      </c>
      <c r="AT600">
        <f>HYPERLINK("http://www.worldcat.org/oclc/51059755","WorldCat Record")</f>
        <v/>
      </c>
      <c r="AU600" t="inlineStr">
        <is>
          <t>3856148930:ger</t>
        </is>
      </c>
      <c r="AV600" t="inlineStr">
        <is>
          <t>51059755</t>
        </is>
      </c>
      <c r="AW600" t="inlineStr">
        <is>
          <t>991002799779702656</t>
        </is>
      </c>
      <c r="AX600" t="inlineStr">
        <is>
          <t>991002799779702656</t>
        </is>
      </c>
      <c r="AY600" t="inlineStr">
        <is>
          <t>2259650870002656</t>
        </is>
      </c>
      <c r="AZ600" t="inlineStr">
        <is>
          <t>BOOK</t>
        </is>
      </c>
      <c r="BB600" t="inlineStr">
        <is>
          <t>9783476014702</t>
        </is>
      </c>
      <c r="BC600" t="inlineStr">
        <is>
          <t>32285004288030</t>
        </is>
      </c>
      <c r="BD600" t="inlineStr">
        <is>
          <t>893610310</t>
        </is>
      </c>
    </row>
    <row r="601">
      <c r="A601" t="inlineStr">
        <is>
          <t>No</t>
        </is>
      </c>
      <c r="B601" t="inlineStr">
        <is>
          <t>DE5 .N48 1996, v...</t>
        </is>
      </c>
      <c r="C601" t="inlineStr">
        <is>
          <t>0                      DE 0005000N  48          1996                                        v...</t>
        </is>
      </c>
      <c r="D601" t="inlineStr">
        <is>
          <t>Der neue Pauly : Enzyklopädie der Antike / herausgegeben von Hubert Cancik und Helmuth Schneider.</t>
        </is>
      </c>
      <c r="E601" t="inlineStr">
        <is>
          <t>V. 12 PT. 2</t>
        </is>
      </c>
      <c r="F601" t="inlineStr">
        <is>
          <t>Yes</t>
        </is>
      </c>
      <c r="G601" t="inlineStr">
        <is>
          <t>1</t>
        </is>
      </c>
      <c r="H601" t="inlineStr">
        <is>
          <t>No</t>
        </is>
      </c>
      <c r="I601" t="inlineStr">
        <is>
          <t>No</t>
        </is>
      </c>
      <c r="J601" t="inlineStr">
        <is>
          <t>0</t>
        </is>
      </c>
      <c r="L601" t="inlineStr">
        <is>
          <t>Stuttgart : J.B. Metzler, c1996-</t>
        </is>
      </c>
      <c r="M601" t="inlineStr">
        <is>
          <t>1996</t>
        </is>
      </c>
      <c r="O601" t="inlineStr">
        <is>
          <t>ger</t>
        </is>
      </c>
      <c r="P601" t="inlineStr">
        <is>
          <t xml:space="preserve">gw </t>
        </is>
      </c>
      <c r="R601" t="inlineStr">
        <is>
          <t xml:space="preserve">DE </t>
        </is>
      </c>
      <c r="S601" t="n">
        <v>1</v>
      </c>
      <c r="T601" t="n">
        <v>23</v>
      </c>
      <c r="U601" t="inlineStr">
        <is>
          <t>2003-04-08</t>
        </is>
      </c>
      <c r="V601" t="inlineStr">
        <is>
          <t>2007-09-21</t>
        </is>
      </c>
      <c r="W601" t="inlineStr">
        <is>
          <t>2003-04-08</t>
        </is>
      </c>
      <c r="X601" t="inlineStr">
        <is>
          <t>2004-03-01</t>
        </is>
      </c>
      <c r="Y601" t="n">
        <v>245</v>
      </c>
      <c r="Z601" t="n">
        <v>172</v>
      </c>
      <c r="AA601" t="n">
        <v>172</v>
      </c>
      <c r="AB601" t="n">
        <v>2</v>
      </c>
      <c r="AC601" t="n">
        <v>2</v>
      </c>
      <c r="AD601" t="n">
        <v>10</v>
      </c>
      <c r="AE601" t="n">
        <v>10</v>
      </c>
      <c r="AF601" t="n">
        <v>1</v>
      </c>
      <c r="AG601" t="n">
        <v>1</v>
      </c>
      <c r="AH601" t="n">
        <v>3</v>
      </c>
      <c r="AI601" t="n">
        <v>3</v>
      </c>
      <c r="AJ601" t="n">
        <v>9</v>
      </c>
      <c r="AK601" t="n">
        <v>9</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HYPERLINK("https://creighton-primo.hosted.exlibrisgroup.com/primo-explore/search?tab=default_tab&amp;search_scope=EVERYTHING&amp;vid=01CRU&amp;lang=en_US&amp;offset=0&amp;query=any,contains,991002799779702656","Catalog Record")</f>
        <v/>
      </c>
      <c r="AT601">
        <f>HYPERLINK("http://www.worldcat.org/oclc/51059755","WorldCat Record")</f>
        <v/>
      </c>
      <c r="AU601" t="inlineStr">
        <is>
          <t>3856148930:ger</t>
        </is>
      </c>
      <c r="AV601" t="inlineStr">
        <is>
          <t>51059755</t>
        </is>
      </c>
      <c r="AW601" t="inlineStr">
        <is>
          <t>991002799779702656</t>
        </is>
      </c>
      <c r="AX601" t="inlineStr">
        <is>
          <t>991002799779702656</t>
        </is>
      </c>
      <c r="AY601" t="inlineStr">
        <is>
          <t>2259650870002656</t>
        </is>
      </c>
      <c r="AZ601" t="inlineStr">
        <is>
          <t>BOOK</t>
        </is>
      </c>
      <c r="BB601" t="inlineStr">
        <is>
          <t>9783476014702</t>
        </is>
      </c>
      <c r="BC601" t="inlineStr">
        <is>
          <t>32285004674452</t>
        </is>
      </c>
      <c r="BD601" t="inlineStr">
        <is>
          <t>893591799</t>
        </is>
      </c>
    </row>
    <row r="602">
      <c r="A602" t="inlineStr">
        <is>
          <t>No</t>
        </is>
      </c>
      <c r="B602" t="inlineStr">
        <is>
          <t>DE5 .N48 1996, v...</t>
        </is>
      </c>
      <c r="C602" t="inlineStr">
        <is>
          <t>0                      DE 0005000N  48          1996                                        v...</t>
        </is>
      </c>
      <c r="D602" t="inlineStr">
        <is>
          <t>Der neue Pauly : Enzyklopädie der Antike / herausgegeben von Hubert Cancik und Helmuth Schneider.</t>
        </is>
      </c>
      <c r="E602" t="inlineStr">
        <is>
          <t>V. 13</t>
        </is>
      </c>
      <c r="F602" t="inlineStr">
        <is>
          <t>Yes</t>
        </is>
      </c>
      <c r="G602" t="inlineStr">
        <is>
          <t>1</t>
        </is>
      </c>
      <c r="H602" t="inlineStr">
        <is>
          <t>No</t>
        </is>
      </c>
      <c r="I602" t="inlineStr">
        <is>
          <t>No</t>
        </is>
      </c>
      <c r="J602" t="inlineStr">
        <is>
          <t>0</t>
        </is>
      </c>
      <c r="L602" t="inlineStr">
        <is>
          <t>Stuttgart : J.B. Metzler, c1996-</t>
        </is>
      </c>
      <c r="M602" t="inlineStr">
        <is>
          <t>1996</t>
        </is>
      </c>
      <c r="O602" t="inlineStr">
        <is>
          <t>ger</t>
        </is>
      </c>
      <c r="P602" t="inlineStr">
        <is>
          <t xml:space="preserve">gw </t>
        </is>
      </c>
      <c r="R602" t="inlineStr">
        <is>
          <t xml:space="preserve">DE </t>
        </is>
      </c>
      <c r="S602" t="n">
        <v>1</v>
      </c>
      <c r="T602" t="n">
        <v>23</v>
      </c>
      <c r="V602" t="inlineStr">
        <is>
          <t>2007-09-21</t>
        </is>
      </c>
      <c r="W602" t="inlineStr">
        <is>
          <t>2000-04-25</t>
        </is>
      </c>
      <c r="X602" t="inlineStr">
        <is>
          <t>2004-03-01</t>
        </is>
      </c>
      <c r="Y602" t="n">
        <v>245</v>
      </c>
      <c r="Z602" t="n">
        <v>172</v>
      </c>
      <c r="AA602" t="n">
        <v>172</v>
      </c>
      <c r="AB602" t="n">
        <v>2</v>
      </c>
      <c r="AC602" t="n">
        <v>2</v>
      </c>
      <c r="AD602" t="n">
        <v>10</v>
      </c>
      <c r="AE602" t="n">
        <v>10</v>
      </c>
      <c r="AF602" t="n">
        <v>1</v>
      </c>
      <c r="AG602" t="n">
        <v>1</v>
      </c>
      <c r="AH602" t="n">
        <v>3</v>
      </c>
      <c r="AI602" t="n">
        <v>3</v>
      </c>
      <c r="AJ602" t="n">
        <v>9</v>
      </c>
      <c r="AK602" t="n">
        <v>9</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HYPERLINK("https://creighton-primo.hosted.exlibrisgroup.com/primo-explore/search?tab=default_tab&amp;search_scope=EVERYTHING&amp;vid=01CRU&amp;lang=en_US&amp;offset=0&amp;query=any,contains,991002799779702656","Catalog Record")</f>
        <v/>
      </c>
      <c r="AT602">
        <f>HYPERLINK("http://www.worldcat.org/oclc/51059755","WorldCat Record")</f>
        <v/>
      </c>
      <c r="AU602" t="inlineStr">
        <is>
          <t>3856148930:ger</t>
        </is>
      </c>
      <c r="AV602" t="inlineStr">
        <is>
          <t>51059755</t>
        </is>
      </c>
      <c r="AW602" t="inlineStr">
        <is>
          <t>991002799779702656</t>
        </is>
      </c>
      <c r="AX602" t="inlineStr">
        <is>
          <t>991002799779702656</t>
        </is>
      </c>
      <c r="AY602" t="inlineStr">
        <is>
          <t>2259650870002656</t>
        </is>
      </c>
      <c r="AZ602" t="inlineStr">
        <is>
          <t>BOOK</t>
        </is>
      </c>
      <c r="BB602" t="inlineStr">
        <is>
          <t>9783476014702</t>
        </is>
      </c>
      <c r="BC602" t="inlineStr">
        <is>
          <t>32285003684239</t>
        </is>
      </c>
      <c r="BD602" t="inlineStr">
        <is>
          <t>893604053</t>
        </is>
      </c>
    </row>
    <row r="603">
      <c r="A603" t="inlineStr">
        <is>
          <t>No</t>
        </is>
      </c>
      <c r="B603" t="inlineStr">
        <is>
          <t>DE5 .N48 1996, v...</t>
        </is>
      </c>
      <c r="C603" t="inlineStr">
        <is>
          <t>0                      DE 0005000N  48          1996                                        v...</t>
        </is>
      </c>
      <c r="D603" t="inlineStr">
        <is>
          <t>Der neue Pauly : Enzyklopädie der Antike / herausgegeben von Hubert Cancik und Helmuth Schneider.</t>
        </is>
      </c>
      <c r="E603" t="inlineStr">
        <is>
          <t>V. 7</t>
        </is>
      </c>
      <c r="F603" t="inlineStr">
        <is>
          <t>Yes</t>
        </is>
      </c>
      <c r="G603" t="inlineStr">
        <is>
          <t>1</t>
        </is>
      </c>
      <c r="H603" t="inlineStr">
        <is>
          <t>No</t>
        </is>
      </c>
      <c r="I603" t="inlineStr">
        <is>
          <t>No</t>
        </is>
      </c>
      <c r="J603" t="inlineStr">
        <is>
          <t>0</t>
        </is>
      </c>
      <c r="L603" t="inlineStr">
        <is>
          <t>Stuttgart : J.B. Metzler, c1996-</t>
        </is>
      </c>
      <c r="M603" t="inlineStr">
        <is>
          <t>1996</t>
        </is>
      </c>
      <c r="O603" t="inlineStr">
        <is>
          <t>ger</t>
        </is>
      </c>
      <c r="P603" t="inlineStr">
        <is>
          <t xml:space="preserve">gw </t>
        </is>
      </c>
      <c r="R603" t="inlineStr">
        <is>
          <t xml:space="preserve">DE </t>
        </is>
      </c>
      <c r="S603" t="n">
        <v>2</v>
      </c>
      <c r="T603" t="n">
        <v>23</v>
      </c>
      <c r="U603" t="inlineStr">
        <is>
          <t>2005-03-11</t>
        </is>
      </c>
      <c r="V603" t="inlineStr">
        <is>
          <t>2007-09-21</t>
        </is>
      </c>
      <c r="W603" t="inlineStr">
        <is>
          <t>2000-10-26</t>
        </is>
      </c>
      <c r="X603" t="inlineStr">
        <is>
          <t>2004-03-01</t>
        </is>
      </c>
      <c r="Y603" t="n">
        <v>245</v>
      </c>
      <c r="Z603" t="n">
        <v>172</v>
      </c>
      <c r="AA603" t="n">
        <v>172</v>
      </c>
      <c r="AB603" t="n">
        <v>2</v>
      </c>
      <c r="AC603" t="n">
        <v>2</v>
      </c>
      <c r="AD603" t="n">
        <v>10</v>
      </c>
      <c r="AE603" t="n">
        <v>10</v>
      </c>
      <c r="AF603" t="n">
        <v>1</v>
      </c>
      <c r="AG603" t="n">
        <v>1</v>
      </c>
      <c r="AH603" t="n">
        <v>3</v>
      </c>
      <c r="AI603" t="n">
        <v>3</v>
      </c>
      <c r="AJ603" t="n">
        <v>9</v>
      </c>
      <c r="AK603" t="n">
        <v>9</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HYPERLINK("https://creighton-primo.hosted.exlibrisgroup.com/primo-explore/search?tab=default_tab&amp;search_scope=EVERYTHING&amp;vid=01CRU&amp;lang=en_US&amp;offset=0&amp;query=any,contains,991002799779702656","Catalog Record")</f>
        <v/>
      </c>
      <c r="AT603">
        <f>HYPERLINK("http://www.worldcat.org/oclc/51059755","WorldCat Record")</f>
        <v/>
      </c>
      <c r="AU603" t="inlineStr">
        <is>
          <t>3856148930:ger</t>
        </is>
      </c>
      <c r="AV603" t="inlineStr">
        <is>
          <t>51059755</t>
        </is>
      </c>
      <c r="AW603" t="inlineStr">
        <is>
          <t>991002799779702656</t>
        </is>
      </c>
      <c r="AX603" t="inlineStr">
        <is>
          <t>991002799779702656</t>
        </is>
      </c>
      <c r="AY603" t="inlineStr">
        <is>
          <t>2259650870002656</t>
        </is>
      </c>
      <c r="AZ603" t="inlineStr">
        <is>
          <t>BOOK</t>
        </is>
      </c>
      <c r="BB603" t="inlineStr">
        <is>
          <t>9783476014702</t>
        </is>
      </c>
      <c r="BC603" t="inlineStr">
        <is>
          <t>32285003608113</t>
        </is>
      </c>
      <c r="BD603" t="inlineStr">
        <is>
          <t>893616593</t>
        </is>
      </c>
    </row>
    <row r="604">
      <c r="A604" t="inlineStr">
        <is>
          <t>No</t>
        </is>
      </c>
      <c r="B604" t="inlineStr">
        <is>
          <t>DE5 .N48 1996, v...</t>
        </is>
      </c>
      <c r="C604" t="inlineStr">
        <is>
          <t>0                      DE 0005000N  48          1996                                        v...</t>
        </is>
      </c>
      <c r="D604" t="inlineStr">
        <is>
          <t>Der neue Pauly : Enzyklopädie der Antike / herausgegeben von Hubert Cancik und Helmuth Schneider.</t>
        </is>
      </c>
      <c r="E604" t="inlineStr">
        <is>
          <t>V. 8</t>
        </is>
      </c>
      <c r="F604" t="inlineStr">
        <is>
          <t>Yes</t>
        </is>
      </c>
      <c r="G604" t="inlineStr">
        <is>
          <t>1</t>
        </is>
      </c>
      <c r="H604" t="inlineStr">
        <is>
          <t>No</t>
        </is>
      </c>
      <c r="I604" t="inlineStr">
        <is>
          <t>No</t>
        </is>
      </c>
      <c r="J604" t="inlineStr">
        <is>
          <t>0</t>
        </is>
      </c>
      <c r="L604" t="inlineStr">
        <is>
          <t>Stuttgart : J.B. Metzler, c1996-</t>
        </is>
      </c>
      <c r="M604" t="inlineStr">
        <is>
          <t>1996</t>
        </is>
      </c>
      <c r="O604" t="inlineStr">
        <is>
          <t>ger</t>
        </is>
      </c>
      <c r="P604" t="inlineStr">
        <is>
          <t xml:space="preserve">gw </t>
        </is>
      </c>
      <c r="R604" t="inlineStr">
        <is>
          <t xml:space="preserve">DE </t>
        </is>
      </c>
      <c r="S604" t="n">
        <v>1</v>
      </c>
      <c r="T604" t="n">
        <v>23</v>
      </c>
      <c r="U604" t="inlineStr">
        <is>
          <t>2000-10-20</t>
        </is>
      </c>
      <c r="V604" t="inlineStr">
        <is>
          <t>2007-09-21</t>
        </is>
      </c>
      <c r="W604" t="inlineStr">
        <is>
          <t>2000-10-20</t>
        </is>
      </c>
      <c r="X604" t="inlineStr">
        <is>
          <t>2004-03-01</t>
        </is>
      </c>
      <c r="Y604" t="n">
        <v>245</v>
      </c>
      <c r="Z604" t="n">
        <v>172</v>
      </c>
      <c r="AA604" t="n">
        <v>172</v>
      </c>
      <c r="AB604" t="n">
        <v>2</v>
      </c>
      <c r="AC604" t="n">
        <v>2</v>
      </c>
      <c r="AD604" t="n">
        <v>10</v>
      </c>
      <c r="AE604" t="n">
        <v>10</v>
      </c>
      <c r="AF604" t="n">
        <v>1</v>
      </c>
      <c r="AG604" t="n">
        <v>1</v>
      </c>
      <c r="AH604" t="n">
        <v>3</v>
      </c>
      <c r="AI604" t="n">
        <v>3</v>
      </c>
      <c r="AJ604" t="n">
        <v>9</v>
      </c>
      <c r="AK604" t="n">
        <v>9</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HYPERLINK("https://creighton-primo.hosted.exlibrisgroup.com/primo-explore/search?tab=default_tab&amp;search_scope=EVERYTHING&amp;vid=01CRU&amp;lang=en_US&amp;offset=0&amp;query=any,contains,991002799779702656","Catalog Record")</f>
        <v/>
      </c>
      <c r="AT604">
        <f>HYPERLINK("http://www.worldcat.org/oclc/51059755","WorldCat Record")</f>
        <v/>
      </c>
      <c r="AU604" t="inlineStr">
        <is>
          <t>3856148930:ger</t>
        </is>
      </c>
      <c r="AV604" t="inlineStr">
        <is>
          <t>51059755</t>
        </is>
      </c>
      <c r="AW604" t="inlineStr">
        <is>
          <t>991002799779702656</t>
        </is>
      </c>
      <c r="AX604" t="inlineStr">
        <is>
          <t>991002799779702656</t>
        </is>
      </c>
      <c r="AY604" t="inlineStr">
        <is>
          <t>2259650870002656</t>
        </is>
      </c>
      <c r="AZ604" t="inlineStr">
        <is>
          <t>BOOK</t>
        </is>
      </c>
      <c r="BB604" t="inlineStr">
        <is>
          <t>9783476014702</t>
        </is>
      </c>
      <c r="BC604" t="inlineStr">
        <is>
          <t>32285003607990</t>
        </is>
      </c>
      <c r="BD604" t="inlineStr">
        <is>
          <t>893610311</t>
        </is>
      </c>
    </row>
    <row r="605">
      <c r="A605" t="inlineStr">
        <is>
          <t>No</t>
        </is>
      </c>
      <c r="B605" t="inlineStr">
        <is>
          <t>DE5 .N48 1996, v...</t>
        </is>
      </c>
      <c r="C605" t="inlineStr">
        <is>
          <t>0                      DE 0005000N  48          1996                                        v...</t>
        </is>
      </c>
      <c r="D605" t="inlineStr">
        <is>
          <t>Der neue Pauly : Enzyklopädie der Antike / herausgegeben von Hubert Cancik und Helmuth Schneider.</t>
        </is>
      </c>
      <c r="E605" t="inlineStr">
        <is>
          <t>V. 10</t>
        </is>
      </c>
      <c r="F605" t="inlineStr">
        <is>
          <t>Yes</t>
        </is>
      </c>
      <c r="G605" t="inlineStr">
        <is>
          <t>1</t>
        </is>
      </c>
      <c r="H605" t="inlineStr">
        <is>
          <t>No</t>
        </is>
      </c>
      <c r="I605" t="inlineStr">
        <is>
          <t>No</t>
        </is>
      </c>
      <c r="J605" t="inlineStr">
        <is>
          <t>0</t>
        </is>
      </c>
      <c r="L605" t="inlineStr">
        <is>
          <t>Stuttgart : J.B. Metzler, c1996-</t>
        </is>
      </c>
      <c r="M605" t="inlineStr">
        <is>
          <t>1996</t>
        </is>
      </c>
      <c r="O605" t="inlineStr">
        <is>
          <t>ger</t>
        </is>
      </c>
      <c r="P605" t="inlineStr">
        <is>
          <t xml:space="preserve">gw </t>
        </is>
      </c>
      <c r="R605" t="inlineStr">
        <is>
          <t xml:space="preserve">DE </t>
        </is>
      </c>
      <c r="S605" t="n">
        <v>2</v>
      </c>
      <c r="T605" t="n">
        <v>23</v>
      </c>
      <c r="U605" t="inlineStr">
        <is>
          <t>2006-05-10</t>
        </is>
      </c>
      <c r="V605" t="inlineStr">
        <is>
          <t>2007-09-21</t>
        </is>
      </c>
      <c r="W605" t="inlineStr">
        <is>
          <t>2001-08-08</t>
        </is>
      </c>
      <c r="X605" t="inlineStr">
        <is>
          <t>2004-03-01</t>
        </is>
      </c>
      <c r="Y605" t="n">
        <v>245</v>
      </c>
      <c r="Z605" t="n">
        <v>172</v>
      </c>
      <c r="AA605" t="n">
        <v>172</v>
      </c>
      <c r="AB605" t="n">
        <v>2</v>
      </c>
      <c r="AC605" t="n">
        <v>2</v>
      </c>
      <c r="AD605" t="n">
        <v>10</v>
      </c>
      <c r="AE605" t="n">
        <v>10</v>
      </c>
      <c r="AF605" t="n">
        <v>1</v>
      </c>
      <c r="AG605" t="n">
        <v>1</v>
      </c>
      <c r="AH605" t="n">
        <v>3</v>
      </c>
      <c r="AI605" t="n">
        <v>3</v>
      </c>
      <c r="AJ605" t="n">
        <v>9</v>
      </c>
      <c r="AK605" t="n">
        <v>9</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HYPERLINK("https://creighton-primo.hosted.exlibrisgroup.com/primo-explore/search?tab=default_tab&amp;search_scope=EVERYTHING&amp;vid=01CRU&amp;lang=en_US&amp;offset=0&amp;query=any,contains,991002799779702656","Catalog Record")</f>
        <v/>
      </c>
      <c r="AT605">
        <f>HYPERLINK("http://www.worldcat.org/oclc/51059755","WorldCat Record")</f>
        <v/>
      </c>
      <c r="AU605" t="inlineStr">
        <is>
          <t>3856148930:ger</t>
        </is>
      </c>
      <c r="AV605" t="inlineStr">
        <is>
          <t>51059755</t>
        </is>
      </c>
      <c r="AW605" t="inlineStr">
        <is>
          <t>991002799779702656</t>
        </is>
      </c>
      <c r="AX605" t="inlineStr">
        <is>
          <t>991002799779702656</t>
        </is>
      </c>
      <c r="AY605" t="inlineStr">
        <is>
          <t>2259650870002656</t>
        </is>
      </c>
      <c r="AZ605" t="inlineStr">
        <is>
          <t>BOOK</t>
        </is>
      </c>
      <c r="BB605" t="inlineStr">
        <is>
          <t>9783476014702</t>
        </is>
      </c>
      <c r="BC605" t="inlineStr">
        <is>
          <t>32285004385455</t>
        </is>
      </c>
      <c r="BD605" t="inlineStr">
        <is>
          <t>893591800</t>
        </is>
      </c>
    </row>
    <row r="606">
      <c r="A606" t="inlineStr">
        <is>
          <t>No</t>
        </is>
      </c>
      <c r="B606" t="inlineStr">
        <is>
          <t>DE5 .N48 1996, v...</t>
        </is>
      </c>
      <c r="C606" t="inlineStr">
        <is>
          <t>0                      DE 0005000N  48          1996                                        v...</t>
        </is>
      </c>
      <c r="D606" t="inlineStr">
        <is>
          <t>Der neue Pauly : Enzyklopädie der Antike / herausgegeben von Hubert Cancik und Helmuth Schneider.</t>
        </is>
      </c>
      <c r="E606" t="inlineStr">
        <is>
          <t>V. 16</t>
        </is>
      </c>
      <c r="F606" t="inlineStr">
        <is>
          <t>Yes</t>
        </is>
      </c>
      <c r="G606" t="inlineStr">
        <is>
          <t>1</t>
        </is>
      </c>
      <c r="H606" t="inlineStr">
        <is>
          <t>No</t>
        </is>
      </c>
      <c r="I606" t="inlineStr">
        <is>
          <t>No</t>
        </is>
      </c>
      <c r="J606" t="inlineStr">
        <is>
          <t>0</t>
        </is>
      </c>
      <c r="L606" t="inlineStr">
        <is>
          <t>Stuttgart : J.B. Metzler, c1996-</t>
        </is>
      </c>
      <c r="M606" t="inlineStr">
        <is>
          <t>1996</t>
        </is>
      </c>
      <c r="O606" t="inlineStr">
        <is>
          <t>ger</t>
        </is>
      </c>
      <c r="P606" t="inlineStr">
        <is>
          <t xml:space="preserve">gw </t>
        </is>
      </c>
      <c r="R606" t="inlineStr">
        <is>
          <t xml:space="preserve">DE </t>
        </is>
      </c>
      <c r="S606" t="n">
        <v>0</v>
      </c>
      <c r="T606" t="n">
        <v>23</v>
      </c>
      <c r="V606" t="inlineStr">
        <is>
          <t>2007-09-21</t>
        </is>
      </c>
      <c r="W606" t="inlineStr">
        <is>
          <t>2004-03-01</t>
        </is>
      </c>
      <c r="X606" t="inlineStr">
        <is>
          <t>2004-03-01</t>
        </is>
      </c>
      <c r="Y606" t="n">
        <v>245</v>
      </c>
      <c r="Z606" t="n">
        <v>172</v>
      </c>
      <c r="AA606" t="n">
        <v>172</v>
      </c>
      <c r="AB606" t="n">
        <v>2</v>
      </c>
      <c r="AC606" t="n">
        <v>2</v>
      </c>
      <c r="AD606" t="n">
        <v>10</v>
      </c>
      <c r="AE606" t="n">
        <v>10</v>
      </c>
      <c r="AF606" t="n">
        <v>1</v>
      </c>
      <c r="AG606" t="n">
        <v>1</v>
      </c>
      <c r="AH606" t="n">
        <v>3</v>
      </c>
      <c r="AI606" t="n">
        <v>3</v>
      </c>
      <c r="AJ606" t="n">
        <v>9</v>
      </c>
      <c r="AK606" t="n">
        <v>9</v>
      </c>
      <c r="AL606" t="n">
        <v>1</v>
      </c>
      <c r="AM606" t="n">
        <v>1</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HYPERLINK("https://creighton-primo.hosted.exlibrisgroup.com/primo-explore/search?tab=default_tab&amp;search_scope=EVERYTHING&amp;vid=01CRU&amp;lang=en_US&amp;offset=0&amp;query=any,contains,991002799779702656","Catalog Record")</f>
        <v/>
      </c>
      <c r="AT606">
        <f>HYPERLINK("http://www.worldcat.org/oclc/51059755","WorldCat Record")</f>
        <v/>
      </c>
      <c r="AU606" t="inlineStr">
        <is>
          <t>3856148930:ger</t>
        </is>
      </c>
      <c r="AV606" t="inlineStr">
        <is>
          <t>51059755</t>
        </is>
      </c>
      <c r="AW606" t="inlineStr">
        <is>
          <t>991002799779702656</t>
        </is>
      </c>
      <c r="AX606" t="inlineStr">
        <is>
          <t>991002799779702656</t>
        </is>
      </c>
      <c r="AY606" t="inlineStr">
        <is>
          <t>2259650870002656</t>
        </is>
      </c>
      <c r="AZ606" t="inlineStr">
        <is>
          <t>BOOK</t>
        </is>
      </c>
      <c r="BB606" t="inlineStr">
        <is>
          <t>9783476014702</t>
        </is>
      </c>
      <c r="BC606" t="inlineStr">
        <is>
          <t>32285004679568</t>
        </is>
      </c>
      <c r="BD606" t="inlineStr">
        <is>
          <t>893610313</t>
        </is>
      </c>
    </row>
    <row r="607">
      <c r="A607" t="inlineStr">
        <is>
          <t>No</t>
        </is>
      </c>
      <c r="B607" t="inlineStr">
        <is>
          <t>DE5 .N48 1996, v...</t>
        </is>
      </c>
      <c r="C607" t="inlineStr">
        <is>
          <t>0                      DE 0005000N  48          1996                                        v...</t>
        </is>
      </c>
      <c r="D607" t="inlineStr">
        <is>
          <t>Der neue Pauly : Enzyklopädie der Antike / herausgegeben von Hubert Cancik und Helmuth Schneider.</t>
        </is>
      </c>
      <c r="E607" t="inlineStr">
        <is>
          <t>V. 4</t>
        </is>
      </c>
      <c r="F607" t="inlineStr">
        <is>
          <t>Yes</t>
        </is>
      </c>
      <c r="G607" t="inlineStr">
        <is>
          <t>1</t>
        </is>
      </c>
      <c r="H607" t="inlineStr">
        <is>
          <t>No</t>
        </is>
      </c>
      <c r="I607" t="inlineStr">
        <is>
          <t>No</t>
        </is>
      </c>
      <c r="J607" t="inlineStr">
        <is>
          <t>0</t>
        </is>
      </c>
      <c r="L607" t="inlineStr">
        <is>
          <t>Stuttgart : J.B. Metzler, c1996-</t>
        </is>
      </c>
      <c r="M607" t="inlineStr">
        <is>
          <t>1996</t>
        </is>
      </c>
      <c r="O607" t="inlineStr">
        <is>
          <t>ger</t>
        </is>
      </c>
      <c r="P607" t="inlineStr">
        <is>
          <t xml:space="preserve">gw </t>
        </is>
      </c>
      <c r="R607" t="inlineStr">
        <is>
          <t xml:space="preserve">DE </t>
        </is>
      </c>
      <c r="S607" t="n">
        <v>0</v>
      </c>
      <c r="T607" t="n">
        <v>23</v>
      </c>
      <c r="U607" t="inlineStr">
        <is>
          <t>2001-02-13</t>
        </is>
      </c>
      <c r="V607" t="inlineStr">
        <is>
          <t>2007-09-21</t>
        </is>
      </c>
      <c r="W607" t="inlineStr">
        <is>
          <t>1998-09-21</t>
        </is>
      </c>
      <c r="X607" t="inlineStr">
        <is>
          <t>2004-03-01</t>
        </is>
      </c>
      <c r="Y607" t="n">
        <v>245</v>
      </c>
      <c r="Z607" t="n">
        <v>172</v>
      </c>
      <c r="AA607" t="n">
        <v>172</v>
      </c>
      <c r="AB607" t="n">
        <v>2</v>
      </c>
      <c r="AC607" t="n">
        <v>2</v>
      </c>
      <c r="AD607" t="n">
        <v>10</v>
      </c>
      <c r="AE607" t="n">
        <v>10</v>
      </c>
      <c r="AF607" t="n">
        <v>1</v>
      </c>
      <c r="AG607" t="n">
        <v>1</v>
      </c>
      <c r="AH607" t="n">
        <v>3</v>
      </c>
      <c r="AI607" t="n">
        <v>3</v>
      </c>
      <c r="AJ607" t="n">
        <v>9</v>
      </c>
      <c r="AK607" t="n">
        <v>9</v>
      </c>
      <c r="AL607" t="n">
        <v>1</v>
      </c>
      <c r="AM607" t="n">
        <v>1</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HYPERLINK("https://creighton-primo.hosted.exlibrisgroup.com/primo-explore/search?tab=default_tab&amp;search_scope=EVERYTHING&amp;vid=01CRU&amp;lang=en_US&amp;offset=0&amp;query=any,contains,991002799779702656","Catalog Record")</f>
        <v/>
      </c>
      <c r="AT607">
        <f>HYPERLINK("http://www.worldcat.org/oclc/51059755","WorldCat Record")</f>
        <v/>
      </c>
      <c r="AU607" t="inlineStr">
        <is>
          <t>3856148930:ger</t>
        </is>
      </c>
      <c r="AV607" t="inlineStr">
        <is>
          <t>51059755</t>
        </is>
      </c>
      <c r="AW607" t="inlineStr">
        <is>
          <t>991002799779702656</t>
        </is>
      </c>
      <c r="AX607" t="inlineStr">
        <is>
          <t>991002799779702656</t>
        </is>
      </c>
      <c r="AY607" t="inlineStr">
        <is>
          <t>2259650870002656</t>
        </is>
      </c>
      <c r="AZ607" t="inlineStr">
        <is>
          <t>BOOK</t>
        </is>
      </c>
      <c r="BB607" t="inlineStr">
        <is>
          <t>9783476014702</t>
        </is>
      </c>
      <c r="BC607" t="inlineStr">
        <is>
          <t>32285003469797</t>
        </is>
      </c>
      <c r="BD607" t="inlineStr">
        <is>
          <t>893610314</t>
        </is>
      </c>
    </row>
    <row r="608">
      <c r="A608" t="inlineStr">
        <is>
          <t>No</t>
        </is>
      </c>
      <c r="B608" t="inlineStr">
        <is>
          <t>DE5 .P33 1980 Index</t>
        </is>
      </c>
      <c r="C608" t="inlineStr">
        <is>
          <t>0                      DE 0005000P  33          1980                                        Index</t>
        </is>
      </c>
      <c r="D608" t="inlineStr">
        <is>
          <t>Index to the supplements and suppl. volumes of Pauly-Wissowa's R. E. : index to the Nachträge and Berichtigungen in vols. I-XXIV of the first series, vols. I-X of the second series, and supplementary vols. I-XIV of Pauly-Wissowa-Kroll's Realenzyklopädie / compiled by John P. Murphy.</t>
        </is>
      </c>
      <c r="E608" t="inlineStr">
        <is>
          <t>Index*</t>
        </is>
      </c>
      <c r="F608" t="inlineStr">
        <is>
          <t>No</t>
        </is>
      </c>
      <c r="G608" t="inlineStr">
        <is>
          <t>1</t>
        </is>
      </c>
      <c r="H608" t="inlineStr">
        <is>
          <t>No</t>
        </is>
      </c>
      <c r="I608" t="inlineStr">
        <is>
          <t>No</t>
        </is>
      </c>
      <c r="J608" t="inlineStr">
        <is>
          <t>0</t>
        </is>
      </c>
      <c r="K608" t="inlineStr">
        <is>
          <t>Murphy, John P. (John Paul), 1938-</t>
        </is>
      </c>
      <c r="L608" t="inlineStr">
        <is>
          <t>Chicago : Ares, c1980.</t>
        </is>
      </c>
      <c r="M608" t="inlineStr">
        <is>
          <t>1980</t>
        </is>
      </c>
      <c r="N608" t="inlineStr">
        <is>
          <t>2d ed.</t>
        </is>
      </c>
      <c r="O608" t="inlineStr">
        <is>
          <t>ger</t>
        </is>
      </c>
      <c r="P608" t="inlineStr">
        <is>
          <t xml:space="preserve">xx </t>
        </is>
      </c>
      <c r="R608" t="inlineStr">
        <is>
          <t xml:space="preserve">DE </t>
        </is>
      </c>
      <c r="S608" t="n">
        <v>1</v>
      </c>
      <c r="T608" t="n">
        <v>1</v>
      </c>
      <c r="U608" t="inlineStr">
        <is>
          <t>2002-11-19</t>
        </is>
      </c>
      <c r="V608" t="inlineStr">
        <is>
          <t>2002-11-19</t>
        </is>
      </c>
      <c r="W608" t="inlineStr">
        <is>
          <t>1993-06-02</t>
        </is>
      </c>
      <c r="X608" t="inlineStr">
        <is>
          <t>1993-06-02</t>
        </is>
      </c>
      <c r="Y608" t="n">
        <v>62</v>
      </c>
      <c r="Z608" t="n">
        <v>55</v>
      </c>
      <c r="AA608" t="n">
        <v>139</v>
      </c>
      <c r="AB608" t="n">
        <v>1</v>
      </c>
      <c r="AC608" t="n">
        <v>2</v>
      </c>
      <c r="AD608" t="n">
        <v>1</v>
      </c>
      <c r="AE608" t="n">
        <v>7</v>
      </c>
      <c r="AF608" t="n">
        <v>0</v>
      </c>
      <c r="AG608" t="n">
        <v>0</v>
      </c>
      <c r="AH608" t="n">
        <v>1</v>
      </c>
      <c r="AI608" t="n">
        <v>2</v>
      </c>
      <c r="AJ608" t="n">
        <v>0</v>
      </c>
      <c r="AK608" t="n">
        <v>5</v>
      </c>
      <c r="AL608" t="n">
        <v>0</v>
      </c>
      <c r="AM608" t="n">
        <v>1</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HYPERLINK("https://creighton-primo.hosted.exlibrisgroup.com/primo-explore/search?tab=default_tab&amp;search_scope=EVERYTHING&amp;vid=01CRU&amp;lang=en_US&amp;offset=0&amp;query=any,contains,991004996649702656","Catalog Record")</f>
        <v/>
      </c>
      <c r="AT608">
        <f>HYPERLINK("http://www.worldcat.org/oclc/6522579","WorldCat Record")</f>
        <v/>
      </c>
      <c r="AU608" t="inlineStr">
        <is>
          <t>1881891720:ger</t>
        </is>
      </c>
      <c r="AV608" t="inlineStr">
        <is>
          <t>6522579</t>
        </is>
      </c>
      <c r="AW608" t="inlineStr">
        <is>
          <t>991004996649702656</t>
        </is>
      </c>
      <c r="AX608" t="inlineStr">
        <is>
          <t>991004996649702656</t>
        </is>
      </c>
      <c r="AY608" t="inlineStr">
        <is>
          <t>2258520150002656</t>
        </is>
      </c>
      <c r="AZ608" t="inlineStr">
        <is>
          <t>BOOK</t>
        </is>
      </c>
      <c r="BC608" t="inlineStr">
        <is>
          <t>32285001675536</t>
        </is>
      </c>
      <c r="BD608" t="inlineStr">
        <is>
          <t>893612992</t>
        </is>
      </c>
    </row>
    <row r="609">
      <c r="A609" t="inlineStr">
        <is>
          <t>No</t>
        </is>
      </c>
      <c r="B609" t="inlineStr">
        <is>
          <t>DE59 .J45 1986</t>
        </is>
      </c>
      <c r="C609" t="inlineStr">
        <is>
          <t>0                      DE 0059000J  45          1986</t>
        </is>
      </c>
      <c r="D609" t="inlineStr">
        <is>
          <t>Greek and Roman life / by Ian Jenkins.</t>
        </is>
      </c>
      <c r="F609" t="inlineStr">
        <is>
          <t>No</t>
        </is>
      </c>
      <c r="G609" t="inlineStr">
        <is>
          <t>1</t>
        </is>
      </c>
      <c r="H609" t="inlineStr">
        <is>
          <t>No</t>
        </is>
      </c>
      <c r="I609" t="inlineStr">
        <is>
          <t>No</t>
        </is>
      </c>
      <c r="J609" t="inlineStr">
        <is>
          <t>0</t>
        </is>
      </c>
      <c r="K609" t="inlineStr">
        <is>
          <t>Jenkins, Ian.</t>
        </is>
      </c>
      <c r="L609" t="inlineStr">
        <is>
          <t>London : British Museum, 1986.</t>
        </is>
      </c>
      <c r="M609" t="inlineStr">
        <is>
          <t>1986</t>
        </is>
      </c>
      <c r="O609" t="inlineStr">
        <is>
          <t>eng</t>
        </is>
      </c>
      <c r="P609" t="inlineStr">
        <is>
          <t>enk</t>
        </is>
      </c>
      <c r="Q609" t="inlineStr">
        <is>
          <t>British Museum publications</t>
        </is>
      </c>
      <c r="R609" t="inlineStr">
        <is>
          <t xml:space="preserve">DE </t>
        </is>
      </c>
      <c r="S609" t="n">
        <v>7</v>
      </c>
      <c r="T609" t="n">
        <v>7</v>
      </c>
      <c r="U609" t="inlineStr">
        <is>
          <t>2008-11-24</t>
        </is>
      </c>
      <c r="V609" t="inlineStr">
        <is>
          <t>2008-11-24</t>
        </is>
      </c>
      <c r="W609" t="inlineStr">
        <is>
          <t>1990-05-07</t>
        </is>
      </c>
      <c r="X609" t="inlineStr">
        <is>
          <t>1990-05-07</t>
        </is>
      </c>
      <c r="Y609" t="n">
        <v>180</v>
      </c>
      <c r="Z609" t="n">
        <v>73</v>
      </c>
      <c r="AA609" t="n">
        <v>477</v>
      </c>
      <c r="AB609" t="n">
        <v>2</v>
      </c>
      <c r="AC609" t="n">
        <v>6</v>
      </c>
      <c r="AD609" t="n">
        <v>4</v>
      </c>
      <c r="AE609" t="n">
        <v>22</v>
      </c>
      <c r="AF609" t="n">
        <v>2</v>
      </c>
      <c r="AG609" t="n">
        <v>9</v>
      </c>
      <c r="AH609" t="n">
        <v>0</v>
      </c>
      <c r="AI609" t="n">
        <v>5</v>
      </c>
      <c r="AJ609" t="n">
        <v>1</v>
      </c>
      <c r="AK609" t="n">
        <v>10</v>
      </c>
      <c r="AL609" t="n">
        <v>1</v>
      </c>
      <c r="AM609" t="n">
        <v>4</v>
      </c>
      <c r="AN609" t="n">
        <v>0</v>
      </c>
      <c r="AO609" t="n">
        <v>0</v>
      </c>
      <c r="AP609" t="inlineStr">
        <is>
          <t>No</t>
        </is>
      </c>
      <c r="AQ609" t="inlineStr">
        <is>
          <t>Yes</t>
        </is>
      </c>
      <c r="AR609">
        <f>HYPERLINK("http://catalog.hathitrust.org/Record/000588771","HathiTrust Record")</f>
        <v/>
      </c>
      <c r="AS609">
        <f>HYPERLINK("https://creighton-primo.hosted.exlibrisgroup.com/primo-explore/search?tab=default_tab&amp;search_scope=EVERYTHING&amp;vid=01CRU&amp;lang=en_US&amp;offset=0&amp;query=any,contains,991000920509702656","Catalog Record")</f>
        <v/>
      </c>
      <c r="AT609">
        <f>HYPERLINK("http://www.worldcat.org/oclc/14204121","WorldCat Record")</f>
        <v/>
      </c>
      <c r="AU609" t="inlineStr">
        <is>
          <t>7914474:eng</t>
        </is>
      </c>
      <c r="AV609" t="inlineStr">
        <is>
          <t>14204121</t>
        </is>
      </c>
      <c r="AW609" t="inlineStr">
        <is>
          <t>991000920509702656</t>
        </is>
      </c>
      <c r="AX609" t="inlineStr">
        <is>
          <t>991000920509702656</t>
        </is>
      </c>
      <c r="AY609" t="inlineStr">
        <is>
          <t>2254769420002656</t>
        </is>
      </c>
      <c r="AZ609" t="inlineStr">
        <is>
          <t>BOOK</t>
        </is>
      </c>
      <c r="BB609" t="inlineStr">
        <is>
          <t>9780714120416</t>
        </is>
      </c>
      <c r="BC609" t="inlineStr">
        <is>
          <t>32285000149640</t>
        </is>
      </c>
      <c r="BD609" t="inlineStr">
        <is>
          <t>893872134</t>
        </is>
      </c>
    </row>
    <row r="610">
      <c r="A610" t="inlineStr">
        <is>
          <t>No</t>
        </is>
      </c>
      <c r="B610" t="inlineStr">
        <is>
          <t>DE60 .K65 2009</t>
        </is>
      </c>
      <c r="C610" t="inlineStr">
        <is>
          <t>0                      DE 0060000K  65          2009</t>
        </is>
      </c>
      <c r="D610" t="inlineStr">
        <is>
          <t>Koine : Mediterranean studies in honor of R. Ross Holloway / edited by Derek B. Counts and Anthony S. Tuck.</t>
        </is>
      </c>
      <c r="F610" t="inlineStr">
        <is>
          <t>No</t>
        </is>
      </c>
      <c r="G610" t="inlineStr">
        <is>
          <t>1</t>
        </is>
      </c>
      <c r="H610" t="inlineStr">
        <is>
          <t>No</t>
        </is>
      </c>
      <c r="I610" t="inlineStr">
        <is>
          <t>No</t>
        </is>
      </c>
      <c r="J610" t="inlineStr">
        <is>
          <t>0</t>
        </is>
      </c>
      <c r="L610" t="inlineStr">
        <is>
          <t>Oxford ; Oakville, CT : Oxbow Books, c2009.</t>
        </is>
      </c>
      <c r="M610" t="inlineStr">
        <is>
          <t>2009</t>
        </is>
      </c>
      <c r="O610" t="inlineStr">
        <is>
          <t>eng</t>
        </is>
      </c>
      <c r="P610" t="inlineStr">
        <is>
          <t>enk</t>
        </is>
      </c>
      <c r="Q610" t="inlineStr">
        <is>
          <t>Joukowsky Institute publication ; 1</t>
        </is>
      </c>
      <c r="R610" t="inlineStr">
        <is>
          <t xml:space="preserve">DE </t>
        </is>
      </c>
      <c r="S610" t="n">
        <v>1</v>
      </c>
      <c r="T610" t="n">
        <v>1</v>
      </c>
      <c r="U610" t="inlineStr">
        <is>
          <t>2010-10-27</t>
        </is>
      </c>
      <c r="V610" t="inlineStr">
        <is>
          <t>2010-10-27</t>
        </is>
      </c>
      <c r="W610" t="inlineStr">
        <is>
          <t>2010-10-27</t>
        </is>
      </c>
      <c r="X610" t="inlineStr">
        <is>
          <t>2010-10-27</t>
        </is>
      </c>
      <c r="Y610" t="n">
        <v>142</v>
      </c>
      <c r="Z610" t="n">
        <v>89</v>
      </c>
      <c r="AA610" t="n">
        <v>321</v>
      </c>
      <c r="AB610" t="n">
        <v>1</v>
      </c>
      <c r="AC610" t="n">
        <v>2</v>
      </c>
      <c r="AD610" t="n">
        <v>6</v>
      </c>
      <c r="AE610" t="n">
        <v>19</v>
      </c>
      <c r="AF610" t="n">
        <v>2</v>
      </c>
      <c r="AG610" t="n">
        <v>10</v>
      </c>
      <c r="AH610" t="n">
        <v>3</v>
      </c>
      <c r="AI610" t="n">
        <v>5</v>
      </c>
      <c r="AJ610" t="n">
        <v>5</v>
      </c>
      <c r="AK610" t="n">
        <v>11</v>
      </c>
      <c r="AL610" t="n">
        <v>0</v>
      </c>
      <c r="AM610" t="n">
        <v>1</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HYPERLINK("https://creighton-primo.hosted.exlibrisgroup.com/primo-explore/search?tab=default_tab&amp;search_scope=EVERYTHING&amp;vid=01CRU&amp;lang=en_US&amp;offset=0&amp;query=any,contains,991000183009702656","Catalog Record")</f>
        <v/>
      </c>
      <c r="AT610">
        <f>HYPERLINK("http://www.worldcat.org/oclc/320801538","WorldCat Record")</f>
        <v/>
      </c>
      <c r="AU610" t="inlineStr">
        <is>
          <t>793216149:eng</t>
        </is>
      </c>
      <c r="AV610" t="inlineStr">
        <is>
          <t>320801538</t>
        </is>
      </c>
      <c r="AW610" t="inlineStr">
        <is>
          <t>991000183009702656</t>
        </is>
      </c>
      <c r="AX610" t="inlineStr">
        <is>
          <t>991000183009702656</t>
        </is>
      </c>
      <c r="AY610" t="inlineStr">
        <is>
          <t>2268986850002656</t>
        </is>
      </c>
      <c r="AZ610" t="inlineStr">
        <is>
          <t>BOOK</t>
        </is>
      </c>
      <c r="BB610" t="inlineStr">
        <is>
          <t>9781842173794</t>
        </is>
      </c>
      <c r="BC610" t="inlineStr">
        <is>
          <t>32285005603385</t>
        </is>
      </c>
      <c r="BD610" t="inlineStr">
        <is>
          <t>893620279</t>
        </is>
      </c>
    </row>
    <row r="611">
      <c r="A611" t="inlineStr">
        <is>
          <t>No</t>
        </is>
      </c>
      <c r="B611" t="inlineStr">
        <is>
          <t>DE61 .R44 1981</t>
        </is>
      </c>
      <c r="C611" t="inlineStr">
        <is>
          <t>0                      DE 0061000R  44          1981</t>
        </is>
      </c>
      <c r="D611" t="inlineStr">
        <is>
          <t>Religione e politica nel mondo antico / autori vari ; a cura di Marta Sordi.</t>
        </is>
      </c>
      <c r="F611" t="inlineStr">
        <is>
          <t>No</t>
        </is>
      </c>
      <c r="G611" t="inlineStr">
        <is>
          <t>1</t>
        </is>
      </c>
      <c r="H611" t="inlineStr">
        <is>
          <t>No</t>
        </is>
      </c>
      <c r="I611" t="inlineStr">
        <is>
          <t>No</t>
        </is>
      </c>
      <c r="J611" t="inlineStr">
        <is>
          <t>0</t>
        </is>
      </c>
      <c r="L611" t="inlineStr">
        <is>
          <t>Milano : Vita e pensiero, 1981.</t>
        </is>
      </c>
      <c r="M611" t="inlineStr">
        <is>
          <t>1981</t>
        </is>
      </c>
      <c r="O611" t="inlineStr">
        <is>
          <t>spa</t>
        </is>
      </c>
      <c r="P611" t="inlineStr">
        <is>
          <t xml:space="preserve">it </t>
        </is>
      </c>
      <c r="Q611" t="inlineStr">
        <is>
          <t>Contributi dell'Istituto di storia antica ; v. 7</t>
        </is>
      </c>
      <c r="R611" t="inlineStr">
        <is>
          <t xml:space="preserve">DE </t>
        </is>
      </c>
      <c r="S611" t="n">
        <v>0</v>
      </c>
      <c r="T611" t="n">
        <v>0</v>
      </c>
      <c r="U611" t="inlineStr">
        <is>
          <t>2009-06-01</t>
        </is>
      </c>
      <c r="V611" t="inlineStr">
        <is>
          <t>2009-06-01</t>
        </is>
      </c>
      <c r="W611" t="inlineStr">
        <is>
          <t>1991-02-11</t>
        </is>
      </c>
      <c r="X611" t="inlineStr">
        <is>
          <t>1991-02-11</t>
        </is>
      </c>
      <c r="Y611" t="n">
        <v>59</v>
      </c>
      <c r="Z611" t="n">
        <v>35</v>
      </c>
      <c r="AA611" t="n">
        <v>35</v>
      </c>
      <c r="AB611" t="n">
        <v>1</v>
      </c>
      <c r="AC611" t="n">
        <v>1</v>
      </c>
      <c r="AD611" t="n">
        <v>0</v>
      </c>
      <c r="AE611" t="n">
        <v>0</v>
      </c>
      <c r="AF611" t="n">
        <v>0</v>
      </c>
      <c r="AG611" t="n">
        <v>0</v>
      </c>
      <c r="AH611" t="n">
        <v>0</v>
      </c>
      <c r="AI611" t="n">
        <v>0</v>
      </c>
      <c r="AJ611" t="n">
        <v>0</v>
      </c>
      <c r="AK611" t="n">
        <v>0</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HYPERLINK("https://creighton-primo.hosted.exlibrisgroup.com/primo-explore/search?tab=default_tab&amp;search_scope=EVERYTHING&amp;vid=01CRU&amp;lang=en_US&amp;offset=0&amp;query=any,contains,991000026749702656","Catalog Record")</f>
        <v/>
      </c>
      <c r="AT611">
        <f>HYPERLINK("http://www.worldcat.org/oclc/8589833","WorldCat Record")</f>
        <v/>
      </c>
      <c r="AU611" t="inlineStr">
        <is>
          <t>42991083:spa</t>
        </is>
      </c>
      <c r="AV611" t="inlineStr">
        <is>
          <t>8589833</t>
        </is>
      </c>
      <c r="AW611" t="inlineStr">
        <is>
          <t>991000026749702656</t>
        </is>
      </c>
      <c r="AX611" t="inlineStr">
        <is>
          <t>991000026749702656</t>
        </is>
      </c>
      <c r="AY611" t="inlineStr">
        <is>
          <t>2255014430002656</t>
        </is>
      </c>
      <c r="AZ611" t="inlineStr">
        <is>
          <t>BOOK</t>
        </is>
      </c>
      <c r="BC611" t="inlineStr">
        <is>
          <t>32285000458249</t>
        </is>
      </c>
      <c r="BD611" t="inlineStr">
        <is>
          <t>893626162</t>
        </is>
      </c>
    </row>
    <row r="612">
      <c r="A612" t="inlineStr">
        <is>
          <t>No</t>
        </is>
      </c>
      <c r="B612" t="inlineStr">
        <is>
          <t>DE61.E5 S28 1974b</t>
        </is>
      </c>
      <c r="C612" t="inlineStr">
        <is>
          <t>0                      DE 0061000E  5                  S  28          1974b</t>
        </is>
      </c>
      <c r="D612" t="inlineStr">
        <is>
          <t>The elephant in the Greek and Roman world / H. H. Scullard.</t>
        </is>
      </c>
      <c r="F612" t="inlineStr">
        <is>
          <t>No</t>
        </is>
      </c>
      <c r="G612" t="inlineStr">
        <is>
          <t>1</t>
        </is>
      </c>
      <c r="H612" t="inlineStr">
        <is>
          <t>No</t>
        </is>
      </c>
      <c r="I612" t="inlineStr">
        <is>
          <t>No</t>
        </is>
      </c>
      <c r="J612" t="inlineStr">
        <is>
          <t>0</t>
        </is>
      </c>
      <c r="K612" t="inlineStr">
        <is>
          <t>Scullard, H. H. (Howard Hayes), 1903-1983.</t>
        </is>
      </c>
      <c r="L612" t="inlineStr">
        <is>
          <t>Ithaca, N.Y. : Cornell University Press, 1974.</t>
        </is>
      </c>
      <c r="M612" t="inlineStr">
        <is>
          <t>1974</t>
        </is>
      </c>
      <c r="O612" t="inlineStr">
        <is>
          <t>eng</t>
        </is>
      </c>
      <c r="P612" t="inlineStr">
        <is>
          <t>nyu</t>
        </is>
      </c>
      <c r="Q612" t="inlineStr">
        <is>
          <t>Aspects of Greek and Roman life</t>
        </is>
      </c>
      <c r="R612" t="inlineStr">
        <is>
          <t xml:space="preserve">DE </t>
        </is>
      </c>
      <c r="S612" t="n">
        <v>6</v>
      </c>
      <c r="T612" t="n">
        <v>6</v>
      </c>
      <c r="U612" t="inlineStr">
        <is>
          <t>2009-10-14</t>
        </is>
      </c>
      <c r="V612" t="inlineStr">
        <is>
          <t>2009-10-14</t>
        </is>
      </c>
      <c r="W612" t="inlineStr">
        <is>
          <t>1991-02-11</t>
        </is>
      </c>
      <c r="X612" t="inlineStr">
        <is>
          <t>1991-02-11</t>
        </is>
      </c>
      <c r="Y612" t="n">
        <v>497</v>
      </c>
      <c r="Z612" t="n">
        <v>456</v>
      </c>
      <c r="AA612" t="n">
        <v>511</v>
      </c>
      <c r="AB612" t="n">
        <v>5</v>
      </c>
      <c r="AC612" t="n">
        <v>5</v>
      </c>
      <c r="AD612" t="n">
        <v>28</v>
      </c>
      <c r="AE612" t="n">
        <v>29</v>
      </c>
      <c r="AF612" t="n">
        <v>10</v>
      </c>
      <c r="AG612" t="n">
        <v>10</v>
      </c>
      <c r="AH612" t="n">
        <v>7</v>
      </c>
      <c r="AI612" t="n">
        <v>7</v>
      </c>
      <c r="AJ612" t="n">
        <v>15</v>
      </c>
      <c r="AK612" t="n">
        <v>16</v>
      </c>
      <c r="AL612" t="n">
        <v>4</v>
      </c>
      <c r="AM612" t="n">
        <v>4</v>
      </c>
      <c r="AN612" t="n">
        <v>0</v>
      </c>
      <c r="AO612" t="n">
        <v>0</v>
      </c>
      <c r="AP612" t="inlineStr">
        <is>
          <t>No</t>
        </is>
      </c>
      <c r="AQ612" t="inlineStr">
        <is>
          <t>Yes</t>
        </is>
      </c>
      <c r="AR612">
        <f>HYPERLINK("http://catalog.hathitrust.org/Record/000612670","HathiTrust Record")</f>
        <v/>
      </c>
      <c r="AS612">
        <f>HYPERLINK("https://creighton-primo.hosted.exlibrisgroup.com/primo-explore/search?tab=default_tab&amp;search_scope=EVERYTHING&amp;vid=01CRU&amp;lang=en_US&amp;offset=0&amp;query=any,contains,991003543329702656","Catalog Record")</f>
        <v/>
      </c>
      <c r="AT612">
        <f>HYPERLINK("http://www.worldcat.org/oclc/1108784","WorldCat Record")</f>
        <v/>
      </c>
      <c r="AU612" t="inlineStr">
        <is>
          <t>62025936:eng</t>
        </is>
      </c>
      <c r="AV612" t="inlineStr">
        <is>
          <t>1108784</t>
        </is>
      </c>
      <c r="AW612" t="inlineStr">
        <is>
          <t>991003543329702656</t>
        </is>
      </c>
      <c r="AX612" t="inlineStr">
        <is>
          <t>991003543329702656</t>
        </is>
      </c>
      <c r="AY612" t="inlineStr">
        <is>
          <t>2254945750002656</t>
        </is>
      </c>
      <c r="AZ612" t="inlineStr">
        <is>
          <t>BOOK</t>
        </is>
      </c>
      <c r="BB612" t="inlineStr">
        <is>
          <t>9780801409318</t>
        </is>
      </c>
      <c r="BC612" t="inlineStr">
        <is>
          <t>32285000458223</t>
        </is>
      </c>
      <c r="BD612" t="inlineStr">
        <is>
          <t>893258541</t>
        </is>
      </c>
    </row>
    <row r="613">
      <c r="A613" t="inlineStr">
        <is>
          <t>No</t>
        </is>
      </c>
      <c r="B613" t="inlineStr">
        <is>
          <t>DE61.F6 M34</t>
        </is>
      </c>
      <c r="C613" t="inlineStr">
        <is>
          <t>0                      DE 0061000F  6                  M  34</t>
        </is>
      </c>
      <c r="D613" t="inlineStr">
        <is>
          <t>Food and drink / Kenneth McLeish.</t>
        </is>
      </c>
      <c r="F613" t="inlineStr">
        <is>
          <t>No</t>
        </is>
      </c>
      <c r="G613" t="inlineStr">
        <is>
          <t>1</t>
        </is>
      </c>
      <c r="H613" t="inlineStr">
        <is>
          <t>No</t>
        </is>
      </c>
      <c r="I613" t="inlineStr">
        <is>
          <t>No</t>
        </is>
      </c>
      <c r="J613" t="inlineStr">
        <is>
          <t>0</t>
        </is>
      </c>
      <c r="K613" t="inlineStr">
        <is>
          <t>McLeish, Kenneth, 1940-1997.</t>
        </is>
      </c>
      <c r="L613" t="inlineStr">
        <is>
          <t>London : Allen &amp; Unwin, 1978.</t>
        </is>
      </c>
      <c r="M613" t="inlineStr">
        <is>
          <t>1978</t>
        </is>
      </c>
      <c r="O613" t="inlineStr">
        <is>
          <t>eng</t>
        </is>
      </c>
      <c r="P613" t="inlineStr">
        <is>
          <t>enk</t>
        </is>
      </c>
      <c r="Q613" t="inlineStr">
        <is>
          <t>Greek and Roman topics ; 7</t>
        </is>
      </c>
      <c r="R613" t="inlineStr">
        <is>
          <t xml:space="preserve">DE </t>
        </is>
      </c>
      <c r="S613" t="n">
        <v>8</v>
      </c>
      <c r="T613" t="n">
        <v>8</v>
      </c>
      <c r="U613" t="inlineStr">
        <is>
          <t>1997-02-18</t>
        </is>
      </c>
      <c r="V613" t="inlineStr">
        <is>
          <t>1997-02-18</t>
        </is>
      </c>
      <c r="W613" t="inlineStr">
        <is>
          <t>1991-02-11</t>
        </is>
      </c>
      <c r="X613" t="inlineStr">
        <is>
          <t>1991-02-11</t>
        </is>
      </c>
      <c r="Y613" t="n">
        <v>163</v>
      </c>
      <c r="Z613" t="n">
        <v>106</v>
      </c>
      <c r="AA613" t="n">
        <v>110</v>
      </c>
      <c r="AB613" t="n">
        <v>1</v>
      </c>
      <c r="AC613" t="n">
        <v>1</v>
      </c>
      <c r="AD613" t="n">
        <v>11</v>
      </c>
      <c r="AE613" t="n">
        <v>11</v>
      </c>
      <c r="AF613" t="n">
        <v>2</v>
      </c>
      <c r="AG613" t="n">
        <v>2</v>
      </c>
      <c r="AH613" t="n">
        <v>3</v>
      </c>
      <c r="AI613" t="n">
        <v>3</v>
      </c>
      <c r="AJ613" t="n">
        <v>9</v>
      </c>
      <c r="AK613" t="n">
        <v>9</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HYPERLINK("https://creighton-primo.hosted.exlibrisgroup.com/primo-explore/search?tab=default_tab&amp;search_scope=EVERYTHING&amp;vid=01CRU&amp;lang=en_US&amp;offset=0&amp;query=any,contains,991004679679702656","Catalog Record")</f>
        <v/>
      </c>
      <c r="AT613">
        <f>HYPERLINK("http://www.worldcat.org/oclc/4555326","WorldCat Record")</f>
        <v/>
      </c>
      <c r="AU613" t="inlineStr">
        <is>
          <t>479085518:eng</t>
        </is>
      </c>
      <c r="AV613" t="inlineStr">
        <is>
          <t>4555326</t>
        </is>
      </c>
      <c r="AW613" t="inlineStr">
        <is>
          <t>991004679679702656</t>
        </is>
      </c>
      <c r="AX613" t="inlineStr">
        <is>
          <t>991004679679702656</t>
        </is>
      </c>
      <c r="AY613" t="inlineStr">
        <is>
          <t>2256068270002656</t>
        </is>
      </c>
      <c r="AZ613" t="inlineStr">
        <is>
          <t>BOOK</t>
        </is>
      </c>
      <c r="BB613" t="inlineStr">
        <is>
          <t>9780049300071</t>
        </is>
      </c>
      <c r="BC613" t="inlineStr">
        <is>
          <t>32285000458231</t>
        </is>
      </c>
      <c r="BD613" t="inlineStr">
        <is>
          <t>893889126</t>
        </is>
      </c>
    </row>
    <row r="614">
      <c r="A614" t="inlineStr">
        <is>
          <t>No</t>
        </is>
      </c>
      <c r="B614" t="inlineStr">
        <is>
          <t>DE61.N3 R6 1973</t>
        </is>
      </c>
      <c r="C614" t="inlineStr">
        <is>
          <t>0                      DE 0061000N  3                  R  6           1973</t>
        </is>
      </c>
      <c r="D614" t="inlineStr">
        <is>
          <t>Greek and Roman naval warfare : a study of strategy, tactics, and ship design from Salamis (480 B.C.) to Actium (31 B.C.) / by William Ledyard Rodgers ...</t>
        </is>
      </c>
      <c r="F614" t="inlineStr">
        <is>
          <t>No</t>
        </is>
      </c>
      <c r="G614" t="inlineStr">
        <is>
          <t>1</t>
        </is>
      </c>
      <c r="H614" t="inlineStr">
        <is>
          <t>No</t>
        </is>
      </c>
      <c r="I614" t="inlineStr">
        <is>
          <t>No</t>
        </is>
      </c>
      <c r="J614" t="inlineStr">
        <is>
          <t>0</t>
        </is>
      </c>
      <c r="K614" t="inlineStr">
        <is>
          <t>Rodgers, William Ledyard, 1860-1944.</t>
        </is>
      </c>
      <c r="L614" t="inlineStr">
        <is>
          <t>Annapolis, Md. : Naval Institute Press, [1973, c1964]</t>
        </is>
      </c>
      <c r="M614" t="inlineStr">
        <is>
          <t>1973</t>
        </is>
      </c>
      <c r="O614" t="inlineStr">
        <is>
          <t>eng</t>
        </is>
      </c>
      <c r="P614" t="inlineStr">
        <is>
          <t>mdu</t>
        </is>
      </c>
      <c r="R614" t="inlineStr">
        <is>
          <t xml:space="preserve">DE </t>
        </is>
      </c>
      <c r="S614" t="n">
        <v>7</v>
      </c>
      <c r="T614" t="n">
        <v>7</v>
      </c>
      <c r="U614" t="inlineStr">
        <is>
          <t>2008-03-18</t>
        </is>
      </c>
      <c r="V614" t="inlineStr">
        <is>
          <t>2008-03-18</t>
        </is>
      </c>
      <c r="W614" t="inlineStr">
        <is>
          <t>1996-05-29</t>
        </is>
      </c>
      <c r="X614" t="inlineStr">
        <is>
          <t>1996-05-29</t>
        </is>
      </c>
      <c r="Y614" t="n">
        <v>6</v>
      </c>
      <c r="Z614" t="n">
        <v>6</v>
      </c>
      <c r="AA614" t="n">
        <v>512</v>
      </c>
      <c r="AB614" t="n">
        <v>1</v>
      </c>
      <c r="AC614" t="n">
        <v>3</v>
      </c>
      <c r="AD614" t="n">
        <v>0</v>
      </c>
      <c r="AE614" t="n">
        <v>22</v>
      </c>
      <c r="AF614" t="n">
        <v>0</v>
      </c>
      <c r="AG614" t="n">
        <v>9</v>
      </c>
      <c r="AH614" t="n">
        <v>0</v>
      </c>
      <c r="AI614" t="n">
        <v>5</v>
      </c>
      <c r="AJ614" t="n">
        <v>0</v>
      </c>
      <c r="AK614" t="n">
        <v>9</v>
      </c>
      <c r="AL614" t="n">
        <v>0</v>
      </c>
      <c r="AM614" t="n">
        <v>2</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HYPERLINK("https://creighton-primo.hosted.exlibrisgroup.com/primo-explore/search?tab=default_tab&amp;search_scope=EVERYTHING&amp;vid=01CRU&amp;lang=en_US&amp;offset=0&amp;query=any,contains,991004455569702656","Catalog Record")</f>
        <v/>
      </c>
      <c r="AT614">
        <f>HYPERLINK("http://www.worldcat.org/oclc/3524386","WorldCat Record")</f>
        <v/>
      </c>
      <c r="AU614" t="inlineStr">
        <is>
          <t>514405:eng</t>
        </is>
      </c>
      <c r="AV614" t="inlineStr">
        <is>
          <t>3524386</t>
        </is>
      </c>
      <c r="AW614" t="inlineStr">
        <is>
          <t>991004455569702656</t>
        </is>
      </c>
      <c r="AX614" t="inlineStr">
        <is>
          <t>991004455569702656</t>
        </is>
      </c>
      <c r="AY614" t="inlineStr">
        <is>
          <t>2256456600002656</t>
        </is>
      </c>
      <c r="AZ614" t="inlineStr">
        <is>
          <t>BOOK</t>
        </is>
      </c>
      <c r="BC614" t="inlineStr">
        <is>
          <t>32285002164431</t>
        </is>
      </c>
      <c r="BD614" t="inlineStr">
        <is>
          <t>893519668</t>
        </is>
      </c>
    </row>
    <row r="615">
      <c r="A615" t="inlineStr">
        <is>
          <t>No</t>
        </is>
      </c>
      <c r="B615" t="inlineStr">
        <is>
          <t>DE7 .P5 1932</t>
        </is>
      </c>
      <c r="C615" t="inlineStr">
        <is>
          <t>0                      DE 0007000P  5           1932</t>
        </is>
      </c>
      <c r="D615" t="inlineStr">
        <is>
          <t>The lives of the noble Grecians and Romans / translated by John Dryden and revised by Arthur Hugh Clough.</t>
        </is>
      </c>
      <c r="F615" t="inlineStr">
        <is>
          <t>No</t>
        </is>
      </c>
      <c r="G615" t="inlineStr">
        <is>
          <t>1</t>
        </is>
      </c>
      <c r="H615" t="inlineStr">
        <is>
          <t>No</t>
        </is>
      </c>
      <c r="I615" t="inlineStr">
        <is>
          <t>No</t>
        </is>
      </c>
      <c r="J615" t="inlineStr">
        <is>
          <t>0</t>
        </is>
      </c>
      <c r="K615" t="inlineStr">
        <is>
          <t>Plutarch.</t>
        </is>
      </c>
      <c r="L615" t="inlineStr">
        <is>
          <t>New York : The Modern library, [1932]</t>
        </is>
      </c>
      <c r="M615" t="inlineStr">
        <is>
          <t>1932</t>
        </is>
      </c>
      <c r="O615" t="inlineStr">
        <is>
          <t>eng</t>
        </is>
      </c>
      <c r="P615" t="inlineStr">
        <is>
          <t>nyu</t>
        </is>
      </c>
      <c r="Q615" t="inlineStr">
        <is>
          <t>The Modern library of the world's best books. [Modern library giants]</t>
        </is>
      </c>
      <c r="R615" t="inlineStr">
        <is>
          <t xml:space="preserve">DE </t>
        </is>
      </c>
      <c r="S615" t="n">
        <v>3</v>
      </c>
      <c r="T615" t="n">
        <v>3</v>
      </c>
      <c r="U615" t="inlineStr">
        <is>
          <t>2009-04-19</t>
        </is>
      </c>
      <c r="V615" t="inlineStr">
        <is>
          <t>2009-04-19</t>
        </is>
      </c>
      <c r="W615" t="inlineStr">
        <is>
          <t>1990-12-18</t>
        </is>
      </c>
      <c r="X615" t="inlineStr">
        <is>
          <t>1990-12-18</t>
        </is>
      </c>
      <c r="Y615" t="n">
        <v>1265</v>
      </c>
      <c r="Z615" t="n">
        <v>1188</v>
      </c>
      <c r="AA615" t="n">
        <v>1649</v>
      </c>
      <c r="AB615" t="n">
        <v>12</v>
      </c>
      <c r="AC615" t="n">
        <v>17</v>
      </c>
      <c r="AD615" t="n">
        <v>33</v>
      </c>
      <c r="AE615" t="n">
        <v>40</v>
      </c>
      <c r="AF615" t="n">
        <v>12</v>
      </c>
      <c r="AG615" t="n">
        <v>15</v>
      </c>
      <c r="AH615" t="n">
        <v>6</v>
      </c>
      <c r="AI615" t="n">
        <v>7</v>
      </c>
      <c r="AJ615" t="n">
        <v>15</v>
      </c>
      <c r="AK615" t="n">
        <v>17</v>
      </c>
      <c r="AL615" t="n">
        <v>7</v>
      </c>
      <c r="AM615" t="n">
        <v>10</v>
      </c>
      <c r="AN615" t="n">
        <v>1</v>
      </c>
      <c r="AO615" t="n">
        <v>1</v>
      </c>
      <c r="AP615" t="inlineStr">
        <is>
          <t>No</t>
        </is>
      </c>
      <c r="AQ615" t="inlineStr">
        <is>
          <t>Yes</t>
        </is>
      </c>
      <c r="AR615">
        <f>HYPERLINK("http://catalog.hathitrust.org/Record/000867254","HathiTrust Record")</f>
        <v/>
      </c>
      <c r="AS615">
        <f>HYPERLINK("https://creighton-primo.hosted.exlibrisgroup.com/primo-explore/search?tab=default_tab&amp;search_scope=EVERYTHING&amp;vid=01CRU&amp;lang=en_US&amp;offset=0&amp;query=any,contains,991002697869702656","Catalog Record")</f>
        <v/>
      </c>
      <c r="AT615">
        <f>HYPERLINK("http://www.worldcat.org/oclc/404323","WorldCat Record")</f>
        <v/>
      </c>
      <c r="AU615" t="inlineStr">
        <is>
          <t>9205522648:eng</t>
        </is>
      </c>
      <c r="AV615" t="inlineStr">
        <is>
          <t>404323</t>
        </is>
      </c>
      <c r="AW615" t="inlineStr">
        <is>
          <t>991002697869702656</t>
        </is>
      </c>
      <c r="AX615" t="inlineStr">
        <is>
          <t>991002697869702656</t>
        </is>
      </c>
      <c r="AY615" t="inlineStr">
        <is>
          <t>2260038710002656</t>
        </is>
      </c>
      <c r="AZ615" t="inlineStr">
        <is>
          <t>BOOK</t>
        </is>
      </c>
      <c r="BC615" t="inlineStr">
        <is>
          <t>32285000425735</t>
        </is>
      </c>
      <c r="BD615" t="inlineStr">
        <is>
          <t>893257599</t>
        </is>
      </c>
    </row>
    <row r="616">
      <c r="A616" t="inlineStr">
        <is>
          <t>No</t>
        </is>
      </c>
      <c r="B616" t="inlineStr">
        <is>
          <t>DE7 .P53 1889</t>
        </is>
      </c>
      <c r="C616" t="inlineStr">
        <is>
          <t>0                      DE 0007000P  53          1889</t>
        </is>
      </c>
      <c r="D616" t="inlineStr">
        <is>
          <t>Plutarch's Lives ... with notes, critical and historical. By the Rev. John and William Langhorne. Together with new notes, prepared for this edition by the publisher.</t>
        </is>
      </c>
      <c r="F616" t="inlineStr">
        <is>
          <t>No</t>
        </is>
      </c>
      <c r="G616" t="inlineStr">
        <is>
          <t>1</t>
        </is>
      </c>
      <c r="H616" t="inlineStr">
        <is>
          <t>No</t>
        </is>
      </c>
      <c r="I616" t="inlineStr">
        <is>
          <t>No</t>
        </is>
      </c>
      <c r="J616" t="inlineStr">
        <is>
          <t>0</t>
        </is>
      </c>
      <c r="K616" t="inlineStr">
        <is>
          <t>Plutarch.</t>
        </is>
      </c>
      <c r="L616" t="inlineStr">
        <is>
          <t>New York, Lovell, Croyell &amp; Co., c1889.</t>
        </is>
      </c>
      <c r="M616" t="inlineStr">
        <is>
          <t>1889</t>
        </is>
      </c>
      <c r="O616" t="inlineStr">
        <is>
          <t>eng</t>
        </is>
      </c>
      <c r="P616" t="inlineStr">
        <is>
          <t>nyu</t>
        </is>
      </c>
      <c r="R616" t="inlineStr">
        <is>
          <t xml:space="preserve">DE </t>
        </is>
      </c>
      <c r="S616" t="n">
        <v>0</v>
      </c>
      <c r="T616" t="n">
        <v>0</v>
      </c>
      <c r="U616" t="inlineStr">
        <is>
          <t>2008-09-29</t>
        </is>
      </c>
      <c r="V616" t="inlineStr">
        <is>
          <t>2008-09-29</t>
        </is>
      </c>
      <c r="W616" t="inlineStr">
        <is>
          <t>1996-05-29</t>
        </is>
      </c>
      <c r="X616" t="inlineStr">
        <is>
          <t>1996-05-29</t>
        </is>
      </c>
      <c r="Y616" t="n">
        <v>8</v>
      </c>
      <c r="Z616" t="n">
        <v>7</v>
      </c>
      <c r="AA616" t="n">
        <v>45</v>
      </c>
      <c r="AB616" t="n">
        <v>1</v>
      </c>
      <c r="AC616" t="n">
        <v>2</v>
      </c>
      <c r="AD616" t="n">
        <v>1</v>
      </c>
      <c r="AE616" t="n">
        <v>3</v>
      </c>
      <c r="AF616" t="n">
        <v>0</v>
      </c>
      <c r="AG616" t="n">
        <v>0</v>
      </c>
      <c r="AH616" t="n">
        <v>0</v>
      </c>
      <c r="AI616" t="n">
        <v>1</v>
      </c>
      <c r="AJ616" t="n">
        <v>1</v>
      </c>
      <c r="AK616" t="n">
        <v>1</v>
      </c>
      <c r="AL616" t="n">
        <v>0</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HYPERLINK("https://creighton-primo.hosted.exlibrisgroup.com/primo-explore/search?tab=default_tab&amp;search_scope=EVERYTHING&amp;vid=01CRU&amp;lang=en_US&amp;offset=0&amp;query=any,contains,991000238039702656","Catalog Record")</f>
        <v/>
      </c>
      <c r="AT616">
        <f>HYPERLINK("http://www.worldcat.org/oclc/9679177","WorldCat Record")</f>
        <v/>
      </c>
      <c r="AU616" t="inlineStr">
        <is>
          <t>480734965:eng</t>
        </is>
      </c>
      <c r="AV616" t="inlineStr">
        <is>
          <t>9679177</t>
        </is>
      </c>
      <c r="AW616" t="inlineStr">
        <is>
          <t>991000238039702656</t>
        </is>
      </c>
      <c r="AX616" t="inlineStr">
        <is>
          <t>991000238039702656</t>
        </is>
      </c>
      <c r="AY616" t="inlineStr">
        <is>
          <t>2257371010002656</t>
        </is>
      </c>
      <c r="AZ616" t="inlineStr">
        <is>
          <t>BOOK</t>
        </is>
      </c>
      <c r="BC616" t="inlineStr">
        <is>
          <t>32285002164423</t>
        </is>
      </c>
      <c r="BD616" t="inlineStr">
        <is>
          <t>893521528</t>
        </is>
      </c>
    </row>
    <row r="617">
      <c r="A617" t="inlineStr">
        <is>
          <t>No</t>
        </is>
      </c>
      <c r="B617" t="inlineStr">
        <is>
          <t>DE71 .B6813 2002</t>
        </is>
      </c>
      <c r="C617" t="inlineStr">
        <is>
          <t>0                      DE 0071000B  6813        2002</t>
        </is>
      </c>
      <c r="D617" t="inlineStr">
        <is>
          <t>Memory and the Mediterranean / Fernand Braudel ; text edited by Roselyne de Ayala and Paule Braudel ; translated from the French by Siân Reynolds.</t>
        </is>
      </c>
      <c r="F617" t="inlineStr">
        <is>
          <t>No</t>
        </is>
      </c>
      <c r="G617" t="inlineStr">
        <is>
          <t>1</t>
        </is>
      </c>
      <c r="H617" t="inlineStr">
        <is>
          <t>No</t>
        </is>
      </c>
      <c r="I617" t="inlineStr">
        <is>
          <t>No</t>
        </is>
      </c>
      <c r="J617" t="inlineStr">
        <is>
          <t>0</t>
        </is>
      </c>
      <c r="K617" t="inlineStr">
        <is>
          <t>Braudel, Fernand.</t>
        </is>
      </c>
      <c r="L617" t="inlineStr">
        <is>
          <t>New York : Vintage Books, 2002.</t>
        </is>
      </c>
      <c r="M617" t="inlineStr">
        <is>
          <t>2002</t>
        </is>
      </c>
      <c r="N617" t="inlineStr">
        <is>
          <t>1st Vintage Books ed.</t>
        </is>
      </c>
      <c r="O617" t="inlineStr">
        <is>
          <t>eng</t>
        </is>
      </c>
      <c r="P617" t="inlineStr">
        <is>
          <t>nyu</t>
        </is>
      </c>
      <c r="R617" t="inlineStr">
        <is>
          <t xml:space="preserve">DE </t>
        </is>
      </c>
      <c r="S617" t="n">
        <v>1</v>
      </c>
      <c r="T617" t="n">
        <v>1</v>
      </c>
      <c r="U617" t="inlineStr">
        <is>
          <t>2008-12-11</t>
        </is>
      </c>
      <c r="V617" t="inlineStr">
        <is>
          <t>2008-12-11</t>
        </is>
      </c>
      <c r="W617" t="inlineStr">
        <is>
          <t>2008-12-11</t>
        </is>
      </c>
      <c r="X617" t="inlineStr">
        <is>
          <t>2008-12-11</t>
        </is>
      </c>
      <c r="Y617" t="n">
        <v>64</v>
      </c>
      <c r="Z617" t="n">
        <v>48</v>
      </c>
      <c r="AA617" t="n">
        <v>957</v>
      </c>
      <c r="AB617" t="n">
        <v>1</v>
      </c>
      <c r="AC617" t="n">
        <v>7</v>
      </c>
      <c r="AD617" t="n">
        <v>3</v>
      </c>
      <c r="AE617" t="n">
        <v>42</v>
      </c>
      <c r="AF617" t="n">
        <v>2</v>
      </c>
      <c r="AG617" t="n">
        <v>19</v>
      </c>
      <c r="AH617" t="n">
        <v>1</v>
      </c>
      <c r="AI617" t="n">
        <v>8</v>
      </c>
      <c r="AJ617" t="n">
        <v>0</v>
      </c>
      <c r="AK617" t="n">
        <v>17</v>
      </c>
      <c r="AL617" t="n">
        <v>0</v>
      </c>
      <c r="AM617" t="n">
        <v>6</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HYPERLINK("https://creighton-primo.hosted.exlibrisgroup.com/primo-explore/search?tab=default_tab&amp;search_scope=EVERYTHING&amp;vid=01CRU&amp;lang=en_US&amp;offset=0&amp;query=any,contains,991005283399702656","Catalog Record")</f>
        <v/>
      </c>
      <c r="AT617">
        <f>HYPERLINK("http://www.worldcat.org/oclc/51669662","WorldCat Record")</f>
        <v/>
      </c>
      <c r="AU617" t="inlineStr">
        <is>
          <t>4495052718:eng</t>
        </is>
      </c>
      <c r="AV617" t="inlineStr">
        <is>
          <t>51669662</t>
        </is>
      </c>
      <c r="AW617" t="inlineStr">
        <is>
          <t>991005283399702656</t>
        </is>
      </c>
      <c r="AX617" t="inlineStr">
        <is>
          <t>991005283399702656</t>
        </is>
      </c>
      <c r="AY617" t="inlineStr">
        <is>
          <t>2269290120002656</t>
        </is>
      </c>
      <c r="AZ617" t="inlineStr">
        <is>
          <t>BOOK</t>
        </is>
      </c>
      <c r="BB617" t="inlineStr">
        <is>
          <t>9780375703997</t>
        </is>
      </c>
      <c r="BC617" t="inlineStr">
        <is>
          <t>32285005472625</t>
        </is>
      </c>
      <c r="BD617" t="inlineStr">
        <is>
          <t>893418681</t>
        </is>
      </c>
    </row>
    <row r="618">
      <c r="A618" t="inlineStr">
        <is>
          <t>No</t>
        </is>
      </c>
      <c r="B618" t="inlineStr">
        <is>
          <t>DE71 .C37</t>
        </is>
      </c>
      <c r="C618" t="inlineStr">
        <is>
          <t>0                      DE 0071000C  37</t>
        </is>
      </c>
      <c r="D618" t="inlineStr">
        <is>
          <t>Life and thought in the Greek and Roman world / by M. Cary and T.J. Haarhoff.</t>
        </is>
      </c>
      <c r="F618" t="inlineStr">
        <is>
          <t>No</t>
        </is>
      </c>
      <c r="G618" t="inlineStr">
        <is>
          <t>1</t>
        </is>
      </c>
      <c r="H618" t="inlineStr">
        <is>
          <t>No</t>
        </is>
      </c>
      <c r="I618" t="inlineStr">
        <is>
          <t>No</t>
        </is>
      </c>
      <c r="J618" t="inlineStr">
        <is>
          <t>0</t>
        </is>
      </c>
      <c r="K618" t="inlineStr">
        <is>
          <t>Cary, M. (Max), 1881-1958.</t>
        </is>
      </c>
      <c r="L618" t="inlineStr">
        <is>
          <t>New York : Barnes and Noble, [1959]</t>
        </is>
      </c>
      <c r="M618" t="inlineStr">
        <is>
          <t>1959</t>
        </is>
      </c>
      <c r="O618" t="inlineStr">
        <is>
          <t>eng</t>
        </is>
      </c>
      <c r="P618" t="inlineStr">
        <is>
          <t>nyu</t>
        </is>
      </c>
      <c r="R618" t="inlineStr">
        <is>
          <t xml:space="preserve">DE </t>
        </is>
      </c>
      <c r="S618" t="n">
        <v>10</v>
      </c>
      <c r="T618" t="n">
        <v>10</v>
      </c>
      <c r="U618" t="inlineStr">
        <is>
          <t>2000-02-10</t>
        </is>
      </c>
      <c r="V618" t="inlineStr">
        <is>
          <t>2000-02-10</t>
        </is>
      </c>
      <c r="W618" t="inlineStr">
        <is>
          <t>1993-11-02</t>
        </is>
      </c>
      <c r="X618" t="inlineStr">
        <is>
          <t>1993-11-02</t>
        </is>
      </c>
      <c r="Y618" t="n">
        <v>93</v>
      </c>
      <c r="Z618" t="n">
        <v>90</v>
      </c>
      <c r="AA618" t="n">
        <v>929</v>
      </c>
      <c r="AB618" t="n">
        <v>2</v>
      </c>
      <c r="AC618" t="n">
        <v>7</v>
      </c>
      <c r="AD618" t="n">
        <v>4</v>
      </c>
      <c r="AE618" t="n">
        <v>47</v>
      </c>
      <c r="AF618" t="n">
        <v>0</v>
      </c>
      <c r="AG618" t="n">
        <v>19</v>
      </c>
      <c r="AH618" t="n">
        <v>0</v>
      </c>
      <c r="AI618" t="n">
        <v>11</v>
      </c>
      <c r="AJ618" t="n">
        <v>3</v>
      </c>
      <c r="AK618" t="n">
        <v>24</v>
      </c>
      <c r="AL618" t="n">
        <v>1</v>
      </c>
      <c r="AM618" t="n">
        <v>6</v>
      </c>
      <c r="AN618" t="n">
        <v>0</v>
      </c>
      <c r="AO618" t="n">
        <v>0</v>
      </c>
      <c r="AP618" t="inlineStr">
        <is>
          <t>Yes</t>
        </is>
      </c>
      <c r="AQ618" t="inlineStr">
        <is>
          <t>No</t>
        </is>
      </c>
      <c r="AR618">
        <f>HYPERLINK("http://catalog.hathitrust.org/Record/006041748","HathiTrust Record")</f>
        <v/>
      </c>
      <c r="AS618">
        <f>HYPERLINK("https://creighton-primo.hosted.exlibrisgroup.com/primo-explore/search?tab=default_tab&amp;search_scope=EVERYTHING&amp;vid=01CRU&amp;lang=en_US&amp;offset=0&amp;query=any,contains,991003696639702656","Catalog Record")</f>
        <v/>
      </c>
      <c r="AT618">
        <f>HYPERLINK("http://www.worldcat.org/oclc/1329513","WorldCat Record")</f>
        <v/>
      </c>
      <c r="AU618" t="inlineStr">
        <is>
          <t>1418632:eng</t>
        </is>
      </c>
      <c r="AV618" t="inlineStr">
        <is>
          <t>1329513</t>
        </is>
      </c>
      <c r="AW618" t="inlineStr">
        <is>
          <t>991003696639702656</t>
        </is>
      </c>
      <c r="AX618" t="inlineStr">
        <is>
          <t>991003696639702656</t>
        </is>
      </c>
      <c r="AY618" t="inlineStr">
        <is>
          <t>2269051450002656</t>
        </is>
      </c>
      <c r="AZ618" t="inlineStr">
        <is>
          <t>BOOK</t>
        </is>
      </c>
      <c r="BC618" t="inlineStr">
        <is>
          <t>32285001796019</t>
        </is>
      </c>
      <c r="BD618" t="inlineStr">
        <is>
          <t>893806104</t>
        </is>
      </c>
    </row>
    <row r="619">
      <c r="A619" t="inlineStr">
        <is>
          <t>No</t>
        </is>
      </c>
      <c r="B619" t="inlineStr">
        <is>
          <t>DE71 .C495 2006</t>
        </is>
      </c>
      <c r="C619" t="inlineStr">
        <is>
          <t>0                      DE 0071000C  495         2006</t>
        </is>
      </c>
      <c r="D619" t="inlineStr">
        <is>
          <t>Classical pasts : the classical traditions of Greece and Rome / edited by James I. Porter.</t>
        </is>
      </c>
      <c r="F619" t="inlineStr">
        <is>
          <t>No</t>
        </is>
      </c>
      <c r="G619" t="inlineStr">
        <is>
          <t>1</t>
        </is>
      </c>
      <c r="H619" t="inlineStr">
        <is>
          <t>No</t>
        </is>
      </c>
      <c r="I619" t="inlineStr">
        <is>
          <t>No</t>
        </is>
      </c>
      <c r="J619" t="inlineStr">
        <is>
          <t>0</t>
        </is>
      </c>
      <c r="L619" t="inlineStr">
        <is>
          <t>Princeton, N.J. : Princeton University Press, c2006.</t>
        </is>
      </c>
      <c r="M619" t="inlineStr">
        <is>
          <t>2006</t>
        </is>
      </c>
      <c r="O619" t="inlineStr">
        <is>
          <t>eng</t>
        </is>
      </c>
      <c r="P619" t="inlineStr">
        <is>
          <t>nju</t>
        </is>
      </c>
      <c r="R619" t="inlineStr">
        <is>
          <t xml:space="preserve">DE </t>
        </is>
      </c>
      <c r="S619" t="n">
        <v>2</v>
      </c>
      <c r="T619" t="n">
        <v>2</v>
      </c>
      <c r="U619" t="inlineStr">
        <is>
          <t>2006-05-30</t>
        </is>
      </c>
      <c r="V619" t="inlineStr">
        <is>
          <t>2006-05-30</t>
        </is>
      </c>
      <c r="W619" t="inlineStr">
        <is>
          <t>2006-01-11</t>
        </is>
      </c>
      <c r="X619" t="inlineStr">
        <is>
          <t>2006-01-11</t>
        </is>
      </c>
      <c r="Y619" t="n">
        <v>349</v>
      </c>
      <c r="Z619" t="n">
        <v>243</v>
      </c>
      <c r="AA619" t="n">
        <v>249</v>
      </c>
      <c r="AB619" t="n">
        <v>2</v>
      </c>
      <c r="AC619" t="n">
        <v>2</v>
      </c>
      <c r="AD619" t="n">
        <v>12</v>
      </c>
      <c r="AE619" t="n">
        <v>13</v>
      </c>
      <c r="AF619" t="n">
        <v>3</v>
      </c>
      <c r="AG619" t="n">
        <v>3</v>
      </c>
      <c r="AH619" t="n">
        <v>4</v>
      </c>
      <c r="AI619" t="n">
        <v>5</v>
      </c>
      <c r="AJ619" t="n">
        <v>6</v>
      </c>
      <c r="AK619" t="n">
        <v>7</v>
      </c>
      <c r="AL619" t="n">
        <v>1</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HYPERLINK("https://creighton-primo.hosted.exlibrisgroup.com/primo-explore/search?tab=default_tab&amp;search_scope=EVERYTHING&amp;vid=01CRU&amp;lang=en_US&amp;offset=0&amp;query=any,contains,991004705109702656","Catalog Record")</f>
        <v/>
      </c>
      <c r="AT619">
        <f>HYPERLINK("http://www.worldcat.org/oclc/57243348","WorldCat Record")</f>
        <v/>
      </c>
      <c r="AU619" t="inlineStr">
        <is>
          <t>892476861:eng</t>
        </is>
      </c>
      <c r="AV619" t="inlineStr">
        <is>
          <t>57243348</t>
        </is>
      </c>
      <c r="AW619" t="inlineStr">
        <is>
          <t>991004705109702656</t>
        </is>
      </c>
      <c r="AX619" t="inlineStr">
        <is>
          <t>991004705109702656</t>
        </is>
      </c>
      <c r="AY619" t="inlineStr">
        <is>
          <t>2258519490002656</t>
        </is>
      </c>
      <c r="AZ619" t="inlineStr">
        <is>
          <t>BOOK</t>
        </is>
      </c>
      <c r="BB619" t="inlineStr">
        <is>
          <t>9780691089416</t>
        </is>
      </c>
      <c r="BC619" t="inlineStr">
        <is>
          <t>32285005154140</t>
        </is>
      </c>
      <c r="BD619" t="inlineStr">
        <is>
          <t>893628325</t>
        </is>
      </c>
    </row>
    <row r="620">
      <c r="A620" t="inlineStr">
        <is>
          <t>No</t>
        </is>
      </c>
      <c r="B620" t="inlineStr">
        <is>
          <t>DE71 .G744 1989</t>
        </is>
      </c>
      <c r="C620" t="inlineStr">
        <is>
          <t>0                      DE 0071000G  744         1989</t>
        </is>
      </c>
      <c r="D620" t="inlineStr">
        <is>
          <t>Classical bearings : interpreting ancient history and culture / Peter Green.</t>
        </is>
      </c>
      <c r="F620" t="inlineStr">
        <is>
          <t>No</t>
        </is>
      </c>
      <c r="G620" t="inlineStr">
        <is>
          <t>1</t>
        </is>
      </c>
      <c r="H620" t="inlineStr">
        <is>
          <t>No</t>
        </is>
      </c>
      <c r="I620" t="inlineStr">
        <is>
          <t>No</t>
        </is>
      </c>
      <c r="J620" t="inlineStr">
        <is>
          <t>0</t>
        </is>
      </c>
      <c r="K620" t="inlineStr">
        <is>
          <t>Green, Peter, 1924-</t>
        </is>
      </c>
      <c r="L620" t="inlineStr">
        <is>
          <t>[London] : Thames and Hudson, c1989.</t>
        </is>
      </c>
      <c r="M620" t="inlineStr">
        <is>
          <t>1989</t>
        </is>
      </c>
      <c r="O620" t="inlineStr">
        <is>
          <t>eng</t>
        </is>
      </c>
      <c r="P620" t="inlineStr">
        <is>
          <t>enk</t>
        </is>
      </c>
      <c r="R620" t="inlineStr">
        <is>
          <t xml:space="preserve">DE </t>
        </is>
      </c>
      <c r="S620" t="n">
        <v>5</v>
      </c>
      <c r="T620" t="n">
        <v>5</v>
      </c>
      <c r="U620" t="inlineStr">
        <is>
          <t>2000-02-08</t>
        </is>
      </c>
      <c r="V620" t="inlineStr">
        <is>
          <t>2000-02-08</t>
        </is>
      </c>
      <c r="W620" t="inlineStr">
        <is>
          <t>1991-12-30</t>
        </is>
      </c>
      <c r="X620" t="inlineStr">
        <is>
          <t>1991-12-30</t>
        </is>
      </c>
      <c r="Y620" t="n">
        <v>520</v>
      </c>
      <c r="Z620" t="n">
        <v>403</v>
      </c>
      <c r="AA620" t="n">
        <v>510</v>
      </c>
      <c r="AB620" t="n">
        <v>4</v>
      </c>
      <c r="AC620" t="n">
        <v>4</v>
      </c>
      <c r="AD620" t="n">
        <v>21</v>
      </c>
      <c r="AE620" t="n">
        <v>27</v>
      </c>
      <c r="AF620" t="n">
        <v>7</v>
      </c>
      <c r="AG620" t="n">
        <v>8</v>
      </c>
      <c r="AH620" t="n">
        <v>6</v>
      </c>
      <c r="AI620" t="n">
        <v>9</v>
      </c>
      <c r="AJ620" t="n">
        <v>11</v>
      </c>
      <c r="AK620" t="n">
        <v>15</v>
      </c>
      <c r="AL620" t="n">
        <v>3</v>
      </c>
      <c r="AM620" t="n">
        <v>3</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HYPERLINK("https://creighton-primo.hosted.exlibrisgroup.com/primo-explore/search?tab=default_tab&amp;search_scope=EVERYTHING&amp;vid=01CRU&amp;lang=en_US&amp;offset=0&amp;query=any,contains,991001594919702656","Catalog Record")</f>
        <v/>
      </c>
      <c r="AT620">
        <f>HYPERLINK("http://www.worldcat.org/oclc/21318683","WorldCat Record")</f>
        <v/>
      </c>
      <c r="AU620" t="inlineStr">
        <is>
          <t>836885184:eng</t>
        </is>
      </c>
      <c r="AV620" t="inlineStr">
        <is>
          <t>21318683</t>
        </is>
      </c>
      <c r="AW620" t="inlineStr">
        <is>
          <t>991001594919702656</t>
        </is>
      </c>
      <c r="AX620" t="inlineStr">
        <is>
          <t>991001594919702656</t>
        </is>
      </c>
      <c r="AY620" t="inlineStr">
        <is>
          <t>2267638810002656</t>
        </is>
      </c>
      <c r="AZ620" t="inlineStr">
        <is>
          <t>BOOK</t>
        </is>
      </c>
      <c r="BB620" t="inlineStr">
        <is>
          <t>9780500251072</t>
        </is>
      </c>
      <c r="BC620" t="inlineStr">
        <is>
          <t>32285000862366</t>
        </is>
      </c>
      <c r="BD620" t="inlineStr">
        <is>
          <t>893225939</t>
        </is>
      </c>
    </row>
    <row r="621">
      <c r="A621" t="inlineStr">
        <is>
          <t>No</t>
        </is>
      </c>
      <c r="B621" t="inlineStr">
        <is>
          <t>DE71 .H3 1974</t>
        </is>
      </c>
      <c r="C621" t="inlineStr">
        <is>
          <t>0                      DE 0071000H  3           1974</t>
        </is>
      </c>
      <c r="D621" t="inlineStr">
        <is>
          <t>The stranger at the gate; aspects of exclusiveness and co-operation in ancient Greece and Rome, with some reference to modern times [by] T. J. Haarhoff.</t>
        </is>
      </c>
      <c r="F621" t="inlineStr">
        <is>
          <t>No</t>
        </is>
      </c>
      <c r="G621" t="inlineStr">
        <is>
          <t>1</t>
        </is>
      </c>
      <c r="H621" t="inlineStr">
        <is>
          <t>No</t>
        </is>
      </c>
      <c r="I621" t="inlineStr">
        <is>
          <t>No</t>
        </is>
      </c>
      <c r="J621" t="inlineStr">
        <is>
          <t>0</t>
        </is>
      </c>
      <c r="K621" t="inlineStr">
        <is>
          <t>Haarhoff, T. J. (Theodore Johannes), 1892-1971.</t>
        </is>
      </c>
      <c r="L621" t="inlineStr">
        <is>
          <t>Westport, Conn., Greenwood Press [1974]</t>
        </is>
      </c>
      <c r="M621" t="inlineStr">
        <is>
          <t>1974</t>
        </is>
      </c>
      <c r="O621" t="inlineStr">
        <is>
          <t>eng</t>
        </is>
      </c>
      <c r="P621" t="inlineStr">
        <is>
          <t>ctu</t>
        </is>
      </c>
      <c r="R621" t="inlineStr">
        <is>
          <t xml:space="preserve">DE </t>
        </is>
      </c>
      <c r="S621" t="n">
        <v>1</v>
      </c>
      <c r="T621" t="n">
        <v>1</v>
      </c>
      <c r="U621" t="inlineStr">
        <is>
          <t>2003-11-12</t>
        </is>
      </c>
      <c r="V621" t="inlineStr">
        <is>
          <t>2003-11-12</t>
        </is>
      </c>
      <c r="W621" t="inlineStr">
        <is>
          <t>1997-01-28</t>
        </is>
      </c>
      <c r="X621" t="inlineStr">
        <is>
          <t>1997-01-28</t>
        </is>
      </c>
      <c r="Y621" t="n">
        <v>84</v>
      </c>
      <c r="Z621" t="n">
        <v>78</v>
      </c>
      <c r="AA621" t="n">
        <v>260</v>
      </c>
      <c r="AB621" t="n">
        <v>1</v>
      </c>
      <c r="AC621" t="n">
        <v>1</v>
      </c>
      <c r="AD621" t="n">
        <v>3</v>
      </c>
      <c r="AE621" t="n">
        <v>16</v>
      </c>
      <c r="AF621" t="n">
        <v>2</v>
      </c>
      <c r="AG621" t="n">
        <v>6</v>
      </c>
      <c r="AH621" t="n">
        <v>1</v>
      </c>
      <c r="AI621" t="n">
        <v>5</v>
      </c>
      <c r="AJ621" t="n">
        <v>2</v>
      </c>
      <c r="AK621" t="n">
        <v>11</v>
      </c>
      <c r="AL621" t="n">
        <v>0</v>
      </c>
      <c r="AM621" t="n">
        <v>0</v>
      </c>
      <c r="AN621" t="n">
        <v>0</v>
      </c>
      <c r="AO621" t="n">
        <v>0</v>
      </c>
      <c r="AP621" t="inlineStr">
        <is>
          <t>No</t>
        </is>
      </c>
      <c r="AQ621" t="inlineStr">
        <is>
          <t>Yes</t>
        </is>
      </c>
      <c r="AR621">
        <f>HYPERLINK("http://catalog.hathitrust.org/Record/004407831","HathiTrust Record")</f>
        <v/>
      </c>
      <c r="AS621">
        <f>HYPERLINK("https://creighton-primo.hosted.exlibrisgroup.com/primo-explore/search?tab=default_tab&amp;search_scope=EVERYTHING&amp;vid=01CRU&amp;lang=en_US&amp;offset=0&amp;query=any,contains,991003434819702656","Catalog Record")</f>
        <v/>
      </c>
      <c r="AT621">
        <f>HYPERLINK("http://www.worldcat.org/oclc/969713","WorldCat Record")</f>
        <v/>
      </c>
      <c r="AU621" t="inlineStr">
        <is>
          <t>1926626:eng</t>
        </is>
      </c>
      <c r="AV621" t="inlineStr">
        <is>
          <t>969713</t>
        </is>
      </c>
      <c r="AW621" t="inlineStr">
        <is>
          <t>991003434819702656</t>
        </is>
      </c>
      <c r="AX621" t="inlineStr">
        <is>
          <t>991003434819702656</t>
        </is>
      </c>
      <c r="AY621" t="inlineStr">
        <is>
          <t>2260838970002656</t>
        </is>
      </c>
      <c r="AZ621" t="inlineStr">
        <is>
          <t>BOOK</t>
        </is>
      </c>
      <c r="BB621" t="inlineStr">
        <is>
          <t>9780837176697</t>
        </is>
      </c>
      <c r="BC621" t="inlineStr">
        <is>
          <t>32285002416807</t>
        </is>
      </c>
      <c r="BD621" t="inlineStr">
        <is>
          <t>893899972</t>
        </is>
      </c>
    </row>
    <row r="622">
      <c r="A622" t="inlineStr">
        <is>
          <t>No</t>
        </is>
      </c>
      <c r="B622" t="inlineStr">
        <is>
          <t>DE71 .R35</t>
        </is>
      </c>
      <c r="C622" t="inlineStr">
        <is>
          <t>0                      DE 0071000R  35</t>
        </is>
      </c>
      <c r="D622" t="inlineStr">
        <is>
          <t>Urbanitas: ancient sophistication and refinement, by Edwin S. Ramage.</t>
        </is>
      </c>
      <c r="F622" t="inlineStr">
        <is>
          <t>No</t>
        </is>
      </c>
      <c r="G622" t="inlineStr">
        <is>
          <t>1</t>
        </is>
      </c>
      <c r="H622" t="inlineStr">
        <is>
          <t>No</t>
        </is>
      </c>
      <c r="I622" t="inlineStr">
        <is>
          <t>No</t>
        </is>
      </c>
      <c r="J622" t="inlineStr">
        <is>
          <t>0</t>
        </is>
      </c>
      <c r="K622" t="inlineStr">
        <is>
          <t>Ramage, Edwin S., 1929-</t>
        </is>
      </c>
      <c r="L622" t="inlineStr">
        <is>
          <t>[Norman] Published by the University of Oklahoma Press for the University of Cincinnati [1973]</t>
        </is>
      </c>
      <c r="M622" t="inlineStr">
        <is>
          <t>1973</t>
        </is>
      </c>
      <c r="N622" t="inlineStr">
        <is>
          <t>[1st ed.]</t>
        </is>
      </c>
      <c r="O622" t="inlineStr">
        <is>
          <t>eng</t>
        </is>
      </c>
      <c r="P622" t="inlineStr">
        <is>
          <t>oku</t>
        </is>
      </c>
      <c r="Q622" t="inlineStr">
        <is>
          <t>University of Cincinnati classical studies, 3</t>
        </is>
      </c>
      <c r="R622" t="inlineStr">
        <is>
          <t xml:space="preserve">DE </t>
        </is>
      </c>
      <c r="S622" t="n">
        <v>4</v>
      </c>
      <c r="T622" t="n">
        <v>4</v>
      </c>
      <c r="U622" t="inlineStr">
        <is>
          <t>2000-02-16</t>
        </is>
      </c>
      <c r="V622" t="inlineStr">
        <is>
          <t>2000-02-16</t>
        </is>
      </c>
      <c r="W622" t="inlineStr">
        <is>
          <t>1997-01-28</t>
        </is>
      </c>
      <c r="X622" t="inlineStr">
        <is>
          <t>1997-01-28</t>
        </is>
      </c>
      <c r="Y622" t="n">
        <v>512</v>
      </c>
      <c r="Z622" t="n">
        <v>411</v>
      </c>
      <c r="AA622" t="n">
        <v>413</v>
      </c>
      <c r="AB622" t="n">
        <v>7</v>
      </c>
      <c r="AC622" t="n">
        <v>7</v>
      </c>
      <c r="AD622" t="n">
        <v>23</v>
      </c>
      <c r="AE622" t="n">
        <v>23</v>
      </c>
      <c r="AF622" t="n">
        <v>2</v>
      </c>
      <c r="AG622" t="n">
        <v>2</v>
      </c>
      <c r="AH622" t="n">
        <v>6</v>
      </c>
      <c r="AI622" t="n">
        <v>6</v>
      </c>
      <c r="AJ622" t="n">
        <v>12</v>
      </c>
      <c r="AK622" t="n">
        <v>12</v>
      </c>
      <c r="AL622" t="n">
        <v>6</v>
      </c>
      <c r="AM622" t="n">
        <v>6</v>
      </c>
      <c r="AN622" t="n">
        <v>0</v>
      </c>
      <c r="AO622" t="n">
        <v>0</v>
      </c>
      <c r="AP622" t="inlineStr">
        <is>
          <t>No</t>
        </is>
      </c>
      <c r="AQ622" t="inlineStr">
        <is>
          <t>Yes</t>
        </is>
      </c>
      <c r="AR622">
        <f>HYPERLINK("http://catalog.hathitrust.org/Record/001640890","HathiTrust Record")</f>
        <v/>
      </c>
      <c r="AS622">
        <f>HYPERLINK("https://creighton-primo.hosted.exlibrisgroup.com/primo-explore/search?tab=default_tab&amp;search_scope=EVERYTHING&amp;vid=01CRU&amp;lang=en_US&amp;offset=0&amp;query=any,contains,991003026789702656","Catalog Record")</f>
        <v/>
      </c>
      <c r="AT622">
        <f>HYPERLINK("http://www.worldcat.org/oclc/590716","WorldCat Record")</f>
        <v/>
      </c>
      <c r="AU622" t="inlineStr">
        <is>
          <t>1777715:eng</t>
        </is>
      </c>
      <c r="AV622" t="inlineStr">
        <is>
          <t>590716</t>
        </is>
      </c>
      <c r="AW622" t="inlineStr">
        <is>
          <t>991003026789702656</t>
        </is>
      </c>
      <c r="AX622" t="inlineStr">
        <is>
          <t>991003026789702656</t>
        </is>
      </c>
      <c r="AY622" t="inlineStr">
        <is>
          <t>2265559750002656</t>
        </is>
      </c>
      <c r="AZ622" t="inlineStr">
        <is>
          <t>BOOK</t>
        </is>
      </c>
      <c r="BB622" t="inlineStr">
        <is>
          <t>9780806110639</t>
        </is>
      </c>
      <c r="BC622" t="inlineStr">
        <is>
          <t>32285002416815</t>
        </is>
      </c>
      <c r="BD622" t="inlineStr">
        <is>
          <t>893874344</t>
        </is>
      </c>
    </row>
    <row r="623">
      <c r="A623" t="inlineStr">
        <is>
          <t>No</t>
        </is>
      </c>
      <c r="B623" t="inlineStr">
        <is>
          <t>DE71 .T6</t>
        </is>
      </c>
      <c r="C623" t="inlineStr">
        <is>
          <t>0                      DE 0071000T  6</t>
        </is>
      </c>
      <c r="D623" t="inlineStr">
        <is>
          <t>Hellenism; the history of a civilization.</t>
        </is>
      </c>
      <c r="F623" t="inlineStr">
        <is>
          <t>No</t>
        </is>
      </c>
      <c r="G623" t="inlineStr">
        <is>
          <t>1</t>
        </is>
      </c>
      <c r="H623" t="inlineStr">
        <is>
          <t>No</t>
        </is>
      </c>
      <c r="I623" t="inlineStr">
        <is>
          <t>No</t>
        </is>
      </c>
      <c r="J623" t="inlineStr">
        <is>
          <t>0</t>
        </is>
      </c>
      <c r="K623" t="inlineStr">
        <is>
          <t>Toynbee, Arnold, 1889-1975.</t>
        </is>
      </c>
      <c r="L623" t="inlineStr">
        <is>
          <t>New York, Oxford University Press, 1959.</t>
        </is>
      </c>
      <c r="M623" t="inlineStr">
        <is>
          <t>1959</t>
        </is>
      </c>
      <c r="O623" t="inlineStr">
        <is>
          <t>eng</t>
        </is>
      </c>
      <c r="P623" t="inlineStr">
        <is>
          <t>nyu</t>
        </is>
      </c>
      <c r="R623" t="inlineStr">
        <is>
          <t xml:space="preserve">DE </t>
        </is>
      </c>
      <c r="S623" t="n">
        <v>8</v>
      </c>
      <c r="T623" t="n">
        <v>8</v>
      </c>
      <c r="U623" t="inlineStr">
        <is>
          <t>2000-02-08</t>
        </is>
      </c>
      <c r="V623" t="inlineStr">
        <is>
          <t>2000-02-08</t>
        </is>
      </c>
      <c r="W623" t="inlineStr">
        <is>
          <t>1997-01-28</t>
        </is>
      </c>
      <c r="X623" t="inlineStr">
        <is>
          <t>1997-01-28</t>
        </is>
      </c>
      <c r="Y623" t="n">
        <v>1147</v>
      </c>
      <c r="Z623" t="n">
        <v>1083</v>
      </c>
      <c r="AA623" t="n">
        <v>1176</v>
      </c>
      <c r="AB623" t="n">
        <v>4</v>
      </c>
      <c r="AC623" t="n">
        <v>4</v>
      </c>
      <c r="AD623" t="n">
        <v>40</v>
      </c>
      <c r="AE623" t="n">
        <v>44</v>
      </c>
      <c r="AF623" t="n">
        <v>15</v>
      </c>
      <c r="AG623" t="n">
        <v>18</v>
      </c>
      <c r="AH623" t="n">
        <v>9</v>
      </c>
      <c r="AI623" t="n">
        <v>11</v>
      </c>
      <c r="AJ623" t="n">
        <v>22</v>
      </c>
      <c r="AK623" t="n">
        <v>23</v>
      </c>
      <c r="AL623" t="n">
        <v>3</v>
      </c>
      <c r="AM623" t="n">
        <v>3</v>
      </c>
      <c r="AN623" t="n">
        <v>0</v>
      </c>
      <c r="AO623" t="n">
        <v>0</v>
      </c>
      <c r="AP623" t="inlineStr">
        <is>
          <t>No</t>
        </is>
      </c>
      <c r="AQ623" t="inlineStr">
        <is>
          <t>No</t>
        </is>
      </c>
      <c r="AR623">
        <f>HYPERLINK("http://catalog.hathitrust.org/Record/000572335","HathiTrust Record")</f>
        <v/>
      </c>
      <c r="AS623">
        <f>HYPERLINK("https://creighton-primo.hosted.exlibrisgroup.com/primo-explore/search?tab=default_tab&amp;search_scope=EVERYTHING&amp;vid=01CRU&amp;lang=en_US&amp;offset=0&amp;query=any,contains,991002691789702656","Catalog Record")</f>
        <v/>
      </c>
      <c r="AT623">
        <f>HYPERLINK("http://www.worldcat.org/oclc/401876","WorldCat Record")</f>
        <v/>
      </c>
      <c r="AU623" t="inlineStr">
        <is>
          <t>795241339:eng</t>
        </is>
      </c>
      <c r="AV623" t="inlineStr">
        <is>
          <t>401876</t>
        </is>
      </c>
      <c r="AW623" t="inlineStr">
        <is>
          <t>991002691789702656</t>
        </is>
      </c>
      <c r="AX623" t="inlineStr">
        <is>
          <t>991002691789702656</t>
        </is>
      </c>
      <c r="AY623" t="inlineStr">
        <is>
          <t>2268204600002656</t>
        </is>
      </c>
      <c r="AZ623" t="inlineStr">
        <is>
          <t>BOOK</t>
        </is>
      </c>
      <c r="BC623" t="inlineStr">
        <is>
          <t>32285002416831</t>
        </is>
      </c>
      <c r="BD623" t="inlineStr">
        <is>
          <t>893616437</t>
        </is>
      </c>
    </row>
    <row r="624">
      <c r="A624" t="inlineStr">
        <is>
          <t>No</t>
        </is>
      </c>
      <c r="B624" t="inlineStr">
        <is>
          <t>DE8 .A54 1997</t>
        </is>
      </c>
      <c r="C624" t="inlineStr">
        <is>
          <t>0                      DE 0008000A  54          1997</t>
        </is>
      </c>
      <c r="D624" t="inlineStr">
        <is>
          <t>Ancient history : recent work and new directions / Stanley M. Burstein ... [et al.] ; directed by Carol G. Thomas.</t>
        </is>
      </c>
      <c r="F624" t="inlineStr">
        <is>
          <t>No</t>
        </is>
      </c>
      <c r="G624" t="inlineStr">
        <is>
          <t>1</t>
        </is>
      </c>
      <c r="H624" t="inlineStr">
        <is>
          <t>No</t>
        </is>
      </c>
      <c r="I624" t="inlineStr">
        <is>
          <t>No</t>
        </is>
      </c>
      <c r="J624" t="inlineStr">
        <is>
          <t>0</t>
        </is>
      </c>
      <c r="L624" t="inlineStr">
        <is>
          <t>Claremont, CA : Regina Books, c1997.</t>
        </is>
      </c>
      <c r="M624" t="inlineStr">
        <is>
          <t>1997</t>
        </is>
      </c>
      <c r="O624" t="inlineStr">
        <is>
          <t>eng</t>
        </is>
      </c>
      <c r="P624" t="inlineStr">
        <is>
          <t>cau</t>
        </is>
      </c>
      <c r="Q624" t="inlineStr">
        <is>
          <t>Publications of the Association of Ancient Historians ; 5</t>
        </is>
      </c>
      <c r="R624" t="inlineStr">
        <is>
          <t xml:space="preserve">DE </t>
        </is>
      </c>
      <c r="S624" t="n">
        <v>2</v>
      </c>
      <c r="T624" t="n">
        <v>2</v>
      </c>
      <c r="U624" t="inlineStr">
        <is>
          <t>2003-09-11</t>
        </is>
      </c>
      <c r="V624" t="inlineStr">
        <is>
          <t>2003-09-11</t>
        </is>
      </c>
      <c r="W624" t="inlineStr">
        <is>
          <t>2000-09-27</t>
        </is>
      </c>
      <c r="X624" t="inlineStr">
        <is>
          <t>2000-09-27</t>
        </is>
      </c>
      <c r="Y624" t="n">
        <v>203</v>
      </c>
      <c r="Z624" t="n">
        <v>147</v>
      </c>
      <c r="AA624" t="n">
        <v>149</v>
      </c>
      <c r="AB624" t="n">
        <v>1</v>
      </c>
      <c r="AC624" t="n">
        <v>1</v>
      </c>
      <c r="AD624" t="n">
        <v>10</v>
      </c>
      <c r="AE624" t="n">
        <v>10</v>
      </c>
      <c r="AF624" t="n">
        <v>2</v>
      </c>
      <c r="AG624" t="n">
        <v>2</v>
      </c>
      <c r="AH624" t="n">
        <v>6</v>
      </c>
      <c r="AI624" t="n">
        <v>6</v>
      </c>
      <c r="AJ624" t="n">
        <v>6</v>
      </c>
      <c r="AK624" t="n">
        <v>6</v>
      </c>
      <c r="AL624" t="n">
        <v>0</v>
      </c>
      <c r="AM624" t="n">
        <v>0</v>
      </c>
      <c r="AN624" t="n">
        <v>0</v>
      </c>
      <c r="AO624" t="n">
        <v>0</v>
      </c>
      <c r="AP624" t="inlineStr">
        <is>
          <t>No</t>
        </is>
      </c>
      <c r="AQ624" t="inlineStr">
        <is>
          <t>Yes</t>
        </is>
      </c>
      <c r="AR624">
        <f>HYPERLINK("http://catalog.hathitrust.org/Record/003998416","HathiTrust Record")</f>
        <v/>
      </c>
      <c r="AS624">
        <f>HYPERLINK("https://creighton-primo.hosted.exlibrisgroup.com/primo-explore/search?tab=default_tab&amp;search_scope=EVERYTHING&amp;vid=01CRU&amp;lang=en_US&amp;offset=0&amp;query=any,contains,991003257049702656","Catalog Record")</f>
        <v/>
      </c>
      <c r="AT624">
        <f>HYPERLINK("http://www.worldcat.org/oclc/37663216","WorldCat Record")</f>
        <v/>
      </c>
      <c r="AU624" t="inlineStr">
        <is>
          <t>891253071:eng</t>
        </is>
      </c>
      <c r="AV624" t="inlineStr">
        <is>
          <t>37663216</t>
        </is>
      </c>
      <c r="AW624" t="inlineStr">
        <is>
          <t>991003257049702656</t>
        </is>
      </c>
      <c r="AX624" t="inlineStr">
        <is>
          <t>991003257049702656</t>
        </is>
      </c>
      <c r="AY624" t="inlineStr">
        <is>
          <t>2269181850002656</t>
        </is>
      </c>
      <c r="AZ624" t="inlineStr">
        <is>
          <t>BOOK</t>
        </is>
      </c>
      <c r="BB624" t="inlineStr">
        <is>
          <t>9780941690782</t>
        </is>
      </c>
      <c r="BC624" t="inlineStr">
        <is>
          <t>32285003765319</t>
        </is>
      </c>
      <c r="BD624" t="inlineStr">
        <is>
          <t>893240022</t>
        </is>
      </c>
    </row>
    <row r="625">
      <c r="A625" t="inlineStr">
        <is>
          <t>No</t>
        </is>
      </c>
      <c r="B625" t="inlineStr">
        <is>
          <t>DE8 .C53</t>
        </is>
      </c>
      <c r="C625" t="inlineStr">
        <is>
          <t>0                      DE 0008000C  53</t>
        </is>
      </c>
      <c r="D625" t="inlineStr">
        <is>
          <t>The Classical world bibliography of Greek and Roman history / with a new introd. by Walter Donlan.</t>
        </is>
      </c>
      <c r="F625" t="inlineStr">
        <is>
          <t>No</t>
        </is>
      </c>
      <c r="G625" t="inlineStr">
        <is>
          <t>1</t>
        </is>
      </c>
      <c r="H625" t="inlineStr">
        <is>
          <t>No</t>
        </is>
      </c>
      <c r="I625" t="inlineStr">
        <is>
          <t>No</t>
        </is>
      </c>
      <c r="J625" t="inlineStr">
        <is>
          <t>0</t>
        </is>
      </c>
      <c r="L625" t="inlineStr">
        <is>
          <t>New York : Garland Pub., 1978.</t>
        </is>
      </c>
      <c r="M625" t="inlineStr">
        <is>
          <t>1978</t>
        </is>
      </c>
      <c r="O625" t="inlineStr">
        <is>
          <t>eng</t>
        </is>
      </c>
      <c r="P625" t="inlineStr">
        <is>
          <t>nyu</t>
        </is>
      </c>
      <c r="Q625" t="inlineStr">
        <is>
          <t>Garland reference library of the humanities ; v. 94</t>
        </is>
      </c>
      <c r="R625" t="inlineStr">
        <is>
          <t xml:space="preserve">DE </t>
        </is>
      </c>
      <c r="S625" t="n">
        <v>3</v>
      </c>
      <c r="T625" t="n">
        <v>3</v>
      </c>
      <c r="U625" t="inlineStr">
        <is>
          <t>2003-09-03</t>
        </is>
      </c>
      <c r="V625" t="inlineStr">
        <is>
          <t>2003-09-03</t>
        </is>
      </c>
      <c r="W625" t="inlineStr">
        <is>
          <t>1991-02-11</t>
        </is>
      </c>
      <c r="X625" t="inlineStr">
        <is>
          <t>1991-02-11</t>
        </is>
      </c>
      <c r="Y625" t="n">
        <v>230</v>
      </c>
      <c r="Z625" t="n">
        <v>165</v>
      </c>
      <c r="AA625" t="n">
        <v>172</v>
      </c>
      <c r="AB625" t="n">
        <v>3</v>
      </c>
      <c r="AC625" t="n">
        <v>3</v>
      </c>
      <c r="AD625" t="n">
        <v>9</v>
      </c>
      <c r="AE625" t="n">
        <v>9</v>
      </c>
      <c r="AF625" t="n">
        <v>2</v>
      </c>
      <c r="AG625" t="n">
        <v>2</v>
      </c>
      <c r="AH625" t="n">
        <v>1</v>
      </c>
      <c r="AI625" t="n">
        <v>1</v>
      </c>
      <c r="AJ625" t="n">
        <v>6</v>
      </c>
      <c r="AK625" t="n">
        <v>6</v>
      </c>
      <c r="AL625" t="n">
        <v>2</v>
      </c>
      <c r="AM625" t="n">
        <v>2</v>
      </c>
      <c r="AN625" t="n">
        <v>0</v>
      </c>
      <c r="AO625" t="n">
        <v>0</v>
      </c>
      <c r="AP625" t="inlineStr">
        <is>
          <t>No</t>
        </is>
      </c>
      <c r="AQ625" t="inlineStr">
        <is>
          <t>Yes</t>
        </is>
      </c>
      <c r="AR625">
        <f>HYPERLINK("http://catalog.hathitrust.org/Record/000744346","HathiTrust Record")</f>
        <v/>
      </c>
      <c r="AS625">
        <f>HYPERLINK("https://creighton-primo.hosted.exlibrisgroup.com/primo-explore/search?tab=default_tab&amp;search_scope=EVERYTHING&amp;vid=01CRU&amp;lang=en_US&amp;offset=0&amp;query=any,contains,991004381389702656","Catalog Record")</f>
        <v/>
      </c>
      <c r="AT625">
        <f>HYPERLINK("http://www.worldcat.org/oclc/3223437","WorldCat Record")</f>
        <v/>
      </c>
      <c r="AU625" t="inlineStr">
        <is>
          <t>8908677247:eng</t>
        </is>
      </c>
      <c r="AV625" t="inlineStr">
        <is>
          <t>3223437</t>
        </is>
      </c>
      <c r="AW625" t="inlineStr">
        <is>
          <t>991004381389702656</t>
        </is>
      </c>
      <c r="AX625" t="inlineStr">
        <is>
          <t>991004381389702656</t>
        </is>
      </c>
      <c r="AY625" t="inlineStr">
        <is>
          <t>2259246210002656</t>
        </is>
      </c>
      <c r="AZ625" t="inlineStr">
        <is>
          <t>BOOK</t>
        </is>
      </c>
      <c r="BB625" t="inlineStr">
        <is>
          <t>9780824098797</t>
        </is>
      </c>
      <c r="BC625" t="inlineStr">
        <is>
          <t>32285000458165</t>
        </is>
      </c>
      <c r="BD625" t="inlineStr">
        <is>
          <t>893436220</t>
        </is>
      </c>
    </row>
    <row r="626">
      <c r="A626" t="inlineStr">
        <is>
          <t>No</t>
        </is>
      </c>
      <c r="B626" t="inlineStr">
        <is>
          <t>DE8 .C65 2007</t>
        </is>
      </c>
      <c r="C626" t="inlineStr">
        <is>
          <t>0                      DE 0008000C  65          2007</t>
        </is>
      </c>
      <c r="D626" t="inlineStr">
        <is>
          <t>A companion to Greek and Roman historiography / edited by John Marincola.</t>
        </is>
      </c>
      <c r="E626" t="inlineStr">
        <is>
          <t>V. 2</t>
        </is>
      </c>
      <c r="F626" t="inlineStr">
        <is>
          <t>Yes</t>
        </is>
      </c>
      <c r="G626" t="inlineStr">
        <is>
          <t>1</t>
        </is>
      </c>
      <c r="H626" t="inlineStr">
        <is>
          <t>No</t>
        </is>
      </c>
      <c r="I626" t="inlineStr">
        <is>
          <t>No</t>
        </is>
      </c>
      <c r="J626" t="inlineStr">
        <is>
          <t>0</t>
        </is>
      </c>
      <c r="L626" t="inlineStr">
        <is>
          <t>Malden, MA ; Oxford : Blackwell Pub., 2007.</t>
        </is>
      </c>
      <c r="M626" t="inlineStr">
        <is>
          <t>2007</t>
        </is>
      </c>
      <c r="O626" t="inlineStr">
        <is>
          <t>eng</t>
        </is>
      </c>
      <c r="P626" t="inlineStr">
        <is>
          <t>mau</t>
        </is>
      </c>
      <c r="Q626" t="inlineStr">
        <is>
          <t>Blackwell companions to the ancient world. Literature and culture</t>
        </is>
      </c>
      <c r="R626" t="inlineStr">
        <is>
          <t xml:space="preserve">DE </t>
        </is>
      </c>
      <c r="S626" t="n">
        <v>2</v>
      </c>
      <c r="T626" t="n">
        <v>3</v>
      </c>
      <c r="U626" t="inlineStr">
        <is>
          <t>2008-08-14</t>
        </is>
      </c>
      <c r="V626" t="inlineStr">
        <is>
          <t>2008-08-14</t>
        </is>
      </c>
      <c r="W626" t="inlineStr">
        <is>
          <t>2008-02-21</t>
        </is>
      </c>
      <c r="X626" t="inlineStr">
        <is>
          <t>2008-02-21</t>
        </is>
      </c>
      <c r="Y626" t="n">
        <v>365</v>
      </c>
      <c r="Z626" t="n">
        <v>273</v>
      </c>
      <c r="AA626" t="n">
        <v>664</v>
      </c>
      <c r="AB626" t="n">
        <v>2</v>
      </c>
      <c r="AC626" t="n">
        <v>7</v>
      </c>
      <c r="AD626" t="n">
        <v>19</v>
      </c>
      <c r="AE626" t="n">
        <v>39</v>
      </c>
      <c r="AF626" t="n">
        <v>11</v>
      </c>
      <c r="AG626" t="n">
        <v>15</v>
      </c>
      <c r="AH626" t="n">
        <v>2</v>
      </c>
      <c r="AI626" t="n">
        <v>9</v>
      </c>
      <c r="AJ626" t="n">
        <v>9</v>
      </c>
      <c r="AK626" t="n">
        <v>16</v>
      </c>
      <c r="AL626" t="n">
        <v>1</v>
      </c>
      <c r="AM626" t="n">
        <v>6</v>
      </c>
      <c r="AN626" t="n">
        <v>0</v>
      </c>
      <c r="AO626" t="n">
        <v>1</v>
      </c>
      <c r="AP626" t="inlineStr">
        <is>
          <t>No</t>
        </is>
      </c>
      <c r="AQ626" t="inlineStr">
        <is>
          <t>No</t>
        </is>
      </c>
      <c r="AS626">
        <f>HYPERLINK("https://creighton-primo.hosted.exlibrisgroup.com/primo-explore/search?tab=default_tab&amp;search_scope=EVERYTHING&amp;vid=01CRU&amp;lang=en_US&amp;offset=0&amp;query=any,contains,991005185089702656","Catalog Record")</f>
        <v/>
      </c>
      <c r="AT626">
        <f>HYPERLINK("http://www.worldcat.org/oclc/71842795","WorldCat Record")</f>
        <v/>
      </c>
      <c r="AU626" t="inlineStr">
        <is>
          <t>1100309534:eng</t>
        </is>
      </c>
      <c r="AV626" t="inlineStr">
        <is>
          <t>71842795</t>
        </is>
      </c>
      <c r="AW626" t="inlineStr">
        <is>
          <t>991005185089702656</t>
        </is>
      </c>
      <c r="AX626" t="inlineStr">
        <is>
          <t>991005185089702656</t>
        </is>
      </c>
      <c r="AY626" t="inlineStr">
        <is>
          <t>2257214920002656</t>
        </is>
      </c>
      <c r="AZ626" t="inlineStr">
        <is>
          <t>BOOK</t>
        </is>
      </c>
      <c r="BB626" t="inlineStr">
        <is>
          <t>9781405102162</t>
        </is>
      </c>
      <c r="BC626" t="inlineStr">
        <is>
          <t>32285005393466</t>
        </is>
      </c>
      <c r="BD626" t="inlineStr">
        <is>
          <t>893783160</t>
        </is>
      </c>
    </row>
    <row r="627">
      <c r="A627" t="inlineStr">
        <is>
          <t>No</t>
        </is>
      </c>
      <c r="B627" t="inlineStr">
        <is>
          <t>DE8 .C65 2007</t>
        </is>
      </c>
      <c r="C627" t="inlineStr">
        <is>
          <t>0                      DE 0008000C  65          2007</t>
        </is>
      </c>
      <c r="D627" t="inlineStr">
        <is>
          <t>A companion to Greek and Roman historiography / edited by John Marincola.</t>
        </is>
      </c>
      <c r="E627" t="inlineStr">
        <is>
          <t>V. 1</t>
        </is>
      </c>
      <c r="F627" t="inlineStr">
        <is>
          <t>Yes</t>
        </is>
      </c>
      <c r="G627" t="inlineStr">
        <is>
          <t>1</t>
        </is>
      </c>
      <c r="H627" t="inlineStr">
        <is>
          <t>No</t>
        </is>
      </c>
      <c r="I627" t="inlineStr">
        <is>
          <t>No</t>
        </is>
      </c>
      <c r="J627" t="inlineStr">
        <is>
          <t>0</t>
        </is>
      </c>
      <c r="L627" t="inlineStr">
        <is>
          <t>Malden, MA ; Oxford : Blackwell Pub., 2007.</t>
        </is>
      </c>
      <c r="M627" t="inlineStr">
        <is>
          <t>2007</t>
        </is>
      </c>
      <c r="O627" t="inlineStr">
        <is>
          <t>eng</t>
        </is>
      </c>
      <c r="P627" t="inlineStr">
        <is>
          <t>mau</t>
        </is>
      </c>
      <c r="Q627" t="inlineStr">
        <is>
          <t>Blackwell companions to the ancient world. Literature and culture</t>
        </is>
      </c>
      <c r="R627" t="inlineStr">
        <is>
          <t xml:space="preserve">DE </t>
        </is>
      </c>
      <c r="S627" t="n">
        <v>1</v>
      </c>
      <c r="T627" t="n">
        <v>3</v>
      </c>
      <c r="U627" t="inlineStr">
        <is>
          <t>2008-08-14</t>
        </is>
      </c>
      <c r="V627" t="inlineStr">
        <is>
          <t>2008-08-14</t>
        </is>
      </c>
      <c r="W627" t="inlineStr">
        <is>
          <t>2008-02-21</t>
        </is>
      </c>
      <c r="X627" t="inlineStr">
        <is>
          <t>2008-02-21</t>
        </is>
      </c>
      <c r="Y627" t="n">
        <v>365</v>
      </c>
      <c r="Z627" t="n">
        <v>273</v>
      </c>
      <c r="AA627" t="n">
        <v>664</v>
      </c>
      <c r="AB627" t="n">
        <v>2</v>
      </c>
      <c r="AC627" t="n">
        <v>7</v>
      </c>
      <c r="AD627" t="n">
        <v>19</v>
      </c>
      <c r="AE627" t="n">
        <v>39</v>
      </c>
      <c r="AF627" t="n">
        <v>11</v>
      </c>
      <c r="AG627" t="n">
        <v>15</v>
      </c>
      <c r="AH627" t="n">
        <v>2</v>
      </c>
      <c r="AI627" t="n">
        <v>9</v>
      </c>
      <c r="AJ627" t="n">
        <v>9</v>
      </c>
      <c r="AK627" t="n">
        <v>16</v>
      </c>
      <c r="AL627" t="n">
        <v>1</v>
      </c>
      <c r="AM627" t="n">
        <v>6</v>
      </c>
      <c r="AN627" t="n">
        <v>0</v>
      </c>
      <c r="AO627" t="n">
        <v>1</v>
      </c>
      <c r="AP627" t="inlineStr">
        <is>
          <t>No</t>
        </is>
      </c>
      <c r="AQ627" t="inlineStr">
        <is>
          <t>No</t>
        </is>
      </c>
      <c r="AS627">
        <f>HYPERLINK("https://creighton-primo.hosted.exlibrisgroup.com/primo-explore/search?tab=default_tab&amp;search_scope=EVERYTHING&amp;vid=01CRU&amp;lang=en_US&amp;offset=0&amp;query=any,contains,991005185089702656","Catalog Record")</f>
        <v/>
      </c>
      <c r="AT627">
        <f>HYPERLINK("http://www.worldcat.org/oclc/71842795","WorldCat Record")</f>
        <v/>
      </c>
      <c r="AU627" t="inlineStr">
        <is>
          <t>1100309534:eng</t>
        </is>
      </c>
      <c r="AV627" t="inlineStr">
        <is>
          <t>71842795</t>
        </is>
      </c>
      <c r="AW627" t="inlineStr">
        <is>
          <t>991005185089702656</t>
        </is>
      </c>
      <c r="AX627" t="inlineStr">
        <is>
          <t>991005185089702656</t>
        </is>
      </c>
      <c r="AY627" t="inlineStr">
        <is>
          <t>2257214920002656</t>
        </is>
      </c>
      <c r="AZ627" t="inlineStr">
        <is>
          <t>BOOK</t>
        </is>
      </c>
      <c r="BB627" t="inlineStr">
        <is>
          <t>9781405102162</t>
        </is>
      </c>
      <c r="BC627" t="inlineStr">
        <is>
          <t>32285005393458</t>
        </is>
      </c>
      <c r="BD627" t="inlineStr">
        <is>
          <t>893801878</t>
        </is>
      </c>
    </row>
    <row r="628">
      <c r="A628" t="inlineStr">
        <is>
          <t>No</t>
        </is>
      </c>
      <c r="B628" t="inlineStr">
        <is>
          <t>DE8 .G7</t>
        </is>
      </c>
      <c r="C628" t="inlineStr">
        <is>
          <t>0                      DE 0008000G  7</t>
        </is>
      </c>
      <c r="D628" t="inlineStr">
        <is>
          <t>The ancient historians.</t>
        </is>
      </c>
      <c r="F628" t="inlineStr">
        <is>
          <t>No</t>
        </is>
      </c>
      <c r="G628" t="inlineStr">
        <is>
          <t>1</t>
        </is>
      </c>
      <c r="H628" t="inlineStr">
        <is>
          <t>No</t>
        </is>
      </c>
      <c r="I628" t="inlineStr">
        <is>
          <t>No</t>
        </is>
      </c>
      <c r="J628" t="inlineStr">
        <is>
          <t>0</t>
        </is>
      </c>
      <c r="K628" t="inlineStr">
        <is>
          <t>Grant, Michael, 1914-2004.</t>
        </is>
      </c>
      <c r="L628" t="inlineStr">
        <is>
          <t>New York, Scribner [1970]</t>
        </is>
      </c>
      <c r="M628" t="inlineStr">
        <is>
          <t>1970</t>
        </is>
      </c>
      <c r="O628" t="inlineStr">
        <is>
          <t>eng</t>
        </is>
      </c>
      <c r="P628" t="inlineStr">
        <is>
          <t>nyu</t>
        </is>
      </c>
      <c r="R628" t="inlineStr">
        <is>
          <t xml:space="preserve">DE </t>
        </is>
      </c>
      <c r="S628" t="n">
        <v>4</v>
      </c>
      <c r="T628" t="n">
        <v>4</v>
      </c>
      <c r="U628" t="inlineStr">
        <is>
          <t>2003-09-08</t>
        </is>
      </c>
      <c r="V628" t="inlineStr">
        <is>
          <t>2003-09-08</t>
        </is>
      </c>
      <c r="W628" t="inlineStr">
        <is>
          <t>1997-01-28</t>
        </is>
      </c>
      <c r="X628" t="inlineStr">
        <is>
          <t>1997-01-28</t>
        </is>
      </c>
      <c r="Y628" t="n">
        <v>1029</v>
      </c>
      <c r="Z628" t="n">
        <v>961</v>
      </c>
      <c r="AA628" t="n">
        <v>1189</v>
      </c>
      <c r="AB628" t="n">
        <v>8</v>
      </c>
      <c r="AC628" t="n">
        <v>10</v>
      </c>
      <c r="AD628" t="n">
        <v>42</v>
      </c>
      <c r="AE628" t="n">
        <v>49</v>
      </c>
      <c r="AF628" t="n">
        <v>17</v>
      </c>
      <c r="AG628" t="n">
        <v>20</v>
      </c>
      <c r="AH628" t="n">
        <v>9</v>
      </c>
      <c r="AI628" t="n">
        <v>11</v>
      </c>
      <c r="AJ628" t="n">
        <v>21</v>
      </c>
      <c r="AK628" t="n">
        <v>25</v>
      </c>
      <c r="AL628" t="n">
        <v>5</v>
      </c>
      <c r="AM628" t="n">
        <v>6</v>
      </c>
      <c r="AN628" t="n">
        <v>0</v>
      </c>
      <c r="AO628" t="n">
        <v>0</v>
      </c>
      <c r="AP628" t="inlineStr">
        <is>
          <t>No</t>
        </is>
      </c>
      <c r="AQ628" t="inlineStr">
        <is>
          <t>Yes</t>
        </is>
      </c>
      <c r="AR628">
        <f>HYPERLINK("http://catalog.hathitrust.org/Record/000572867","HathiTrust Record")</f>
        <v/>
      </c>
      <c r="AS628">
        <f>HYPERLINK("https://creighton-primo.hosted.exlibrisgroup.com/primo-explore/search?tab=default_tab&amp;search_scope=EVERYTHING&amp;vid=01CRU&amp;lang=en_US&amp;offset=0&amp;query=any,contains,991000606839702656","Catalog Record")</f>
        <v/>
      </c>
      <c r="AT628">
        <f>HYPERLINK("http://www.worldcat.org/oclc/99387","WorldCat Record")</f>
        <v/>
      </c>
      <c r="AU628" t="inlineStr">
        <is>
          <t>115522402:eng</t>
        </is>
      </c>
      <c r="AV628" t="inlineStr">
        <is>
          <t>99387</t>
        </is>
      </c>
      <c r="AW628" t="inlineStr">
        <is>
          <t>991000606839702656</t>
        </is>
      </c>
      <c r="AX628" t="inlineStr">
        <is>
          <t>991000606839702656</t>
        </is>
      </c>
      <c r="AY628" t="inlineStr">
        <is>
          <t>2269020260002656</t>
        </is>
      </c>
      <c r="AZ628" t="inlineStr">
        <is>
          <t>BOOK</t>
        </is>
      </c>
      <c r="BC628" t="inlineStr">
        <is>
          <t>32285002416724</t>
        </is>
      </c>
      <c r="BD628" t="inlineStr">
        <is>
          <t>893897043</t>
        </is>
      </c>
    </row>
    <row r="629">
      <c r="A629" t="inlineStr">
        <is>
          <t>No</t>
        </is>
      </c>
      <c r="B629" t="inlineStr">
        <is>
          <t>DE8 .L45 1988</t>
        </is>
      </c>
      <c r="C629" t="inlineStr">
        <is>
          <t>0                      DE 0008000L  45          1988</t>
        </is>
      </c>
      <c r="D629" t="inlineStr">
        <is>
          <t>Marx on classical antiquity : problems of historical methodology / Padelis Lekas.</t>
        </is>
      </c>
      <c r="F629" t="inlineStr">
        <is>
          <t>No</t>
        </is>
      </c>
      <c r="G629" t="inlineStr">
        <is>
          <t>1</t>
        </is>
      </c>
      <c r="H629" t="inlineStr">
        <is>
          <t>No</t>
        </is>
      </c>
      <c r="I629" t="inlineStr">
        <is>
          <t>No</t>
        </is>
      </c>
      <c r="J629" t="inlineStr">
        <is>
          <t>0</t>
        </is>
      </c>
      <c r="K629" t="inlineStr">
        <is>
          <t>Lekas, Padelis.</t>
        </is>
      </c>
      <c r="L629" t="inlineStr">
        <is>
          <t>Brighton, [England] : Wheatsheaf Books ; New York : St. Martin's Press, 1988.</t>
        </is>
      </c>
      <c r="M629" t="inlineStr">
        <is>
          <t>1988</t>
        </is>
      </c>
      <c r="O629" t="inlineStr">
        <is>
          <t>eng</t>
        </is>
      </c>
      <c r="P629" t="inlineStr">
        <is>
          <t>enk</t>
        </is>
      </c>
      <c r="R629" t="inlineStr">
        <is>
          <t xml:space="preserve">DE </t>
        </is>
      </c>
      <c r="S629" t="n">
        <v>5</v>
      </c>
      <c r="T629" t="n">
        <v>5</v>
      </c>
      <c r="U629" t="inlineStr">
        <is>
          <t>1999-11-01</t>
        </is>
      </c>
      <c r="V629" t="inlineStr">
        <is>
          <t>1999-11-01</t>
        </is>
      </c>
      <c r="W629" t="inlineStr">
        <is>
          <t>1992-08-12</t>
        </is>
      </c>
      <c r="X629" t="inlineStr">
        <is>
          <t>1992-08-12</t>
        </is>
      </c>
      <c r="Y629" t="n">
        <v>284</v>
      </c>
      <c r="Z629" t="n">
        <v>189</v>
      </c>
      <c r="AA629" t="n">
        <v>189</v>
      </c>
      <c r="AB629" t="n">
        <v>1</v>
      </c>
      <c r="AC629" t="n">
        <v>1</v>
      </c>
      <c r="AD629" t="n">
        <v>9</v>
      </c>
      <c r="AE629" t="n">
        <v>9</v>
      </c>
      <c r="AF629" t="n">
        <v>4</v>
      </c>
      <c r="AG629" t="n">
        <v>4</v>
      </c>
      <c r="AH629" t="n">
        <v>4</v>
      </c>
      <c r="AI629" t="n">
        <v>4</v>
      </c>
      <c r="AJ629" t="n">
        <v>6</v>
      </c>
      <c r="AK629" t="n">
        <v>6</v>
      </c>
      <c r="AL629" t="n">
        <v>0</v>
      </c>
      <c r="AM629" t="n">
        <v>0</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HYPERLINK("https://creighton-primo.hosted.exlibrisgroup.com/primo-explore/search?tab=default_tab&amp;search_scope=EVERYTHING&amp;vid=01CRU&amp;lang=en_US&amp;offset=0&amp;query=any,contains,991001236269702656","Catalog Record")</f>
        <v/>
      </c>
      <c r="AT629">
        <f>HYPERLINK("http://www.worldcat.org/oclc/17550968","WorldCat Record")</f>
        <v/>
      </c>
      <c r="AU629" t="inlineStr">
        <is>
          <t>836817628:eng</t>
        </is>
      </c>
      <c r="AV629" t="inlineStr">
        <is>
          <t>17550968</t>
        </is>
      </c>
      <c r="AW629" t="inlineStr">
        <is>
          <t>991001236269702656</t>
        </is>
      </c>
      <c r="AX629" t="inlineStr">
        <is>
          <t>991001236269702656</t>
        </is>
      </c>
      <c r="AY629" t="inlineStr">
        <is>
          <t>2262402280002656</t>
        </is>
      </c>
      <c r="AZ629" t="inlineStr">
        <is>
          <t>BOOK</t>
        </is>
      </c>
      <c r="BB629" t="inlineStr">
        <is>
          <t>9780745004501</t>
        </is>
      </c>
      <c r="BC629" t="inlineStr">
        <is>
          <t>32285001197614</t>
        </is>
      </c>
      <c r="BD629" t="inlineStr">
        <is>
          <t>893432717</t>
        </is>
      </c>
    </row>
    <row r="630">
      <c r="A630" t="inlineStr">
        <is>
          <t>No</t>
        </is>
      </c>
      <c r="B630" t="inlineStr">
        <is>
          <t>DE8 .M47 1995</t>
        </is>
      </c>
      <c r="C630" t="inlineStr">
        <is>
          <t>0                      DE 0008000M  47          1995</t>
        </is>
      </c>
      <c r="D630" t="inlineStr">
        <is>
          <t>Methods in the Mediterranean : historical and archaeological views on texts and archaeology / edited by David B. Small.</t>
        </is>
      </c>
      <c r="F630" t="inlineStr">
        <is>
          <t>No</t>
        </is>
      </c>
      <c r="G630" t="inlineStr">
        <is>
          <t>1</t>
        </is>
      </c>
      <c r="H630" t="inlineStr">
        <is>
          <t>No</t>
        </is>
      </c>
      <c r="I630" t="inlineStr">
        <is>
          <t>No</t>
        </is>
      </c>
      <c r="J630" t="inlineStr">
        <is>
          <t>0</t>
        </is>
      </c>
      <c r="L630" t="inlineStr">
        <is>
          <t>Leiden ; New York : E.J. Brill, 1995.</t>
        </is>
      </c>
      <c r="M630" t="inlineStr">
        <is>
          <t>1995</t>
        </is>
      </c>
      <c r="O630" t="inlineStr">
        <is>
          <t>eng</t>
        </is>
      </c>
      <c r="P630" t="inlineStr">
        <is>
          <t xml:space="preserve">ne </t>
        </is>
      </c>
      <c r="Q630" t="inlineStr">
        <is>
          <t>Mnemosyne, bibliotheca classica Batava. Supplementum, 0169-8958 ; 135</t>
        </is>
      </c>
      <c r="R630" t="inlineStr">
        <is>
          <t xml:space="preserve">DE </t>
        </is>
      </c>
      <c r="S630" t="n">
        <v>1</v>
      </c>
      <c r="T630" t="n">
        <v>1</v>
      </c>
      <c r="U630" t="inlineStr">
        <is>
          <t>2005-08-29</t>
        </is>
      </c>
      <c r="V630" t="inlineStr">
        <is>
          <t>2005-08-29</t>
        </is>
      </c>
      <c r="W630" t="inlineStr">
        <is>
          <t>2005-08-29</t>
        </is>
      </c>
      <c r="X630" t="inlineStr">
        <is>
          <t>2005-08-29</t>
        </is>
      </c>
      <c r="Y630" t="n">
        <v>232</v>
      </c>
      <c r="Z630" t="n">
        <v>142</v>
      </c>
      <c r="AA630" t="n">
        <v>164</v>
      </c>
      <c r="AB630" t="n">
        <v>2</v>
      </c>
      <c r="AC630" t="n">
        <v>2</v>
      </c>
      <c r="AD630" t="n">
        <v>8</v>
      </c>
      <c r="AE630" t="n">
        <v>8</v>
      </c>
      <c r="AF630" t="n">
        <v>2</v>
      </c>
      <c r="AG630" t="n">
        <v>2</v>
      </c>
      <c r="AH630" t="n">
        <v>3</v>
      </c>
      <c r="AI630" t="n">
        <v>3</v>
      </c>
      <c r="AJ630" t="n">
        <v>6</v>
      </c>
      <c r="AK630" t="n">
        <v>6</v>
      </c>
      <c r="AL630" t="n">
        <v>1</v>
      </c>
      <c r="AM630" t="n">
        <v>1</v>
      </c>
      <c r="AN630" t="n">
        <v>0</v>
      </c>
      <c r="AO630" t="n">
        <v>0</v>
      </c>
      <c r="AP630" t="inlineStr">
        <is>
          <t>No</t>
        </is>
      </c>
      <c r="AQ630" t="inlineStr">
        <is>
          <t>Yes</t>
        </is>
      </c>
      <c r="AR630">
        <f>HYPERLINK("http://catalog.hathitrust.org/Record/002916049","HathiTrust Record")</f>
        <v/>
      </c>
      <c r="AS630">
        <f>HYPERLINK("https://creighton-primo.hosted.exlibrisgroup.com/primo-explore/search?tab=default_tab&amp;search_scope=EVERYTHING&amp;vid=01CRU&amp;lang=en_US&amp;offset=0&amp;query=any,contains,991004614239702656","Catalog Record")</f>
        <v/>
      </c>
      <c r="AT630">
        <f>HYPERLINK("http://www.worldcat.org/oclc/30029384","WorldCat Record")</f>
        <v/>
      </c>
      <c r="AU630" t="inlineStr">
        <is>
          <t>808563669:eng</t>
        </is>
      </c>
      <c r="AV630" t="inlineStr">
        <is>
          <t>30029384</t>
        </is>
      </c>
      <c r="AW630" t="inlineStr">
        <is>
          <t>991004614239702656</t>
        </is>
      </c>
      <c r="AX630" t="inlineStr">
        <is>
          <t>991004614239702656</t>
        </is>
      </c>
      <c r="AY630" t="inlineStr">
        <is>
          <t>2261780730002656</t>
        </is>
      </c>
      <c r="AZ630" t="inlineStr">
        <is>
          <t>BOOK</t>
        </is>
      </c>
      <c r="BB630" t="inlineStr">
        <is>
          <t>9789004095816</t>
        </is>
      </c>
      <c r="BC630" t="inlineStr">
        <is>
          <t>32285005082473</t>
        </is>
      </c>
      <c r="BD630" t="inlineStr">
        <is>
          <t>893442825</t>
        </is>
      </c>
    </row>
    <row r="631">
      <c r="A631" t="inlineStr">
        <is>
          <t>No</t>
        </is>
      </c>
      <c r="B631" t="inlineStr">
        <is>
          <t>DE8 .P36 1986</t>
        </is>
      </c>
      <c r="C631" t="inlineStr">
        <is>
          <t>0                      DE 0008000P  36          1986</t>
        </is>
      </c>
      <c r="D631" t="inlineStr">
        <is>
          <t>Past perspectives : studies in Greek and Roman historical writing : papers presented at a conference in Leeds, 6-8 April 1983 / edited by I.S. Moxon, J.D. Smart, A.J. Woodman.</t>
        </is>
      </c>
      <c r="F631" t="inlineStr">
        <is>
          <t>No</t>
        </is>
      </c>
      <c r="G631" t="inlineStr">
        <is>
          <t>1</t>
        </is>
      </c>
      <c r="H631" t="inlineStr">
        <is>
          <t>No</t>
        </is>
      </c>
      <c r="I631" t="inlineStr">
        <is>
          <t>No</t>
        </is>
      </c>
      <c r="J631" t="inlineStr">
        <is>
          <t>0</t>
        </is>
      </c>
      <c r="L631" t="inlineStr">
        <is>
          <t>Cambridge [Cambridgeshire] ; New York : Cambridge University Press, 1986.</t>
        </is>
      </c>
      <c r="M631" t="inlineStr">
        <is>
          <t>1985</t>
        </is>
      </c>
      <c r="O631" t="inlineStr">
        <is>
          <t>eng</t>
        </is>
      </c>
      <c r="P631" t="inlineStr">
        <is>
          <t>enk</t>
        </is>
      </c>
      <c r="R631" t="inlineStr">
        <is>
          <t xml:space="preserve">DE </t>
        </is>
      </c>
      <c r="S631" t="n">
        <v>3</v>
      </c>
      <c r="T631" t="n">
        <v>3</v>
      </c>
      <c r="U631" t="inlineStr">
        <is>
          <t>1998-04-15</t>
        </is>
      </c>
      <c r="V631" t="inlineStr">
        <is>
          <t>1998-04-15</t>
        </is>
      </c>
      <c r="W631" t="inlineStr">
        <is>
          <t>1991-02-11</t>
        </is>
      </c>
      <c r="X631" t="inlineStr">
        <is>
          <t>1991-02-11</t>
        </is>
      </c>
      <c r="Y631" t="n">
        <v>433</v>
      </c>
      <c r="Z631" t="n">
        <v>320</v>
      </c>
      <c r="AA631" t="n">
        <v>324</v>
      </c>
      <c r="AB631" t="n">
        <v>2</v>
      </c>
      <c r="AC631" t="n">
        <v>2</v>
      </c>
      <c r="AD631" t="n">
        <v>14</v>
      </c>
      <c r="AE631" t="n">
        <v>14</v>
      </c>
      <c r="AF631" t="n">
        <v>4</v>
      </c>
      <c r="AG631" t="n">
        <v>4</v>
      </c>
      <c r="AH631" t="n">
        <v>5</v>
      </c>
      <c r="AI631" t="n">
        <v>5</v>
      </c>
      <c r="AJ631" t="n">
        <v>9</v>
      </c>
      <c r="AK631" t="n">
        <v>9</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HYPERLINK("https://creighton-primo.hosted.exlibrisgroup.com/primo-explore/search?tab=default_tab&amp;search_scope=EVERYTHING&amp;vid=01CRU&amp;lang=en_US&amp;offset=0&amp;query=any,contains,991000595799702656","Catalog Record")</f>
        <v/>
      </c>
      <c r="AT631">
        <f>HYPERLINK("http://www.worldcat.org/oclc/11812684","WorldCat Record")</f>
        <v/>
      </c>
      <c r="AU631" t="inlineStr">
        <is>
          <t>793831281:eng</t>
        </is>
      </c>
      <c r="AV631" t="inlineStr">
        <is>
          <t>11812684</t>
        </is>
      </c>
      <c r="AW631" t="inlineStr">
        <is>
          <t>991000595799702656</t>
        </is>
      </c>
      <c r="AX631" t="inlineStr">
        <is>
          <t>991000595799702656</t>
        </is>
      </c>
      <c r="AY631" t="inlineStr">
        <is>
          <t>2260023830002656</t>
        </is>
      </c>
      <c r="AZ631" t="inlineStr">
        <is>
          <t>BOOK</t>
        </is>
      </c>
      <c r="BB631" t="inlineStr">
        <is>
          <t>9780521266253</t>
        </is>
      </c>
      <c r="BC631" t="inlineStr">
        <is>
          <t>32285000458199</t>
        </is>
      </c>
      <c r="BD631" t="inlineStr">
        <is>
          <t>893595694</t>
        </is>
      </c>
    </row>
    <row r="632">
      <c r="A632" t="inlineStr">
        <is>
          <t>No</t>
        </is>
      </c>
      <c r="B632" t="inlineStr">
        <is>
          <t>DE8 .S69 1987</t>
        </is>
      </c>
      <c r="C632" t="inlineStr">
        <is>
          <t>0                      DE 0008000S  69          1987</t>
        </is>
      </c>
      <c r="D632" t="inlineStr">
        <is>
          <t>Past and future in ancient history / Chester G. Starr.</t>
        </is>
      </c>
      <c r="F632" t="inlineStr">
        <is>
          <t>No</t>
        </is>
      </c>
      <c r="G632" t="inlineStr">
        <is>
          <t>1</t>
        </is>
      </c>
      <c r="H632" t="inlineStr">
        <is>
          <t>No</t>
        </is>
      </c>
      <c r="I632" t="inlineStr">
        <is>
          <t>No</t>
        </is>
      </c>
      <c r="J632" t="inlineStr">
        <is>
          <t>0</t>
        </is>
      </c>
      <c r="K632" t="inlineStr">
        <is>
          <t>Starr, Chester G., 1914-1999.</t>
        </is>
      </c>
      <c r="L632" t="inlineStr">
        <is>
          <t>Lanham, MD : University Press of America, c1987.</t>
        </is>
      </c>
      <c r="M632" t="inlineStr">
        <is>
          <t>1987</t>
        </is>
      </c>
      <c r="O632" t="inlineStr">
        <is>
          <t>eng</t>
        </is>
      </c>
      <c r="P632" t="inlineStr">
        <is>
          <t>mdu</t>
        </is>
      </c>
      <c r="Q632" t="inlineStr">
        <is>
          <t>Publications of the Association of Ancient Historians ; 1</t>
        </is>
      </c>
      <c r="R632" t="inlineStr">
        <is>
          <t xml:space="preserve">DE </t>
        </is>
      </c>
      <c r="S632" t="n">
        <v>2</v>
      </c>
      <c r="T632" t="n">
        <v>2</v>
      </c>
      <c r="U632" t="inlineStr">
        <is>
          <t>2003-09-11</t>
        </is>
      </c>
      <c r="V632" t="inlineStr">
        <is>
          <t>2003-09-11</t>
        </is>
      </c>
      <c r="W632" t="inlineStr">
        <is>
          <t>1991-02-11</t>
        </is>
      </c>
      <c r="X632" t="inlineStr">
        <is>
          <t>1991-02-11</t>
        </is>
      </c>
      <c r="Y632" t="n">
        <v>228</v>
      </c>
      <c r="Z632" t="n">
        <v>174</v>
      </c>
      <c r="AA632" t="n">
        <v>175</v>
      </c>
      <c r="AB632" t="n">
        <v>2</v>
      </c>
      <c r="AC632" t="n">
        <v>2</v>
      </c>
      <c r="AD632" t="n">
        <v>8</v>
      </c>
      <c r="AE632" t="n">
        <v>8</v>
      </c>
      <c r="AF632" t="n">
        <v>2</v>
      </c>
      <c r="AG632" t="n">
        <v>2</v>
      </c>
      <c r="AH632" t="n">
        <v>2</v>
      </c>
      <c r="AI632" t="n">
        <v>2</v>
      </c>
      <c r="AJ632" t="n">
        <v>5</v>
      </c>
      <c r="AK632" t="n">
        <v>5</v>
      </c>
      <c r="AL632" t="n">
        <v>1</v>
      </c>
      <c r="AM632" t="n">
        <v>1</v>
      </c>
      <c r="AN632" t="n">
        <v>0</v>
      </c>
      <c r="AO632" t="n">
        <v>0</v>
      </c>
      <c r="AP632" t="inlineStr">
        <is>
          <t>No</t>
        </is>
      </c>
      <c r="AQ632" t="inlineStr">
        <is>
          <t>Yes</t>
        </is>
      </c>
      <c r="AR632">
        <f>HYPERLINK("http://catalog.hathitrust.org/Record/006237986","HathiTrust Record")</f>
        <v/>
      </c>
      <c r="AS632">
        <f>HYPERLINK("https://creighton-primo.hosted.exlibrisgroup.com/primo-explore/search?tab=default_tab&amp;search_scope=EVERYTHING&amp;vid=01CRU&amp;lang=en_US&amp;offset=0&amp;query=any,contains,991001028309702656","Catalog Record")</f>
        <v/>
      </c>
      <c r="AT632">
        <f>HYPERLINK("http://www.worldcat.org/oclc/15489052","WorldCat Record")</f>
        <v/>
      </c>
      <c r="AU632" t="inlineStr">
        <is>
          <t>149060512:eng</t>
        </is>
      </c>
      <c r="AV632" t="inlineStr">
        <is>
          <t>15489052</t>
        </is>
      </c>
      <c r="AW632" t="inlineStr">
        <is>
          <t>991001028309702656</t>
        </is>
      </c>
      <c r="AX632" t="inlineStr">
        <is>
          <t>991001028309702656</t>
        </is>
      </c>
      <c r="AY632" t="inlineStr">
        <is>
          <t>2272363020002656</t>
        </is>
      </c>
      <c r="AZ632" t="inlineStr">
        <is>
          <t>BOOK</t>
        </is>
      </c>
      <c r="BB632" t="inlineStr">
        <is>
          <t>9780819163028</t>
        </is>
      </c>
      <c r="BC632" t="inlineStr">
        <is>
          <t>32285000458207</t>
        </is>
      </c>
      <c r="BD632" t="inlineStr">
        <is>
          <t>893897439</t>
        </is>
      </c>
    </row>
    <row r="633">
      <c r="A633" t="inlineStr">
        <is>
          <t>No</t>
        </is>
      </c>
      <c r="B633" t="inlineStr">
        <is>
          <t>DE8 .U8 1969c</t>
        </is>
      </c>
      <c r="C633" t="inlineStr">
        <is>
          <t>0                      DE 0008000U  8           1969c</t>
        </is>
      </c>
      <c r="D633" t="inlineStr">
        <is>
          <t>The historians of Greece and Rome.</t>
        </is>
      </c>
      <c r="F633" t="inlineStr">
        <is>
          <t>No</t>
        </is>
      </c>
      <c r="G633" t="inlineStr">
        <is>
          <t>1</t>
        </is>
      </c>
      <c r="H633" t="inlineStr">
        <is>
          <t>No</t>
        </is>
      </c>
      <c r="I633" t="inlineStr">
        <is>
          <t>No</t>
        </is>
      </c>
      <c r="J633" t="inlineStr">
        <is>
          <t>0</t>
        </is>
      </c>
      <c r="K633" t="inlineStr">
        <is>
          <t>Usher, Stephen, 1931-</t>
        </is>
      </c>
      <c r="L633" t="inlineStr">
        <is>
          <t>New York : Taplinger Pub. Co., [1970, c1969]</t>
        </is>
      </c>
      <c r="M633" t="inlineStr">
        <is>
          <t>1970</t>
        </is>
      </c>
      <c r="O633" t="inlineStr">
        <is>
          <t>eng</t>
        </is>
      </c>
      <c r="P633" t="inlineStr">
        <is>
          <t>nyu</t>
        </is>
      </c>
      <c r="R633" t="inlineStr">
        <is>
          <t xml:space="preserve">DE </t>
        </is>
      </c>
      <c r="S633" t="n">
        <v>1</v>
      </c>
      <c r="T633" t="n">
        <v>1</v>
      </c>
      <c r="U633" t="inlineStr">
        <is>
          <t>2003-09-11</t>
        </is>
      </c>
      <c r="V633" t="inlineStr">
        <is>
          <t>2003-09-11</t>
        </is>
      </c>
      <c r="W633" t="inlineStr">
        <is>
          <t>1994-12-14</t>
        </is>
      </c>
      <c r="X633" t="inlineStr">
        <is>
          <t>1994-12-14</t>
        </is>
      </c>
      <c r="Y633" t="n">
        <v>607</v>
      </c>
      <c r="Z633" t="n">
        <v>574</v>
      </c>
      <c r="AA633" t="n">
        <v>832</v>
      </c>
      <c r="AB633" t="n">
        <v>7</v>
      </c>
      <c r="AC633" t="n">
        <v>8</v>
      </c>
      <c r="AD633" t="n">
        <v>19</v>
      </c>
      <c r="AE633" t="n">
        <v>37</v>
      </c>
      <c r="AF633" t="n">
        <v>5</v>
      </c>
      <c r="AG633" t="n">
        <v>13</v>
      </c>
      <c r="AH633" t="n">
        <v>2</v>
      </c>
      <c r="AI633" t="n">
        <v>8</v>
      </c>
      <c r="AJ633" t="n">
        <v>7</v>
      </c>
      <c r="AK633" t="n">
        <v>16</v>
      </c>
      <c r="AL633" t="n">
        <v>6</v>
      </c>
      <c r="AM633" t="n">
        <v>7</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HYPERLINK("https://creighton-primo.hosted.exlibrisgroup.com/primo-explore/search?tab=default_tab&amp;search_scope=EVERYTHING&amp;vid=01CRU&amp;lang=en_US&amp;offset=0&amp;query=any,contains,991000149949702656","Catalog Record")</f>
        <v/>
      </c>
      <c r="AT633">
        <f>HYPERLINK("http://www.worldcat.org/oclc/59698","WorldCat Record")</f>
        <v/>
      </c>
      <c r="AU633" t="inlineStr">
        <is>
          <t>1138511:eng</t>
        </is>
      </c>
      <c r="AV633" t="inlineStr">
        <is>
          <t>59698</t>
        </is>
      </c>
      <c r="AW633" t="inlineStr">
        <is>
          <t>991000149949702656</t>
        </is>
      </c>
      <c r="AX633" t="inlineStr">
        <is>
          <t>991000149949702656</t>
        </is>
      </c>
      <c r="AY633" t="inlineStr">
        <is>
          <t>2260479640002656</t>
        </is>
      </c>
      <c r="AZ633" t="inlineStr">
        <is>
          <t>BOOK</t>
        </is>
      </c>
      <c r="BB633" t="inlineStr">
        <is>
          <t>9780800838454</t>
        </is>
      </c>
      <c r="BC633" t="inlineStr">
        <is>
          <t>32285001982759</t>
        </is>
      </c>
      <c r="BD633" t="inlineStr">
        <is>
          <t>893224779</t>
        </is>
      </c>
    </row>
    <row r="634">
      <c r="A634" t="inlineStr">
        <is>
          <t>No</t>
        </is>
      </c>
      <c r="B634" t="inlineStr">
        <is>
          <t>DE83 .W43</t>
        </is>
      </c>
      <c r="C634" t="inlineStr">
        <is>
          <t>0                      DE 0083000W  43</t>
        </is>
      </c>
      <c r="D634" t="inlineStr">
        <is>
          <t>Alexander and the Hellenistic world / [by] C. Bradford Welles.</t>
        </is>
      </c>
      <c r="F634" t="inlineStr">
        <is>
          <t>No</t>
        </is>
      </c>
      <c r="G634" t="inlineStr">
        <is>
          <t>1</t>
        </is>
      </c>
      <c r="H634" t="inlineStr">
        <is>
          <t>No</t>
        </is>
      </c>
      <c r="I634" t="inlineStr">
        <is>
          <t>No</t>
        </is>
      </c>
      <c r="J634" t="inlineStr">
        <is>
          <t>0</t>
        </is>
      </c>
      <c r="K634" t="inlineStr">
        <is>
          <t>Welles, C. Bradford (Charles Bradford), 1901-1969.</t>
        </is>
      </c>
      <c r="L634" t="inlineStr">
        <is>
          <t>Toronto : A. M. Hakkert, 1970.</t>
        </is>
      </c>
      <c r="M634" t="inlineStr">
        <is>
          <t>1970</t>
        </is>
      </c>
      <c r="O634" t="inlineStr">
        <is>
          <t>eng</t>
        </is>
      </c>
      <c r="P634" t="inlineStr">
        <is>
          <t>onc</t>
        </is>
      </c>
      <c r="R634" t="inlineStr">
        <is>
          <t xml:space="preserve">DE </t>
        </is>
      </c>
      <c r="S634" t="n">
        <v>2</v>
      </c>
      <c r="T634" t="n">
        <v>2</v>
      </c>
      <c r="U634" t="inlineStr">
        <is>
          <t>1995-10-22</t>
        </is>
      </c>
      <c r="V634" t="inlineStr">
        <is>
          <t>1995-10-22</t>
        </is>
      </c>
      <c r="W634" t="inlineStr">
        <is>
          <t>1992-02-21</t>
        </is>
      </c>
      <c r="X634" t="inlineStr">
        <is>
          <t>1992-02-21</t>
        </is>
      </c>
      <c r="Y634" t="n">
        <v>609</v>
      </c>
      <c r="Z634" t="n">
        <v>486</v>
      </c>
      <c r="AA634" t="n">
        <v>493</v>
      </c>
      <c r="AB634" t="n">
        <v>2</v>
      </c>
      <c r="AC634" t="n">
        <v>2</v>
      </c>
      <c r="AD634" t="n">
        <v>20</v>
      </c>
      <c r="AE634" t="n">
        <v>20</v>
      </c>
      <c r="AF634" t="n">
        <v>6</v>
      </c>
      <c r="AG634" t="n">
        <v>6</v>
      </c>
      <c r="AH634" t="n">
        <v>7</v>
      </c>
      <c r="AI634" t="n">
        <v>7</v>
      </c>
      <c r="AJ634" t="n">
        <v>12</v>
      </c>
      <c r="AK634" t="n">
        <v>12</v>
      </c>
      <c r="AL634" t="n">
        <v>0</v>
      </c>
      <c r="AM634" t="n">
        <v>0</v>
      </c>
      <c r="AN634" t="n">
        <v>0</v>
      </c>
      <c r="AO634" t="n">
        <v>0</v>
      </c>
      <c r="AP634" t="inlineStr">
        <is>
          <t>No</t>
        </is>
      </c>
      <c r="AQ634" t="inlineStr">
        <is>
          <t>Yes</t>
        </is>
      </c>
      <c r="AR634">
        <f>HYPERLINK("http://catalog.hathitrust.org/Record/000166205","HathiTrust Record")</f>
        <v/>
      </c>
      <c r="AS634">
        <f>HYPERLINK("https://creighton-primo.hosted.exlibrisgroup.com/primo-explore/search?tab=default_tab&amp;search_scope=EVERYTHING&amp;vid=01CRU&amp;lang=en_US&amp;offset=0&amp;query=any,contains,991000650559702656","Catalog Record")</f>
        <v/>
      </c>
      <c r="AT634">
        <f>HYPERLINK("http://www.worldcat.org/oclc/112956","WorldCat Record")</f>
        <v/>
      </c>
      <c r="AU634" t="inlineStr">
        <is>
          <t>350119265:eng</t>
        </is>
      </c>
      <c r="AV634" t="inlineStr">
        <is>
          <t>112956</t>
        </is>
      </c>
      <c r="AW634" t="inlineStr">
        <is>
          <t>991000650559702656</t>
        </is>
      </c>
      <c r="AX634" t="inlineStr">
        <is>
          <t>991000650559702656</t>
        </is>
      </c>
      <c r="AY634" t="inlineStr">
        <is>
          <t>2268283790002656</t>
        </is>
      </c>
      <c r="AZ634" t="inlineStr">
        <is>
          <t>BOOK</t>
        </is>
      </c>
      <c r="BB634" t="inlineStr">
        <is>
          <t>9780888665027</t>
        </is>
      </c>
      <c r="BC634" t="inlineStr">
        <is>
          <t>32285000973429</t>
        </is>
      </c>
      <c r="BD634" t="inlineStr">
        <is>
          <t>893413558</t>
        </is>
      </c>
    </row>
    <row r="635">
      <c r="A635" t="inlineStr">
        <is>
          <t>No</t>
        </is>
      </c>
      <c r="B635" t="inlineStr">
        <is>
          <t>DE85.5.U6 S74 1992</t>
        </is>
      </c>
      <c r="C635" t="inlineStr">
        <is>
          <t>0                      DE 0085500U  6                  S  74          1992</t>
        </is>
      </c>
      <c r="D635" t="inlineStr">
        <is>
          <t>Entangled allies : U.S. policy toward Greece, Turkey, and Cyprus / Monteagle Stearns.</t>
        </is>
      </c>
      <c r="F635" t="inlineStr">
        <is>
          <t>No</t>
        </is>
      </c>
      <c r="G635" t="inlineStr">
        <is>
          <t>1</t>
        </is>
      </c>
      <c r="H635" t="inlineStr">
        <is>
          <t>No</t>
        </is>
      </c>
      <c r="I635" t="inlineStr">
        <is>
          <t>No</t>
        </is>
      </c>
      <c r="J635" t="inlineStr">
        <is>
          <t>0</t>
        </is>
      </c>
      <c r="K635" t="inlineStr">
        <is>
          <t>Stearns, Monteagle, 1924-2016.</t>
        </is>
      </c>
      <c r="L635" t="inlineStr">
        <is>
          <t>New York : Council on Foreign Relations Press, c1992.</t>
        </is>
      </c>
      <c r="M635" t="inlineStr">
        <is>
          <t>1992</t>
        </is>
      </c>
      <c r="O635" t="inlineStr">
        <is>
          <t>eng</t>
        </is>
      </c>
      <c r="P635" t="inlineStr">
        <is>
          <t>nyu</t>
        </is>
      </c>
      <c r="R635" t="inlineStr">
        <is>
          <t xml:space="preserve">DE </t>
        </is>
      </c>
      <c r="S635" t="n">
        <v>8</v>
      </c>
      <c r="T635" t="n">
        <v>8</v>
      </c>
      <c r="U635" t="inlineStr">
        <is>
          <t>1997-12-01</t>
        </is>
      </c>
      <c r="V635" t="inlineStr">
        <is>
          <t>1997-12-01</t>
        </is>
      </c>
      <c r="W635" t="inlineStr">
        <is>
          <t>1992-05-15</t>
        </is>
      </c>
      <c r="X635" t="inlineStr">
        <is>
          <t>1992-05-15</t>
        </is>
      </c>
      <c r="Y635" t="n">
        <v>298</v>
      </c>
      <c r="Z635" t="n">
        <v>230</v>
      </c>
      <c r="AA635" t="n">
        <v>250</v>
      </c>
      <c r="AB635" t="n">
        <v>4</v>
      </c>
      <c r="AC635" t="n">
        <v>4</v>
      </c>
      <c r="AD635" t="n">
        <v>12</v>
      </c>
      <c r="AE635" t="n">
        <v>14</v>
      </c>
      <c r="AF635" t="n">
        <v>2</v>
      </c>
      <c r="AG635" t="n">
        <v>2</v>
      </c>
      <c r="AH635" t="n">
        <v>5</v>
      </c>
      <c r="AI635" t="n">
        <v>5</v>
      </c>
      <c r="AJ635" t="n">
        <v>6</v>
      </c>
      <c r="AK635" t="n">
        <v>6</v>
      </c>
      <c r="AL635" t="n">
        <v>3</v>
      </c>
      <c r="AM635" t="n">
        <v>3</v>
      </c>
      <c r="AN635" t="n">
        <v>0</v>
      </c>
      <c r="AO635" t="n">
        <v>2</v>
      </c>
      <c r="AP635" t="inlineStr">
        <is>
          <t>No</t>
        </is>
      </c>
      <c r="AQ635" t="inlineStr">
        <is>
          <t>Yes</t>
        </is>
      </c>
      <c r="AR635">
        <f>HYPERLINK("http://catalog.hathitrust.org/Record/002528895","HathiTrust Record")</f>
        <v/>
      </c>
      <c r="AS635">
        <f>HYPERLINK("https://creighton-primo.hosted.exlibrisgroup.com/primo-explore/search?tab=default_tab&amp;search_scope=EVERYTHING&amp;vid=01CRU&amp;lang=en_US&amp;offset=0&amp;query=any,contains,991001958189702656","Catalog Record")</f>
        <v/>
      </c>
      <c r="AT635">
        <f>HYPERLINK("http://www.worldcat.org/oclc/24795748","WorldCat Record")</f>
        <v/>
      </c>
      <c r="AU635" t="inlineStr">
        <is>
          <t>30275379:eng</t>
        </is>
      </c>
      <c r="AV635" t="inlineStr">
        <is>
          <t>24795748</t>
        </is>
      </c>
      <c r="AW635" t="inlineStr">
        <is>
          <t>991001958189702656</t>
        </is>
      </c>
      <c r="AX635" t="inlineStr">
        <is>
          <t>991001958189702656</t>
        </is>
      </c>
      <c r="AY635" t="inlineStr">
        <is>
          <t>2259827910002656</t>
        </is>
      </c>
      <c r="AZ635" t="inlineStr">
        <is>
          <t>BOOK</t>
        </is>
      </c>
      <c r="BB635" t="inlineStr">
        <is>
          <t>9780876091104</t>
        </is>
      </c>
      <c r="BC635" t="inlineStr">
        <is>
          <t>32285001116242</t>
        </is>
      </c>
      <c r="BD635" t="inlineStr">
        <is>
          <t>893891982</t>
        </is>
      </c>
    </row>
    <row r="636">
      <c r="A636" t="inlineStr">
        <is>
          <t>No</t>
        </is>
      </c>
      <c r="B636" t="inlineStr">
        <is>
          <t>DE86 .C58 2007</t>
        </is>
      </c>
      <c r="C636" t="inlineStr">
        <is>
          <t>0                      DE 0086000C  58          2007</t>
        </is>
      </c>
      <c r="D636" t="inlineStr">
        <is>
          <t>Classical archaeology / edited by Susan E. Alcock and Robin Osborne.</t>
        </is>
      </c>
      <c r="F636" t="inlineStr">
        <is>
          <t>No</t>
        </is>
      </c>
      <c r="G636" t="inlineStr">
        <is>
          <t>1</t>
        </is>
      </c>
      <c r="H636" t="inlineStr">
        <is>
          <t>No</t>
        </is>
      </c>
      <c r="I636" t="inlineStr">
        <is>
          <t>No</t>
        </is>
      </c>
      <c r="J636" t="inlineStr">
        <is>
          <t>0</t>
        </is>
      </c>
      <c r="L636" t="inlineStr">
        <is>
          <t>Malden, MA : Blackwell Pub., 2007.</t>
        </is>
      </c>
      <c r="M636" t="inlineStr">
        <is>
          <t>2007</t>
        </is>
      </c>
      <c r="O636" t="inlineStr">
        <is>
          <t>eng</t>
        </is>
      </c>
      <c r="P636" t="inlineStr">
        <is>
          <t>mau</t>
        </is>
      </c>
      <c r="Q636" t="inlineStr">
        <is>
          <t>Blackwell studies in global archaeology ; 10</t>
        </is>
      </c>
      <c r="R636" t="inlineStr">
        <is>
          <t xml:space="preserve">DE </t>
        </is>
      </c>
      <c r="S636" t="n">
        <v>1</v>
      </c>
      <c r="T636" t="n">
        <v>1</v>
      </c>
      <c r="U636" t="inlineStr">
        <is>
          <t>2008-09-09</t>
        </is>
      </c>
      <c r="V636" t="inlineStr">
        <is>
          <t>2008-09-09</t>
        </is>
      </c>
      <c r="W636" t="inlineStr">
        <is>
          <t>2008-09-09</t>
        </is>
      </c>
      <c r="X636" t="inlineStr">
        <is>
          <t>2008-09-09</t>
        </is>
      </c>
      <c r="Y636" t="n">
        <v>434</v>
      </c>
      <c r="Z636" t="n">
        <v>312</v>
      </c>
      <c r="AA636" t="n">
        <v>696</v>
      </c>
      <c r="AB636" t="n">
        <v>2</v>
      </c>
      <c r="AC636" t="n">
        <v>6</v>
      </c>
      <c r="AD636" t="n">
        <v>15</v>
      </c>
      <c r="AE636" t="n">
        <v>35</v>
      </c>
      <c r="AF636" t="n">
        <v>6</v>
      </c>
      <c r="AG636" t="n">
        <v>13</v>
      </c>
      <c r="AH636" t="n">
        <v>3</v>
      </c>
      <c r="AI636" t="n">
        <v>10</v>
      </c>
      <c r="AJ636" t="n">
        <v>11</v>
      </c>
      <c r="AK636" t="n">
        <v>16</v>
      </c>
      <c r="AL636" t="n">
        <v>1</v>
      </c>
      <c r="AM636" t="n">
        <v>5</v>
      </c>
      <c r="AN636" t="n">
        <v>0</v>
      </c>
      <c r="AO636" t="n">
        <v>1</v>
      </c>
      <c r="AP636" t="inlineStr">
        <is>
          <t>No</t>
        </is>
      </c>
      <c r="AQ636" t="inlineStr">
        <is>
          <t>No</t>
        </is>
      </c>
      <c r="AS636">
        <f>HYPERLINK("https://creighton-primo.hosted.exlibrisgroup.com/primo-explore/search?tab=default_tab&amp;search_scope=EVERYTHING&amp;vid=01CRU&amp;lang=en_US&amp;offset=0&amp;query=any,contains,991005258349702656","Catalog Record")</f>
        <v/>
      </c>
      <c r="AT636">
        <f>HYPERLINK("http://www.worldcat.org/oclc/71810112","WorldCat Record")</f>
        <v/>
      </c>
      <c r="AU636" t="inlineStr">
        <is>
          <t>351696085:eng</t>
        </is>
      </c>
      <c r="AV636" t="inlineStr">
        <is>
          <t>71810112</t>
        </is>
      </c>
      <c r="AW636" t="inlineStr">
        <is>
          <t>991005258349702656</t>
        </is>
      </c>
      <c r="AX636" t="inlineStr">
        <is>
          <t>991005258349702656</t>
        </is>
      </c>
      <c r="AY636" t="inlineStr">
        <is>
          <t>2267990140002656</t>
        </is>
      </c>
      <c r="AZ636" t="inlineStr">
        <is>
          <t>BOOK</t>
        </is>
      </c>
      <c r="BB636" t="inlineStr">
        <is>
          <t>9780631234180</t>
        </is>
      </c>
      <c r="BC636" t="inlineStr">
        <is>
          <t>32285005457410</t>
        </is>
      </c>
      <c r="BD636" t="inlineStr">
        <is>
          <t>893695016</t>
        </is>
      </c>
    </row>
    <row r="637">
      <c r="A637" t="inlineStr">
        <is>
          <t>No</t>
        </is>
      </c>
      <c r="B637" t="inlineStr">
        <is>
          <t>DE86 .G734 1990</t>
        </is>
      </c>
      <c r="C637" t="inlineStr">
        <is>
          <t>0                      DE 0086000G  734         1990</t>
        </is>
      </c>
      <c r="D637" t="inlineStr">
        <is>
          <t>The visible past : Greek and Roman history from archaeology, 1960-1990 / Michael Grant.</t>
        </is>
      </c>
      <c r="F637" t="inlineStr">
        <is>
          <t>No</t>
        </is>
      </c>
      <c r="G637" t="inlineStr">
        <is>
          <t>1</t>
        </is>
      </c>
      <c r="H637" t="inlineStr">
        <is>
          <t>No</t>
        </is>
      </c>
      <c r="I637" t="inlineStr">
        <is>
          <t>No</t>
        </is>
      </c>
      <c r="J637" t="inlineStr">
        <is>
          <t>0</t>
        </is>
      </c>
      <c r="K637" t="inlineStr">
        <is>
          <t>Grant, Michael, 1914-2004.</t>
        </is>
      </c>
      <c r="L637" t="inlineStr">
        <is>
          <t>New York : Scribner's : Maxwell Macmillan International, c1990.</t>
        </is>
      </c>
      <c r="M637" t="inlineStr">
        <is>
          <t>1990</t>
        </is>
      </c>
      <c r="O637" t="inlineStr">
        <is>
          <t>eng</t>
        </is>
      </c>
      <c r="P637" t="inlineStr">
        <is>
          <t>nyu</t>
        </is>
      </c>
      <c r="R637" t="inlineStr">
        <is>
          <t xml:space="preserve">DE </t>
        </is>
      </c>
      <c r="S637" t="n">
        <v>1</v>
      </c>
      <c r="T637" t="n">
        <v>1</v>
      </c>
      <c r="U637" t="inlineStr">
        <is>
          <t>2008-07-02</t>
        </is>
      </c>
      <c r="V637" t="inlineStr">
        <is>
          <t>2008-07-02</t>
        </is>
      </c>
      <c r="W637" t="inlineStr">
        <is>
          <t>2008-05-19</t>
        </is>
      </c>
      <c r="X637" t="inlineStr">
        <is>
          <t>2008-05-19</t>
        </is>
      </c>
      <c r="Y637" t="n">
        <v>796</v>
      </c>
      <c r="Z637" t="n">
        <v>748</v>
      </c>
      <c r="AA637" t="n">
        <v>819</v>
      </c>
      <c r="AB637" t="n">
        <v>6</v>
      </c>
      <c r="AC637" t="n">
        <v>8</v>
      </c>
      <c r="AD637" t="n">
        <v>23</v>
      </c>
      <c r="AE637" t="n">
        <v>26</v>
      </c>
      <c r="AF637" t="n">
        <v>5</v>
      </c>
      <c r="AG637" t="n">
        <v>5</v>
      </c>
      <c r="AH637" t="n">
        <v>6</v>
      </c>
      <c r="AI637" t="n">
        <v>6</v>
      </c>
      <c r="AJ637" t="n">
        <v>12</v>
      </c>
      <c r="AK637" t="n">
        <v>13</v>
      </c>
      <c r="AL637" t="n">
        <v>4</v>
      </c>
      <c r="AM637" t="n">
        <v>6</v>
      </c>
      <c r="AN637" t="n">
        <v>0</v>
      </c>
      <c r="AO637" t="n">
        <v>0</v>
      </c>
      <c r="AP637" t="inlineStr">
        <is>
          <t>No</t>
        </is>
      </c>
      <c r="AQ637" t="inlineStr">
        <is>
          <t>Yes</t>
        </is>
      </c>
      <c r="AR637">
        <f>HYPERLINK("http://catalog.hathitrust.org/Record/007108803","HathiTrust Record")</f>
        <v/>
      </c>
      <c r="AS637">
        <f>HYPERLINK("https://creighton-primo.hosted.exlibrisgroup.com/primo-explore/search?tab=default_tab&amp;search_scope=EVERYTHING&amp;vid=01CRU&amp;lang=en_US&amp;offset=0&amp;query=any,contains,991005222849702656","Catalog Record")</f>
        <v/>
      </c>
      <c r="AT637">
        <f>HYPERLINK("http://www.worldcat.org/oclc/22005731","WorldCat Record")</f>
        <v/>
      </c>
      <c r="AU637" t="inlineStr">
        <is>
          <t>479254411:eng</t>
        </is>
      </c>
      <c r="AV637" t="inlineStr">
        <is>
          <t>22005731</t>
        </is>
      </c>
      <c r="AW637" t="inlineStr">
        <is>
          <t>991005222849702656</t>
        </is>
      </c>
      <c r="AX637" t="inlineStr">
        <is>
          <t>991005222849702656</t>
        </is>
      </c>
      <c r="AY637" t="inlineStr">
        <is>
          <t>2264328590002656</t>
        </is>
      </c>
      <c r="AZ637" t="inlineStr">
        <is>
          <t>BOOK</t>
        </is>
      </c>
      <c r="BB637" t="inlineStr">
        <is>
          <t>9780684191249</t>
        </is>
      </c>
      <c r="BC637" t="inlineStr">
        <is>
          <t>32285005409494</t>
        </is>
      </c>
      <c r="BD637" t="inlineStr">
        <is>
          <t>893443614</t>
        </is>
      </c>
    </row>
    <row r="638">
      <c r="A638" t="inlineStr">
        <is>
          <t>No</t>
        </is>
      </c>
      <c r="B638" t="inlineStr">
        <is>
          <t>DE86 .T7 1996</t>
        </is>
      </c>
      <c r="C638" t="inlineStr">
        <is>
          <t>0                      DE 0086000T  7           1996</t>
        </is>
      </c>
      <c r="D638" t="inlineStr">
        <is>
          <t>Transitions to empire : essays in Greco-Roman history, 360-146 B.C. in honor of E. Badian / edited by Robert W. Wallace and Edward M. Harris.</t>
        </is>
      </c>
      <c r="F638" t="inlineStr">
        <is>
          <t>No</t>
        </is>
      </c>
      <c r="G638" t="inlineStr">
        <is>
          <t>1</t>
        </is>
      </c>
      <c r="H638" t="inlineStr">
        <is>
          <t>No</t>
        </is>
      </c>
      <c r="I638" t="inlineStr">
        <is>
          <t>No</t>
        </is>
      </c>
      <c r="J638" t="inlineStr">
        <is>
          <t>0</t>
        </is>
      </c>
      <c r="L638" t="inlineStr">
        <is>
          <t>Norman : University of Oklahoma Press, c1996.</t>
        </is>
      </c>
      <c r="M638" t="inlineStr">
        <is>
          <t>1996</t>
        </is>
      </c>
      <c r="O638" t="inlineStr">
        <is>
          <t>eng</t>
        </is>
      </c>
      <c r="P638" t="inlineStr">
        <is>
          <t>oku</t>
        </is>
      </c>
      <c r="Q638" t="inlineStr">
        <is>
          <t>Oklahoma series in classical culture ; v. 21</t>
        </is>
      </c>
      <c r="R638" t="inlineStr">
        <is>
          <t xml:space="preserve">DE </t>
        </is>
      </c>
      <c r="S638" t="n">
        <v>3</v>
      </c>
      <c r="T638" t="n">
        <v>3</v>
      </c>
      <c r="U638" t="inlineStr">
        <is>
          <t>2005-09-20</t>
        </is>
      </c>
      <c r="V638" t="inlineStr">
        <is>
          <t>2005-09-20</t>
        </is>
      </c>
      <c r="W638" t="inlineStr">
        <is>
          <t>1997-01-15</t>
        </is>
      </c>
      <c r="X638" t="inlineStr">
        <is>
          <t>1997-01-15</t>
        </is>
      </c>
      <c r="Y638" t="n">
        <v>335</v>
      </c>
      <c r="Z638" t="n">
        <v>267</v>
      </c>
      <c r="AA638" t="n">
        <v>642</v>
      </c>
      <c r="AB638" t="n">
        <v>2</v>
      </c>
      <c r="AC638" t="n">
        <v>3</v>
      </c>
      <c r="AD638" t="n">
        <v>19</v>
      </c>
      <c r="AE638" t="n">
        <v>26</v>
      </c>
      <c r="AF638" t="n">
        <v>7</v>
      </c>
      <c r="AG638" t="n">
        <v>12</v>
      </c>
      <c r="AH638" t="n">
        <v>5</v>
      </c>
      <c r="AI638" t="n">
        <v>7</v>
      </c>
      <c r="AJ638" t="n">
        <v>11</v>
      </c>
      <c r="AK638" t="n">
        <v>13</v>
      </c>
      <c r="AL638" t="n">
        <v>1</v>
      </c>
      <c r="AM638" t="n">
        <v>2</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HYPERLINK("https://creighton-primo.hosted.exlibrisgroup.com/primo-explore/search?tab=default_tab&amp;search_scope=EVERYTHING&amp;vid=01CRU&amp;lang=en_US&amp;offset=0&amp;query=any,contains,991005423709702656","Catalog Record")</f>
        <v/>
      </c>
      <c r="AT638">
        <f>HYPERLINK("http://www.worldcat.org/oclc/34617602","WorldCat Record")</f>
        <v/>
      </c>
      <c r="AU638" t="inlineStr">
        <is>
          <t>799499568:eng</t>
        </is>
      </c>
      <c r="AV638" t="inlineStr">
        <is>
          <t>34617602</t>
        </is>
      </c>
      <c r="AW638" t="inlineStr">
        <is>
          <t>991005423709702656</t>
        </is>
      </c>
      <c r="AX638" t="inlineStr">
        <is>
          <t>991005423709702656</t>
        </is>
      </c>
      <c r="AY638" t="inlineStr">
        <is>
          <t>2269578700002656</t>
        </is>
      </c>
      <c r="AZ638" t="inlineStr">
        <is>
          <t>BOOK</t>
        </is>
      </c>
      <c r="BB638" t="inlineStr">
        <is>
          <t>9780806128634</t>
        </is>
      </c>
      <c r="BC638" t="inlineStr">
        <is>
          <t>32285002408135</t>
        </is>
      </c>
      <c r="BD638" t="inlineStr">
        <is>
          <t>893695300</t>
        </is>
      </c>
    </row>
    <row r="639">
      <c r="A639" t="inlineStr">
        <is>
          <t>No</t>
        </is>
      </c>
      <c r="B639" t="inlineStr">
        <is>
          <t>DE94 . H67 2001</t>
        </is>
      </c>
      <c r="C639" t="inlineStr">
        <is>
          <t>0                      DE 0094000H  67          2001</t>
        </is>
      </c>
      <c r="D639" t="inlineStr">
        <is>
          <t>Tombs, temples and their orientations : a new perspective on Mediterranean prehistory / Michael Hoskin.</t>
        </is>
      </c>
      <c r="F639" t="inlineStr">
        <is>
          <t>No</t>
        </is>
      </c>
      <c r="G639" t="inlineStr">
        <is>
          <t>1</t>
        </is>
      </c>
      <c r="H639" t="inlineStr">
        <is>
          <t>No</t>
        </is>
      </c>
      <c r="I639" t="inlineStr">
        <is>
          <t>No</t>
        </is>
      </c>
      <c r="J639" t="inlineStr">
        <is>
          <t>0</t>
        </is>
      </c>
      <c r="K639" t="inlineStr">
        <is>
          <t>Hoskin, Michael A.</t>
        </is>
      </c>
      <c r="L639" t="inlineStr">
        <is>
          <t>Bognor Regis : Ocarina, 2001.</t>
        </is>
      </c>
      <c r="M639" t="inlineStr">
        <is>
          <t>2001</t>
        </is>
      </c>
      <c r="O639" t="inlineStr">
        <is>
          <t>eng</t>
        </is>
      </c>
      <c r="P639" t="inlineStr">
        <is>
          <t>enk</t>
        </is>
      </c>
      <c r="R639" t="inlineStr">
        <is>
          <t xml:space="preserve">DE </t>
        </is>
      </c>
      <c r="S639" t="n">
        <v>2</v>
      </c>
      <c r="T639" t="n">
        <v>2</v>
      </c>
      <c r="U639" t="inlineStr">
        <is>
          <t>2004-10-14</t>
        </is>
      </c>
      <c r="V639" t="inlineStr">
        <is>
          <t>2004-10-14</t>
        </is>
      </c>
      <c r="W639" t="inlineStr">
        <is>
          <t>2004-10-14</t>
        </is>
      </c>
      <c r="X639" t="inlineStr">
        <is>
          <t>2004-10-14</t>
        </is>
      </c>
      <c r="Y639" t="n">
        <v>120</v>
      </c>
      <c r="Z639" t="n">
        <v>77</v>
      </c>
      <c r="AA639" t="n">
        <v>79</v>
      </c>
      <c r="AB639" t="n">
        <v>1</v>
      </c>
      <c r="AC639" t="n">
        <v>1</v>
      </c>
      <c r="AD639" t="n">
        <v>0</v>
      </c>
      <c r="AE639" t="n">
        <v>0</v>
      </c>
      <c r="AF639" t="n">
        <v>0</v>
      </c>
      <c r="AG639" t="n">
        <v>0</v>
      </c>
      <c r="AH639" t="n">
        <v>0</v>
      </c>
      <c r="AI639" t="n">
        <v>0</v>
      </c>
      <c r="AJ639" t="n">
        <v>0</v>
      </c>
      <c r="AK639" t="n">
        <v>0</v>
      </c>
      <c r="AL639" t="n">
        <v>0</v>
      </c>
      <c r="AM639" t="n">
        <v>0</v>
      </c>
      <c r="AN639" t="n">
        <v>0</v>
      </c>
      <c r="AO639" t="n">
        <v>0</v>
      </c>
      <c r="AP639" t="inlineStr">
        <is>
          <t>No</t>
        </is>
      </c>
      <c r="AQ639" t="inlineStr">
        <is>
          <t>Yes</t>
        </is>
      </c>
      <c r="AR639">
        <f>HYPERLINK("http://catalog.hathitrust.org/Record/004247575","HathiTrust Record")</f>
        <v/>
      </c>
      <c r="AS639">
        <f>HYPERLINK("https://creighton-primo.hosted.exlibrisgroup.com/primo-explore/search?tab=default_tab&amp;search_scope=EVERYTHING&amp;vid=01CRU&amp;lang=en_US&amp;offset=0&amp;query=any,contains,991004374839702656","Catalog Record")</f>
        <v/>
      </c>
      <c r="AT639">
        <f>HYPERLINK("http://www.worldcat.org/oclc/49964477","WorldCat Record")</f>
        <v/>
      </c>
      <c r="AU639" t="inlineStr">
        <is>
          <t>39283031:eng</t>
        </is>
      </c>
      <c r="AV639" t="inlineStr">
        <is>
          <t>49964477</t>
        </is>
      </c>
      <c r="AW639" t="inlineStr">
        <is>
          <t>991004374839702656</t>
        </is>
      </c>
      <c r="AX639" t="inlineStr">
        <is>
          <t>991004374839702656</t>
        </is>
      </c>
      <c r="AY639" t="inlineStr">
        <is>
          <t>2261080000002656</t>
        </is>
      </c>
      <c r="AZ639" t="inlineStr">
        <is>
          <t>BOOK</t>
        </is>
      </c>
      <c r="BB639" t="inlineStr">
        <is>
          <t>9780954086718</t>
        </is>
      </c>
      <c r="BC639" t="inlineStr">
        <is>
          <t>32285005004089</t>
        </is>
      </c>
      <c r="BD639" t="inlineStr">
        <is>
          <t>893612272</t>
        </is>
      </c>
    </row>
    <row r="640">
      <c r="A640" t="inlineStr">
        <is>
          <t>No</t>
        </is>
      </c>
      <c r="B640" t="inlineStr">
        <is>
          <t>DE94 .F47 1987</t>
        </is>
      </c>
      <c r="C640" t="inlineStr">
        <is>
          <t>0                      DE 0094000F  47          1987</t>
        </is>
      </c>
      <c r="D640" t="inlineStr">
        <is>
          <t>Before Columbus : exploration and colonization from the Mediterranean to the Atlantic, 1229-1492 / Felipe Fernández-Armesto.</t>
        </is>
      </c>
      <c r="F640" t="inlineStr">
        <is>
          <t>No</t>
        </is>
      </c>
      <c r="G640" t="inlineStr">
        <is>
          <t>1</t>
        </is>
      </c>
      <c r="H640" t="inlineStr">
        <is>
          <t>No</t>
        </is>
      </c>
      <c r="I640" t="inlineStr">
        <is>
          <t>No</t>
        </is>
      </c>
      <c r="J640" t="inlineStr">
        <is>
          <t>0</t>
        </is>
      </c>
      <c r="K640" t="inlineStr">
        <is>
          <t>Fernández-Armesto, Felipe.</t>
        </is>
      </c>
      <c r="L640" t="inlineStr">
        <is>
          <t>Philadelphia : University of Pennsylvania Press, 1987.</t>
        </is>
      </c>
      <c r="M640" t="inlineStr">
        <is>
          <t>1987</t>
        </is>
      </c>
      <c r="O640" t="inlineStr">
        <is>
          <t>eng</t>
        </is>
      </c>
      <c r="P640" t="inlineStr">
        <is>
          <t>pau</t>
        </is>
      </c>
      <c r="Q640" t="inlineStr">
        <is>
          <t>The Middle Ages</t>
        </is>
      </c>
      <c r="R640" t="inlineStr">
        <is>
          <t xml:space="preserve">DE </t>
        </is>
      </c>
      <c r="S640" t="n">
        <v>2</v>
      </c>
      <c r="T640" t="n">
        <v>2</v>
      </c>
      <c r="U640" t="inlineStr">
        <is>
          <t>1992-08-20</t>
        </is>
      </c>
      <c r="V640" t="inlineStr">
        <is>
          <t>1992-08-20</t>
        </is>
      </c>
      <c r="W640" t="inlineStr">
        <is>
          <t>1991-02-11</t>
        </is>
      </c>
      <c r="X640" t="inlineStr">
        <is>
          <t>1991-02-11</t>
        </is>
      </c>
      <c r="Y640" t="n">
        <v>488</v>
      </c>
      <c r="Z640" t="n">
        <v>435</v>
      </c>
      <c r="AA640" t="n">
        <v>541</v>
      </c>
      <c r="AB640" t="n">
        <v>2</v>
      </c>
      <c r="AC640" t="n">
        <v>3</v>
      </c>
      <c r="AD640" t="n">
        <v>21</v>
      </c>
      <c r="AE640" t="n">
        <v>29</v>
      </c>
      <c r="AF640" t="n">
        <v>5</v>
      </c>
      <c r="AG640" t="n">
        <v>11</v>
      </c>
      <c r="AH640" t="n">
        <v>6</v>
      </c>
      <c r="AI640" t="n">
        <v>8</v>
      </c>
      <c r="AJ640" t="n">
        <v>13</v>
      </c>
      <c r="AK640" t="n">
        <v>16</v>
      </c>
      <c r="AL640" t="n">
        <v>1</v>
      </c>
      <c r="AM640" t="n">
        <v>2</v>
      </c>
      <c r="AN640" t="n">
        <v>0</v>
      </c>
      <c r="AO640" t="n">
        <v>0</v>
      </c>
      <c r="AP640" t="inlineStr">
        <is>
          <t>No</t>
        </is>
      </c>
      <c r="AQ640" t="inlineStr">
        <is>
          <t>Yes</t>
        </is>
      </c>
      <c r="AR640">
        <f>HYPERLINK("http://catalog.hathitrust.org/Record/000857115","HathiTrust Record")</f>
        <v/>
      </c>
      <c r="AS640">
        <f>HYPERLINK("https://creighton-primo.hosted.exlibrisgroup.com/primo-explore/search?tab=default_tab&amp;search_scope=EVERYTHING&amp;vid=01CRU&amp;lang=en_US&amp;offset=0&amp;query=any,contains,991001037479702656","Catalog Record")</f>
        <v/>
      </c>
      <c r="AT640">
        <f>HYPERLINK("http://www.worldcat.org/oclc/15550121","WorldCat Record")</f>
        <v/>
      </c>
      <c r="AU640" t="inlineStr">
        <is>
          <t>9751093:eng</t>
        </is>
      </c>
      <c r="AV640" t="inlineStr">
        <is>
          <t>15550121</t>
        </is>
      </c>
      <c r="AW640" t="inlineStr">
        <is>
          <t>991001037479702656</t>
        </is>
      </c>
      <c r="AX640" t="inlineStr">
        <is>
          <t>991001037479702656</t>
        </is>
      </c>
      <c r="AY640" t="inlineStr">
        <is>
          <t>2256385240002656</t>
        </is>
      </c>
      <c r="AZ640" t="inlineStr">
        <is>
          <t>BOOK</t>
        </is>
      </c>
      <c r="BB640" t="inlineStr">
        <is>
          <t>9780812280838</t>
        </is>
      </c>
      <c r="BC640" t="inlineStr">
        <is>
          <t>32285000458272</t>
        </is>
      </c>
      <c r="BD640" t="inlineStr">
        <is>
          <t>893589972</t>
        </is>
      </c>
    </row>
    <row r="641">
      <c r="A641" t="inlineStr">
        <is>
          <t>No</t>
        </is>
      </c>
      <c r="B641" t="inlineStr">
        <is>
          <t>DF105 .G35 1991a</t>
        </is>
      </c>
      <c r="C641" t="inlineStr">
        <is>
          <t>0                      DF 0105000G  35          1991a</t>
        </is>
      </c>
      <c r="D641" t="inlineStr">
        <is>
          <t>Risk and survival in ancient Greece : reconstructing the rural domestic economy / Thomas W. Gallant.</t>
        </is>
      </c>
      <c r="F641" t="inlineStr">
        <is>
          <t>No</t>
        </is>
      </c>
      <c r="G641" t="inlineStr">
        <is>
          <t>1</t>
        </is>
      </c>
      <c r="H641" t="inlineStr">
        <is>
          <t>No</t>
        </is>
      </c>
      <c r="I641" t="inlineStr">
        <is>
          <t>No</t>
        </is>
      </c>
      <c r="J641" t="inlineStr">
        <is>
          <t>0</t>
        </is>
      </c>
      <c r="K641" t="inlineStr">
        <is>
          <t>Gallant, Thomas W.</t>
        </is>
      </c>
      <c r="L641" t="inlineStr">
        <is>
          <t>Stanford, Calif. : Stanford University Press, 1991.</t>
        </is>
      </c>
      <c r="M641" t="inlineStr">
        <is>
          <t>1991</t>
        </is>
      </c>
      <c r="O641" t="inlineStr">
        <is>
          <t>eng</t>
        </is>
      </c>
      <c r="P641" t="inlineStr">
        <is>
          <t>cau</t>
        </is>
      </c>
      <c r="R641" t="inlineStr">
        <is>
          <t xml:space="preserve">DF </t>
        </is>
      </c>
      <c r="S641" t="n">
        <v>7</v>
      </c>
      <c r="T641" t="n">
        <v>7</v>
      </c>
      <c r="U641" t="inlineStr">
        <is>
          <t>2009-03-24</t>
        </is>
      </c>
      <c r="V641" t="inlineStr">
        <is>
          <t>2009-03-24</t>
        </is>
      </c>
      <c r="W641" t="inlineStr">
        <is>
          <t>1998-05-18</t>
        </is>
      </c>
      <c r="X641" t="inlineStr">
        <is>
          <t>1998-05-18</t>
        </is>
      </c>
      <c r="Y641" t="n">
        <v>290</v>
      </c>
      <c r="Z641" t="n">
        <v>232</v>
      </c>
      <c r="AA641" t="n">
        <v>245</v>
      </c>
      <c r="AB641" t="n">
        <v>1</v>
      </c>
      <c r="AC641" t="n">
        <v>1</v>
      </c>
      <c r="AD641" t="n">
        <v>10</v>
      </c>
      <c r="AE641" t="n">
        <v>11</v>
      </c>
      <c r="AF641" t="n">
        <v>4</v>
      </c>
      <c r="AG641" t="n">
        <v>5</v>
      </c>
      <c r="AH641" t="n">
        <v>2</v>
      </c>
      <c r="AI641" t="n">
        <v>2</v>
      </c>
      <c r="AJ641" t="n">
        <v>7</v>
      </c>
      <c r="AK641" t="n">
        <v>8</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HYPERLINK("https://creighton-primo.hosted.exlibrisgroup.com/primo-explore/search?tab=default_tab&amp;search_scope=EVERYTHING&amp;vid=01CRU&amp;lang=en_US&amp;offset=0&amp;query=any,contains,991005413749702656","Catalog Record")</f>
        <v/>
      </c>
      <c r="AT641">
        <f>HYPERLINK("http://www.worldcat.org/oclc/24088070","WorldCat Record")</f>
        <v/>
      </c>
      <c r="AU641" t="inlineStr">
        <is>
          <t>836916497:eng</t>
        </is>
      </c>
      <c r="AV641" t="inlineStr">
        <is>
          <t>24088070</t>
        </is>
      </c>
      <c r="AW641" t="inlineStr">
        <is>
          <t>991005413749702656</t>
        </is>
      </c>
      <c r="AX641" t="inlineStr">
        <is>
          <t>991005413749702656</t>
        </is>
      </c>
      <c r="AY641" t="inlineStr">
        <is>
          <t>2272406820002656</t>
        </is>
      </c>
      <c r="AZ641" t="inlineStr">
        <is>
          <t>BOOK</t>
        </is>
      </c>
      <c r="BB641" t="inlineStr">
        <is>
          <t>9780804718578</t>
        </is>
      </c>
      <c r="BC641" t="inlineStr">
        <is>
          <t>32285003409686</t>
        </is>
      </c>
      <c r="BD641" t="inlineStr">
        <is>
          <t>893890195</t>
        </is>
      </c>
    </row>
    <row r="642">
      <c r="A642" t="inlineStr">
        <is>
          <t>No</t>
        </is>
      </c>
      <c r="B642" t="inlineStr">
        <is>
          <t>DF11.3.W37 S4</t>
        </is>
      </c>
      <c r="C642" t="inlineStr">
        <is>
          <t>0                      DF 0011300W  37                 S  4</t>
        </is>
      </c>
      <c r="D642" t="inlineStr">
        <is>
          <t>The Search for Alexander : an exhibition / National Gallery of Art Washington, D.C. ... [et a.]. ; with contributions by Nicholas Yalouris, Manolis Andronikos, Katerina Rhomiopoulou.</t>
        </is>
      </c>
      <c r="F642" t="inlineStr">
        <is>
          <t>No</t>
        </is>
      </c>
      <c r="G642" t="inlineStr">
        <is>
          <t>1</t>
        </is>
      </c>
      <c r="H642" t="inlineStr">
        <is>
          <t>No</t>
        </is>
      </c>
      <c r="I642" t="inlineStr">
        <is>
          <t>No</t>
        </is>
      </c>
      <c r="J642" t="inlineStr">
        <is>
          <t>0</t>
        </is>
      </c>
      <c r="L642" t="inlineStr">
        <is>
          <t>Boston : Little Brown, [1980]</t>
        </is>
      </c>
      <c r="M642" t="inlineStr">
        <is>
          <t>1980</t>
        </is>
      </c>
      <c r="O642" t="inlineStr">
        <is>
          <t>eng</t>
        </is>
      </c>
      <c r="P642" t="inlineStr">
        <is>
          <t>mau</t>
        </is>
      </c>
      <c r="R642" t="inlineStr">
        <is>
          <t xml:space="preserve">DF </t>
        </is>
      </c>
      <c r="S642" t="n">
        <v>3</v>
      </c>
      <c r="T642" t="n">
        <v>3</v>
      </c>
      <c r="U642" t="inlineStr">
        <is>
          <t>2006-04-11</t>
        </is>
      </c>
      <c r="V642" t="inlineStr">
        <is>
          <t>2006-04-11</t>
        </is>
      </c>
      <c r="W642" t="inlineStr">
        <is>
          <t>1991-02-11</t>
        </is>
      </c>
      <c r="X642" t="inlineStr">
        <is>
          <t>1991-02-11</t>
        </is>
      </c>
      <c r="Y642" t="n">
        <v>1109</v>
      </c>
      <c r="Z642" t="n">
        <v>997</v>
      </c>
      <c r="AA642" t="n">
        <v>1050</v>
      </c>
      <c r="AB642" t="n">
        <v>6</v>
      </c>
      <c r="AC642" t="n">
        <v>6</v>
      </c>
      <c r="AD642" t="n">
        <v>34</v>
      </c>
      <c r="AE642" t="n">
        <v>35</v>
      </c>
      <c r="AF642" t="n">
        <v>16</v>
      </c>
      <c r="AG642" t="n">
        <v>17</v>
      </c>
      <c r="AH642" t="n">
        <v>9</v>
      </c>
      <c r="AI642" t="n">
        <v>9</v>
      </c>
      <c r="AJ642" t="n">
        <v>13</v>
      </c>
      <c r="AK642" t="n">
        <v>14</v>
      </c>
      <c r="AL642" t="n">
        <v>4</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HYPERLINK("https://creighton-primo.hosted.exlibrisgroup.com/primo-explore/search?tab=default_tab&amp;search_scope=EVERYTHING&amp;vid=01CRU&amp;lang=en_US&amp;offset=0&amp;query=any,contains,991005027719702656","Catalog Record")</f>
        <v/>
      </c>
      <c r="AT642">
        <f>HYPERLINK("http://www.worldcat.org/oclc/6707679","WorldCat Record")</f>
        <v/>
      </c>
      <c r="AU642" t="inlineStr">
        <is>
          <t>948221813:eng</t>
        </is>
      </c>
      <c r="AV642" t="inlineStr">
        <is>
          <t>6707679</t>
        </is>
      </c>
      <c r="AW642" t="inlineStr">
        <is>
          <t>991005027719702656</t>
        </is>
      </c>
      <c r="AX642" t="inlineStr">
        <is>
          <t>991005027719702656</t>
        </is>
      </c>
      <c r="AY642" t="inlineStr">
        <is>
          <t>2257756970002656</t>
        </is>
      </c>
      <c r="AZ642" t="inlineStr">
        <is>
          <t>BOOK</t>
        </is>
      </c>
      <c r="BB642" t="inlineStr">
        <is>
          <t>9780821211083</t>
        </is>
      </c>
      <c r="BC642" t="inlineStr">
        <is>
          <t>32285000458298</t>
        </is>
      </c>
      <c r="BD642" t="inlineStr">
        <is>
          <t>893236177</t>
        </is>
      </c>
    </row>
    <row r="643">
      <c r="A643" t="inlineStr">
        <is>
          <t>No</t>
        </is>
      </c>
      <c r="B643" t="inlineStr">
        <is>
          <t>DF122 .P6513 1995</t>
        </is>
      </c>
      <c r="C643" t="inlineStr">
        <is>
          <t>0                      DF 0122000P  6513        1995</t>
        </is>
      </c>
      <c r="D643" t="inlineStr">
        <is>
          <t>Cults, territory, and the origins of the Greek city-state / François de Polignac ; translated by Janet Lloyd ; with a new foreword by Claude Mossé.</t>
        </is>
      </c>
      <c r="F643" t="inlineStr">
        <is>
          <t>No</t>
        </is>
      </c>
      <c r="G643" t="inlineStr">
        <is>
          <t>1</t>
        </is>
      </c>
      <c r="H643" t="inlineStr">
        <is>
          <t>No</t>
        </is>
      </c>
      <c r="I643" t="inlineStr">
        <is>
          <t>No</t>
        </is>
      </c>
      <c r="J643" t="inlineStr">
        <is>
          <t>0</t>
        </is>
      </c>
      <c r="K643" t="inlineStr">
        <is>
          <t>Polignac, François de.</t>
        </is>
      </c>
      <c r="L643" t="inlineStr">
        <is>
          <t>Chicago : University of Chicago Press, 1995.</t>
        </is>
      </c>
      <c r="M643" t="inlineStr">
        <is>
          <t>1995</t>
        </is>
      </c>
      <c r="O643" t="inlineStr">
        <is>
          <t>eng</t>
        </is>
      </c>
      <c r="P643" t="inlineStr">
        <is>
          <t>ilu</t>
        </is>
      </c>
      <c r="R643" t="inlineStr">
        <is>
          <t xml:space="preserve">DF </t>
        </is>
      </c>
      <c r="S643" t="n">
        <v>6</v>
      </c>
      <c r="T643" t="n">
        <v>6</v>
      </c>
      <c r="U643" t="inlineStr">
        <is>
          <t>2009-02-02</t>
        </is>
      </c>
      <c r="V643" t="inlineStr">
        <is>
          <t>2009-02-02</t>
        </is>
      </c>
      <c r="W643" t="inlineStr">
        <is>
          <t>1996-01-17</t>
        </is>
      </c>
      <c r="X643" t="inlineStr">
        <is>
          <t>1996-01-17</t>
        </is>
      </c>
      <c r="Y643" t="n">
        <v>455</v>
      </c>
      <c r="Z643" t="n">
        <v>338</v>
      </c>
      <c r="AA643" t="n">
        <v>343</v>
      </c>
      <c r="AB643" t="n">
        <v>3</v>
      </c>
      <c r="AC643" t="n">
        <v>3</v>
      </c>
      <c r="AD643" t="n">
        <v>23</v>
      </c>
      <c r="AE643" t="n">
        <v>23</v>
      </c>
      <c r="AF643" t="n">
        <v>9</v>
      </c>
      <c r="AG643" t="n">
        <v>9</v>
      </c>
      <c r="AH643" t="n">
        <v>6</v>
      </c>
      <c r="AI643" t="n">
        <v>6</v>
      </c>
      <c r="AJ643" t="n">
        <v>14</v>
      </c>
      <c r="AK643" t="n">
        <v>14</v>
      </c>
      <c r="AL643" t="n">
        <v>2</v>
      </c>
      <c r="AM643" t="n">
        <v>2</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HYPERLINK("https://creighton-primo.hosted.exlibrisgroup.com/primo-explore/search?tab=default_tab&amp;search_scope=EVERYTHING&amp;vid=01CRU&amp;lang=en_US&amp;offset=0&amp;query=any,contains,991002441409702656","Catalog Record")</f>
        <v/>
      </c>
      <c r="AT643">
        <f>HYPERLINK("http://www.worldcat.org/oclc/31816428","WorldCat Record")</f>
        <v/>
      </c>
      <c r="AU643" t="inlineStr">
        <is>
          <t>4494956140:eng</t>
        </is>
      </c>
      <c r="AV643" t="inlineStr">
        <is>
          <t>31816428</t>
        </is>
      </c>
      <c r="AW643" t="inlineStr">
        <is>
          <t>991002441409702656</t>
        </is>
      </c>
      <c r="AX643" t="inlineStr">
        <is>
          <t>991002441409702656</t>
        </is>
      </c>
      <c r="AY643" t="inlineStr">
        <is>
          <t>2262129590002656</t>
        </is>
      </c>
      <c r="AZ643" t="inlineStr">
        <is>
          <t>BOOK</t>
        </is>
      </c>
      <c r="BB643" t="inlineStr">
        <is>
          <t>9780226673332</t>
        </is>
      </c>
      <c r="BC643" t="inlineStr">
        <is>
          <t>32285002118205</t>
        </is>
      </c>
      <c r="BD643" t="inlineStr">
        <is>
          <t>893510741</t>
        </is>
      </c>
    </row>
    <row r="644">
      <c r="A644" t="inlineStr">
        <is>
          <t>No</t>
        </is>
      </c>
      <c r="B644" t="inlineStr">
        <is>
          <t>DF125 .P36</t>
        </is>
      </c>
      <c r="C644" t="inlineStr">
        <is>
          <t>0                      DF 0125000P  36</t>
        </is>
      </c>
      <c r="D644" t="inlineStr">
        <is>
          <t>Greek oracles [by] H. W. Parke.</t>
        </is>
      </c>
      <c r="F644" t="inlineStr">
        <is>
          <t>No</t>
        </is>
      </c>
      <c r="G644" t="inlineStr">
        <is>
          <t>1</t>
        </is>
      </c>
      <c r="H644" t="inlineStr">
        <is>
          <t>No</t>
        </is>
      </c>
      <c r="I644" t="inlineStr">
        <is>
          <t>No</t>
        </is>
      </c>
      <c r="J644" t="inlineStr">
        <is>
          <t>0</t>
        </is>
      </c>
      <c r="K644" t="inlineStr">
        <is>
          <t>Parke, H. W. (Herbert William), 1903-1986.</t>
        </is>
      </c>
      <c r="L644" t="inlineStr">
        <is>
          <t>London, Hutchinson [1967]</t>
        </is>
      </c>
      <c r="M644" t="inlineStr">
        <is>
          <t>1967</t>
        </is>
      </c>
      <c r="O644" t="inlineStr">
        <is>
          <t>eng</t>
        </is>
      </c>
      <c r="P644" t="inlineStr">
        <is>
          <t>enk</t>
        </is>
      </c>
      <c r="Q644" t="inlineStr">
        <is>
          <t>Hutchinson University Library. Classical history and literature</t>
        </is>
      </c>
      <c r="R644" t="inlineStr">
        <is>
          <t xml:space="preserve">DF </t>
        </is>
      </c>
      <c r="S644" t="n">
        <v>7</v>
      </c>
      <c r="T644" t="n">
        <v>7</v>
      </c>
      <c r="U644" t="inlineStr">
        <is>
          <t>2005-10-02</t>
        </is>
      </c>
      <c r="V644" t="inlineStr">
        <is>
          <t>2005-10-02</t>
        </is>
      </c>
      <c r="W644" t="inlineStr">
        <is>
          <t>1991-12-10</t>
        </is>
      </c>
      <c r="X644" t="inlineStr">
        <is>
          <t>1991-12-10</t>
        </is>
      </c>
      <c r="Y644" t="n">
        <v>448</v>
      </c>
      <c r="Z644" t="n">
        <v>279</v>
      </c>
      <c r="AA644" t="n">
        <v>286</v>
      </c>
      <c r="AB644" t="n">
        <v>2</v>
      </c>
      <c r="AC644" t="n">
        <v>2</v>
      </c>
      <c r="AD644" t="n">
        <v>15</v>
      </c>
      <c r="AE644" t="n">
        <v>15</v>
      </c>
      <c r="AF644" t="n">
        <v>5</v>
      </c>
      <c r="AG644" t="n">
        <v>5</v>
      </c>
      <c r="AH644" t="n">
        <v>3</v>
      </c>
      <c r="AI644" t="n">
        <v>3</v>
      </c>
      <c r="AJ644" t="n">
        <v>10</v>
      </c>
      <c r="AK644" t="n">
        <v>10</v>
      </c>
      <c r="AL644" t="n">
        <v>1</v>
      </c>
      <c r="AM644" t="n">
        <v>1</v>
      </c>
      <c r="AN644" t="n">
        <v>0</v>
      </c>
      <c r="AO644" t="n">
        <v>0</v>
      </c>
      <c r="AP644" t="inlineStr">
        <is>
          <t>No</t>
        </is>
      </c>
      <c r="AQ644" t="inlineStr">
        <is>
          <t>Yes</t>
        </is>
      </c>
      <c r="AR644">
        <f>HYPERLINK("http://catalog.hathitrust.org/Record/000573036","HathiTrust Record")</f>
        <v/>
      </c>
      <c r="AS644">
        <f>HYPERLINK("https://creighton-primo.hosted.exlibrisgroup.com/primo-explore/search?tab=default_tab&amp;search_scope=EVERYTHING&amp;vid=01CRU&amp;lang=en_US&amp;offset=0&amp;query=any,contains,991005354159702656","Catalog Record")</f>
        <v/>
      </c>
      <c r="AT644">
        <f>HYPERLINK("http://www.worldcat.org/oclc/269333","WorldCat Record")</f>
        <v/>
      </c>
      <c r="AU644" t="inlineStr">
        <is>
          <t>1394549:eng</t>
        </is>
      </c>
      <c r="AV644" t="inlineStr">
        <is>
          <t>269333</t>
        </is>
      </c>
      <c r="AW644" t="inlineStr">
        <is>
          <t>991005354159702656</t>
        </is>
      </c>
      <c r="AX644" t="inlineStr">
        <is>
          <t>991005354159702656</t>
        </is>
      </c>
      <c r="AY644" t="inlineStr">
        <is>
          <t>2267428540002656</t>
        </is>
      </c>
      <c r="AZ644" t="inlineStr">
        <is>
          <t>BOOK</t>
        </is>
      </c>
      <c r="BC644" t="inlineStr">
        <is>
          <t>32285000839182</t>
        </is>
      </c>
      <c r="BD644" t="inlineStr">
        <is>
          <t>893443812</t>
        </is>
      </c>
    </row>
    <row r="645">
      <c r="A645" t="inlineStr">
        <is>
          <t>No</t>
        </is>
      </c>
      <c r="B645" t="inlineStr">
        <is>
          <t>DF135 .H35</t>
        </is>
      </c>
      <c r="C645" t="inlineStr">
        <is>
          <t>0                      DF 0135000H  35</t>
        </is>
      </c>
      <c r="D645" t="inlineStr">
        <is>
          <t>Migrations and invasions in Greece and adjacent areas / by N.G.L. Hammond.</t>
        </is>
      </c>
      <c r="F645" t="inlineStr">
        <is>
          <t>No</t>
        </is>
      </c>
      <c r="G645" t="inlineStr">
        <is>
          <t>1</t>
        </is>
      </c>
      <c r="H645" t="inlineStr">
        <is>
          <t>No</t>
        </is>
      </c>
      <c r="I645" t="inlineStr">
        <is>
          <t>No</t>
        </is>
      </c>
      <c r="J645" t="inlineStr">
        <is>
          <t>0</t>
        </is>
      </c>
      <c r="K645" t="inlineStr">
        <is>
          <t>Hammond, N. G. L. (Nicholas Geoffrey Lemprière), 1907-2001.</t>
        </is>
      </c>
      <c r="L645" t="inlineStr">
        <is>
          <t>Park Ridge, N.J. : Noyes Press, c1976.</t>
        </is>
      </c>
      <c r="M645" t="inlineStr">
        <is>
          <t>1976</t>
        </is>
      </c>
      <c r="O645" t="inlineStr">
        <is>
          <t>eng</t>
        </is>
      </c>
      <c r="P645" t="inlineStr">
        <is>
          <t>nju</t>
        </is>
      </c>
      <c r="R645" t="inlineStr">
        <is>
          <t xml:space="preserve">DF </t>
        </is>
      </c>
      <c r="S645" t="n">
        <v>3</v>
      </c>
      <c r="T645" t="n">
        <v>3</v>
      </c>
      <c r="U645" t="inlineStr">
        <is>
          <t>2004-09-12</t>
        </is>
      </c>
      <c r="V645" t="inlineStr">
        <is>
          <t>2004-09-12</t>
        </is>
      </c>
      <c r="W645" t="inlineStr">
        <is>
          <t>1991-02-14</t>
        </is>
      </c>
      <c r="X645" t="inlineStr">
        <is>
          <t>1991-02-14</t>
        </is>
      </c>
      <c r="Y645" t="n">
        <v>481</v>
      </c>
      <c r="Z645" t="n">
        <v>359</v>
      </c>
      <c r="AA645" t="n">
        <v>366</v>
      </c>
      <c r="AB645" t="n">
        <v>2</v>
      </c>
      <c r="AC645" t="n">
        <v>2</v>
      </c>
      <c r="AD645" t="n">
        <v>21</v>
      </c>
      <c r="AE645" t="n">
        <v>21</v>
      </c>
      <c r="AF645" t="n">
        <v>5</v>
      </c>
      <c r="AG645" t="n">
        <v>5</v>
      </c>
      <c r="AH645" t="n">
        <v>6</v>
      </c>
      <c r="AI645" t="n">
        <v>6</v>
      </c>
      <c r="AJ645" t="n">
        <v>18</v>
      </c>
      <c r="AK645" t="n">
        <v>18</v>
      </c>
      <c r="AL645" t="n">
        <v>1</v>
      </c>
      <c r="AM645" t="n">
        <v>1</v>
      </c>
      <c r="AN645" t="n">
        <v>0</v>
      </c>
      <c r="AO645" t="n">
        <v>0</v>
      </c>
      <c r="AP645" t="inlineStr">
        <is>
          <t>No</t>
        </is>
      </c>
      <c r="AQ645" t="inlineStr">
        <is>
          <t>Yes</t>
        </is>
      </c>
      <c r="AR645">
        <f>HYPERLINK("http://catalog.hathitrust.org/Record/000738818","HathiTrust Record")</f>
        <v/>
      </c>
      <c r="AS645">
        <f>HYPERLINK("https://creighton-primo.hosted.exlibrisgroup.com/primo-explore/search?tab=default_tab&amp;search_scope=EVERYTHING&amp;vid=01CRU&amp;lang=en_US&amp;offset=0&amp;query=any,contains,991004083229702656","Catalog Record")</f>
        <v/>
      </c>
      <c r="AT645">
        <f>HYPERLINK("http://www.worldcat.org/oclc/2331298","WorldCat Record")</f>
        <v/>
      </c>
      <c r="AU645" t="inlineStr">
        <is>
          <t>121078369:eng</t>
        </is>
      </c>
      <c r="AV645" t="inlineStr">
        <is>
          <t>2331298</t>
        </is>
      </c>
      <c r="AW645" t="inlineStr">
        <is>
          <t>991004083229702656</t>
        </is>
      </c>
      <c r="AX645" t="inlineStr">
        <is>
          <t>991004083229702656</t>
        </is>
      </c>
      <c r="AY645" t="inlineStr">
        <is>
          <t>2263548750002656</t>
        </is>
      </c>
      <c r="AZ645" t="inlineStr">
        <is>
          <t>BOOK</t>
        </is>
      </c>
      <c r="BB645" t="inlineStr">
        <is>
          <t>9780815550471</t>
        </is>
      </c>
      <c r="BC645" t="inlineStr">
        <is>
          <t>32285000459049</t>
        </is>
      </c>
      <c r="BD645" t="inlineStr">
        <is>
          <t>893687347</t>
        </is>
      </c>
    </row>
    <row r="646">
      <c r="A646" t="inlineStr">
        <is>
          <t>No</t>
        </is>
      </c>
      <c r="B646" t="inlineStr">
        <is>
          <t>DF208 .P5513 1973</t>
        </is>
      </c>
      <c r="C646" t="inlineStr">
        <is>
          <t>0                      DF 0208000P  5513        1973</t>
        </is>
      </c>
      <c r="D646" t="inlineStr">
        <is>
          <t>The age of Alexander: nine Greek lives. Translated [from the Latin] and annotated by Ian Scott-Kilvert; introduction by G. T. Griffith.</t>
        </is>
      </c>
      <c r="F646" t="inlineStr">
        <is>
          <t>No</t>
        </is>
      </c>
      <c r="G646" t="inlineStr">
        <is>
          <t>1</t>
        </is>
      </c>
      <c r="H646" t="inlineStr">
        <is>
          <t>No</t>
        </is>
      </c>
      <c r="I646" t="inlineStr">
        <is>
          <t>No</t>
        </is>
      </c>
      <c r="J646" t="inlineStr">
        <is>
          <t>0</t>
        </is>
      </c>
      <c r="K646" t="inlineStr">
        <is>
          <t>Plutarch.</t>
        </is>
      </c>
      <c r="L646" t="inlineStr">
        <is>
          <t>Harmondsworth, Penguin, 1973.</t>
        </is>
      </c>
      <c r="M646" t="inlineStr">
        <is>
          <t>1973</t>
        </is>
      </c>
      <c r="O646" t="inlineStr">
        <is>
          <t>eng</t>
        </is>
      </c>
      <c r="P646" t="inlineStr">
        <is>
          <t>enk</t>
        </is>
      </c>
      <c r="Q646" t="inlineStr">
        <is>
          <t>Penguin classics ; L286</t>
        </is>
      </c>
      <c r="R646" t="inlineStr">
        <is>
          <t xml:space="preserve">DF </t>
        </is>
      </c>
      <c r="S646" t="n">
        <v>5</v>
      </c>
      <c r="T646" t="n">
        <v>5</v>
      </c>
      <c r="U646" t="inlineStr">
        <is>
          <t>2008-10-09</t>
        </is>
      </c>
      <c r="V646" t="inlineStr">
        <is>
          <t>2008-10-09</t>
        </is>
      </c>
      <c r="W646" t="inlineStr">
        <is>
          <t>1997-01-28</t>
        </is>
      </c>
      <c r="X646" t="inlineStr">
        <is>
          <t>1997-01-28</t>
        </is>
      </c>
      <c r="Y646" t="n">
        <v>717</v>
      </c>
      <c r="Z646" t="n">
        <v>552</v>
      </c>
      <c r="AA646" t="n">
        <v>644</v>
      </c>
      <c r="AB646" t="n">
        <v>3</v>
      </c>
      <c r="AC646" t="n">
        <v>4</v>
      </c>
      <c r="AD646" t="n">
        <v>22</v>
      </c>
      <c r="AE646" t="n">
        <v>28</v>
      </c>
      <c r="AF646" t="n">
        <v>9</v>
      </c>
      <c r="AG646" t="n">
        <v>10</v>
      </c>
      <c r="AH646" t="n">
        <v>5</v>
      </c>
      <c r="AI646" t="n">
        <v>8</v>
      </c>
      <c r="AJ646" t="n">
        <v>12</v>
      </c>
      <c r="AK646" t="n">
        <v>16</v>
      </c>
      <c r="AL646" t="n">
        <v>2</v>
      </c>
      <c r="AM646" t="n">
        <v>3</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HYPERLINK("https://creighton-primo.hosted.exlibrisgroup.com/primo-explore/search?tab=default_tab&amp;search_scope=EVERYTHING&amp;vid=01CRU&amp;lang=en_US&amp;offset=0&amp;query=any,contains,991003230419702656","Catalog Record")</f>
        <v/>
      </c>
      <c r="AT646">
        <f>HYPERLINK("http://www.worldcat.org/oclc/754928","WorldCat Record")</f>
        <v/>
      </c>
      <c r="AU646" t="inlineStr">
        <is>
          <t>1151011784:eng</t>
        </is>
      </c>
      <c r="AV646" t="inlineStr">
        <is>
          <t>754928</t>
        </is>
      </c>
      <c r="AW646" t="inlineStr">
        <is>
          <t>991003230419702656</t>
        </is>
      </c>
      <c r="AX646" t="inlineStr">
        <is>
          <t>991003230419702656</t>
        </is>
      </c>
      <c r="AY646" t="inlineStr">
        <is>
          <t>2269968360002656</t>
        </is>
      </c>
      <c r="AZ646" t="inlineStr">
        <is>
          <t>BOOK</t>
        </is>
      </c>
      <c r="BB646" t="inlineStr">
        <is>
          <t>9780140442861</t>
        </is>
      </c>
      <c r="BC646" t="inlineStr">
        <is>
          <t>32285005462931</t>
        </is>
      </c>
      <c r="BD646" t="inlineStr">
        <is>
          <t>893330095</t>
        </is>
      </c>
    </row>
    <row r="647">
      <c r="A647" t="inlineStr">
        <is>
          <t>No</t>
        </is>
      </c>
      <c r="B647" t="inlineStr">
        <is>
          <t>DF211 .B8 1958</t>
        </is>
      </c>
      <c r="C647" t="inlineStr">
        <is>
          <t>0                      DF 0211000B  8           1958</t>
        </is>
      </c>
      <c r="D647" t="inlineStr">
        <is>
          <t>The ancient Greek historians.</t>
        </is>
      </c>
      <c r="F647" t="inlineStr">
        <is>
          <t>No</t>
        </is>
      </c>
      <c r="G647" t="inlineStr">
        <is>
          <t>1</t>
        </is>
      </c>
      <c r="H647" t="inlineStr">
        <is>
          <t>No</t>
        </is>
      </c>
      <c r="I647" t="inlineStr">
        <is>
          <t>No</t>
        </is>
      </c>
      <c r="J647" t="inlineStr">
        <is>
          <t>0</t>
        </is>
      </c>
      <c r="K647" t="inlineStr">
        <is>
          <t>Bury, J. B. (John Bagnell), 1861-1927.</t>
        </is>
      </c>
      <c r="L647" t="inlineStr">
        <is>
          <t>New York : Dover Publications, [1958]</t>
        </is>
      </c>
      <c r="M647" t="inlineStr">
        <is>
          <t>1958</t>
        </is>
      </c>
      <c r="O647" t="inlineStr">
        <is>
          <t>eng</t>
        </is>
      </c>
      <c r="P647" t="inlineStr">
        <is>
          <t>nyu</t>
        </is>
      </c>
      <c r="R647" t="inlineStr">
        <is>
          <t xml:space="preserve">DF </t>
        </is>
      </c>
      <c r="S647" t="n">
        <v>4</v>
      </c>
      <c r="T647" t="n">
        <v>4</v>
      </c>
      <c r="U647" t="inlineStr">
        <is>
          <t>2002-11-06</t>
        </is>
      </c>
      <c r="V647" t="inlineStr">
        <is>
          <t>2002-11-06</t>
        </is>
      </c>
      <c r="W647" t="inlineStr">
        <is>
          <t>1997-01-30</t>
        </is>
      </c>
      <c r="X647" t="inlineStr">
        <is>
          <t>1997-01-30</t>
        </is>
      </c>
      <c r="Y647" t="n">
        <v>921</v>
      </c>
      <c r="Z647" t="n">
        <v>763</v>
      </c>
      <c r="AA647" t="n">
        <v>811</v>
      </c>
      <c r="AB647" t="n">
        <v>7</v>
      </c>
      <c r="AC647" t="n">
        <v>8</v>
      </c>
      <c r="AD647" t="n">
        <v>40</v>
      </c>
      <c r="AE647" t="n">
        <v>40</v>
      </c>
      <c r="AF647" t="n">
        <v>18</v>
      </c>
      <c r="AG647" t="n">
        <v>18</v>
      </c>
      <c r="AH647" t="n">
        <v>7</v>
      </c>
      <c r="AI647" t="n">
        <v>7</v>
      </c>
      <c r="AJ647" t="n">
        <v>16</v>
      </c>
      <c r="AK647" t="n">
        <v>16</v>
      </c>
      <c r="AL647" t="n">
        <v>6</v>
      </c>
      <c r="AM647" t="n">
        <v>6</v>
      </c>
      <c r="AN647" t="n">
        <v>0</v>
      </c>
      <c r="AO647" t="n">
        <v>0</v>
      </c>
      <c r="AP647" t="inlineStr">
        <is>
          <t>No</t>
        </is>
      </c>
      <c r="AQ647" t="inlineStr">
        <is>
          <t>Yes</t>
        </is>
      </c>
      <c r="AR647">
        <f>HYPERLINK("http://catalog.hathitrust.org/Record/000609055","HathiTrust Record")</f>
        <v/>
      </c>
      <c r="AS647">
        <f>HYPERLINK("https://creighton-primo.hosted.exlibrisgroup.com/primo-explore/search?tab=default_tab&amp;search_scope=EVERYTHING&amp;vid=01CRU&amp;lang=en_US&amp;offset=0&amp;query=any,contains,991002700369702656","Catalog Record")</f>
        <v/>
      </c>
      <c r="AT647">
        <f>HYPERLINK("http://www.worldcat.org/oclc/405304","WorldCat Record")</f>
        <v/>
      </c>
      <c r="AU647" t="inlineStr">
        <is>
          <t>765197:eng</t>
        </is>
      </c>
      <c r="AV647" t="inlineStr">
        <is>
          <t>405304</t>
        </is>
      </c>
      <c r="AW647" t="inlineStr">
        <is>
          <t>991002700369702656</t>
        </is>
      </c>
      <c r="AX647" t="inlineStr">
        <is>
          <t>991002700369702656</t>
        </is>
      </c>
      <c r="AY647" t="inlineStr">
        <is>
          <t>2260572620002656</t>
        </is>
      </c>
      <c r="AZ647" t="inlineStr">
        <is>
          <t>BOOK</t>
        </is>
      </c>
      <c r="BC647" t="inlineStr">
        <is>
          <t>32285002417409</t>
        </is>
      </c>
      <c r="BD647" t="inlineStr">
        <is>
          <t>893409427</t>
        </is>
      </c>
    </row>
    <row r="648">
      <c r="A648" t="inlineStr">
        <is>
          <t>No</t>
        </is>
      </c>
      <c r="B648" t="inlineStr">
        <is>
          <t>DF211 .L83 1997</t>
        </is>
      </c>
      <c r="C648" t="inlineStr">
        <is>
          <t>0                      DF 0211000L  83          1997</t>
        </is>
      </c>
      <c r="D648" t="inlineStr">
        <is>
          <t>The Greek historians / T.J. Luce.</t>
        </is>
      </c>
      <c r="F648" t="inlineStr">
        <is>
          <t>No</t>
        </is>
      </c>
      <c r="G648" t="inlineStr">
        <is>
          <t>1</t>
        </is>
      </c>
      <c r="H648" t="inlineStr">
        <is>
          <t>No</t>
        </is>
      </c>
      <c r="I648" t="inlineStr">
        <is>
          <t>No</t>
        </is>
      </c>
      <c r="J648" t="inlineStr">
        <is>
          <t>0</t>
        </is>
      </c>
      <c r="K648" t="inlineStr">
        <is>
          <t>Luce, T. James (Torrey James), 1932-</t>
        </is>
      </c>
      <c r="L648" t="inlineStr">
        <is>
          <t>London ; New York : Routledge, 1997.</t>
        </is>
      </c>
      <c r="M648" t="inlineStr">
        <is>
          <t>1997</t>
        </is>
      </c>
      <c r="O648" t="inlineStr">
        <is>
          <t>eng</t>
        </is>
      </c>
      <c r="P648" t="inlineStr">
        <is>
          <t>enk</t>
        </is>
      </c>
      <c r="R648" t="inlineStr">
        <is>
          <t xml:space="preserve">DF </t>
        </is>
      </c>
      <c r="S648" t="n">
        <v>3</v>
      </c>
      <c r="T648" t="n">
        <v>3</v>
      </c>
      <c r="U648" t="inlineStr">
        <is>
          <t>2002-11-06</t>
        </is>
      </c>
      <c r="V648" t="inlineStr">
        <is>
          <t>2002-11-06</t>
        </is>
      </c>
      <c r="W648" t="inlineStr">
        <is>
          <t>1998-01-22</t>
        </is>
      </c>
      <c r="X648" t="inlineStr">
        <is>
          <t>1998-01-22</t>
        </is>
      </c>
      <c r="Y648" t="n">
        <v>397</v>
      </c>
      <c r="Z648" t="n">
        <v>267</v>
      </c>
      <c r="AA648" t="n">
        <v>299</v>
      </c>
      <c r="AB648" t="n">
        <v>2</v>
      </c>
      <c r="AC648" t="n">
        <v>2</v>
      </c>
      <c r="AD648" t="n">
        <v>14</v>
      </c>
      <c r="AE648" t="n">
        <v>14</v>
      </c>
      <c r="AF648" t="n">
        <v>6</v>
      </c>
      <c r="AG648" t="n">
        <v>6</v>
      </c>
      <c r="AH648" t="n">
        <v>5</v>
      </c>
      <c r="AI648" t="n">
        <v>5</v>
      </c>
      <c r="AJ648" t="n">
        <v>9</v>
      </c>
      <c r="AK648" t="n">
        <v>9</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HYPERLINK("https://creighton-primo.hosted.exlibrisgroup.com/primo-explore/search?tab=default_tab&amp;search_scope=EVERYTHING&amp;vid=01CRU&amp;lang=en_US&amp;offset=0&amp;query=any,contains,991002656149702656","Catalog Record")</f>
        <v/>
      </c>
      <c r="AT648">
        <f>HYPERLINK("http://www.worldcat.org/oclc/34730224","WorldCat Record")</f>
        <v/>
      </c>
      <c r="AU648" t="inlineStr">
        <is>
          <t>1012597:eng</t>
        </is>
      </c>
      <c r="AV648" t="inlineStr">
        <is>
          <t>34730224</t>
        </is>
      </c>
      <c r="AW648" t="inlineStr">
        <is>
          <t>991002656149702656</t>
        </is>
      </c>
      <c r="AX648" t="inlineStr">
        <is>
          <t>991002656149702656</t>
        </is>
      </c>
      <c r="AY648" t="inlineStr">
        <is>
          <t>2270418290002656</t>
        </is>
      </c>
      <c r="AZ648" t="inlineStr">
        <is>
          <t>BOOK</t>
        </is>
      </c>
      <c r="BB648" t="inlineStr">
        <is>
          <t>9780415105927</t>
        </is>
      </c>
      <c r="BC648" t="inlineStr">
        <is>
          <t>32285003310074</t>
        </is>
      </c>
      <c r="BD648" t="inlineStr">
        <is>
          <t>893415475</t>
        </is>
      </c>
    </row>
    <row r="649">
      <c r="A649" t="inlineStr">
        <is>
          <t>No</t>
        </is>
      </c>
      <c r="B649" t="inlineStr">
        <is>
          <t>DF211 .S7</t>
        </is>
      </c>
      <c r="C649" t="inlineStr">
        <is>
          <t>0                      DF 0211000S  7</t>
        </is>
      </c>
      <c r="D649" t="inlineStr">
        <is>
          <t>The awakening of the Greek historical spirit, by Chester G. Starr.</t>
        </is>
      </c>
      <c r="F649" t="inlineStr">
        <is>
          <t>No</t>
        </is>
      </c>
      <c r="G649" t="inlineStr">
        <is>
          <t>1</t>
        </is>
      </c>
      <c r="H649" t="inlineStr">
        <is>
          <t>No</t>
        </is>
      </c>
      <c r="I649" t="inlineStr">
        <is>
          <t>No</t>
        </is>
      </c>
      <c r="J649" t="inlineStr">
        <is>
          <t>0</t>
        </is>
      </c>
      <c r="K649" t="inlineStr">
        <is>
          <t>Starr, Chester G., 1914-1999.</t>
        </is>
      </c>
      <c r="L649" t="inlineStr">
        <is>
          <t>New York, Knopf, 1968.</t>
        </is>
      </c>
      <c r="M649" t="inlineStr">
        <is>
          <t>1968</t>
        </is>
      </c>
      <c r="N649" t="inlineStr">
        <is>
          <t>[1st ed.]</t>
        </is>
      </c>
      <c r="O649" t="inlineStr">
        <is>
          <t>eng</t>
        </is>
      </c>
      <c r="P649" t="inlineStr">
        <is>
          <t>nyu</t>
        </is>
      </c>
      <c r="R649" t="inlineStr">
        <is>
          <t xml:space="preserve">DF </t>
        </is>
      </c>
      <c r="S649" t="n">
        <v>2</v>
      </c>
      <c r="T649" t="n">
        <v>2</v>
      </c>
      <c r="U649" t="inlineStr">
        <is>
          <t>2002-11-06</t>
        </is>
      </c>
      <c r="V649" t="inlineStr">
        <is>
          <t>2002-11-06</t>
        </is>
      </c>
      <c r="W649" t="inlineStr">
        <is>
          <t>1997-01-28</t>
        </is>
      </c>
      <c r="X649" t="inlineStr">
        <is>
          <t>1997-01-28</t>
        </is>
      </c>
      <c r="Y649" t="n">
        <v>556</v>
      </c>
      <c r="Z649" t="n">
        <v>495</v>
      </c>
      <c r="AA649" t="n">
        <v>503</v>
      </c>
      <c r="AB649" t="n">
        <v>6</v>
      </c>
      <c r="AC649" t="n">
        <v>6</v>
      </c>
      <c r="AD649" t="n">
        <v>27</v>
      </c>
      <c r="AE649" t="n">
        <v>27</v>
      </c>
      <c r="AF649" t="n">
        <v>8</v>
      </c>
      <c r="AG649" t="n">
        <v>8</v>
      </c>
      <c r="AH649" t="n">
        <v>9</v>
      </c>
      <c r="AI649" t="n">
        <v>9</v>
      </c>
      <c r="AJ649" t="n">
        <v>16</v>
      </c>
      <c r="AK649" t="n">
        <v>16</v>
      </c>
      <c r="AL649" t="n">
        <v>3</v>
      </c>
      <c r="AM649" t="n">
        <v>3</v>
      </c>
      <c r="AN649" t="n">
        <v>0</v>
      </c>
      <c r="AO649" t="n">
        <v>0</v>
      </c>
      <c r="AP649" t="inlineStr">
        <is>
          <t>No</t>
        </is>
      </c>
      <c r="AQ649" t="inlineStr">
        <is>
          <t>Yes</t>
        </is>
      </c>
      <c r="AR649">
        <f>HYPERLINK("http://catalog.hathitrust.org/Record/000006051","HathiTrust Record")</f>
        <v/>
      </c>
      <c r="AS649">
        <f>HYPERLINK("https://creighton-primo.hosted.exlibrisgroup.com/primo-explore/search?tab=default_tab&amp;search_scope=EVERYTHING&amp;vid=01CRU&amp;lang=en_US&amp;offset=0&amp;query=any,contains,991002772039702656","Catalog Record")</f>
        <v/>
      </c>
      <c r="AT649">
        <f>HYPERLINK("http://www.worldcat.org/oclc/437386","WorldCat Record")</f>
        <v/>
      </c>
      <c r="AU649" t="inlineStr">
        <is>
          <t>1558297:eng</t>
        </is>
      </c>
      <c r="AV649" t="inlineStr">
        <is>
          <t>437386</t>
        </is>
      </c>
      <c r="AW649" t="inlineStr">
        <is>
          <t>991002772039702656</t>
        </is>
      </c>
      <c r="AX649" t="inlineStr">
        <is>
          <t>991002772039702656</t>
        </is>
      </c>
      <c r="AY649" t="inlineStr">
        <is>
          <t>2267871700002656</t>
        </is>
      </c>
      <c r="AZ649" t="inlineStr">
        <is>
          <t>BOOK</t>
        </is>
      </c>
      <c r="BC649" t="inlineStr">
        <is>
          <t>32285002417425</t>
        </is>
      </c>
      <c r="BD649" t="inlineStr">
        <is>
          <t>893323353</t>
        </is>
      </c>
    </row>
    <row r="650">
      <c r="A650" t="inlineStr">
        <is>
          <t>No</t>
        </is>
      </c>
      <c r="B650" t="inlineStr">
        <is>
          <t>DF212.E82 B76 1983</t>
        </is>
      </c>
      <c r="C650" t="inlineStr">
        <is>
          <t>0                      DF 0212000E  82                 B  76          1983</t>
        </is>
      </c>
      <c r="D650" t="inlineStr">
        <is>
          <t>Arthur Evans and the Palace of Minos / Ann Brown.</t>
        </is>
      </c>
      <c r="F650" t="inlineStr">
        <is>
          <t>No</t>
        </is>
      </c>
      <c r="G650" t="inlineStr">
        <is>
          <t>1</t>
        </is>
      </c>
      <c r="H650" t="inlineStr">
        <is>
          <t>No</t>
        </is>
      </c>
      <c r="I650" t="inlineStr">
        <is>
          <t>No</t>
        </is>
      </c>
      <c r="J650" t="inlineStr">
        <is>
          <t>0</t>
        </is>
      </c>
      <c r="K650" t="inlineStr">
        <is>
          <t>Brown, A. C. (Ann Cynthia)</t>
        </is>
      </c>
      <c r="L650" t="inlineStr">
        <is>
          <t>Oxford : Ashmolean Museum, c1983, 1986 printing.</t>
        </is>
      </c>
      <c r="M650" t="inlineStr">
        <is>
          <t>1983</t>
        </is>
      </c>
      <c r="O650" t="inlineStr">
        <is>
          <t>eng</t>
        </is>
      </c>
      <c r="P650" t="inlineStr">
        <is>
          <t>enk</t>
        </is>
      </c>
      <c r="R650" t="inlineStr">
        <is>
          <t xml:space="preserve">DF </t>
        </is>
      </c>
      <c r="S650" t="n">
        <v>4</v>
      </c>
      <c r="T650" t="n">
        <v>4</v>
      </c>
      <c r="U650" t="inlineStr">
        <is>
          <t>2006-11-26</t>
        </is>
      </c>
      <c r="V650" t="inlineStr">
        <is>
          <t>2006-11-26</t>
        </is>
      </c>
      <c r="W650" t="inlineStr">
        <is>
          <t>1991-02-14</t>
        </is>
      </c>
      <c r="X650" t="inlineStr">
        <is>
          <t>1991-02-14</t>
        </is>
      </c>
      <c r="Y650" t="n">
        <v>225</v>
      </c>
      <c r="Z650" t="n">
        <v>139</v>
      </c>
      <c r="AA650" t="n">
        <v>154</v>
      </c>
      <c r="AB650" t="n">
        <v>2</v>
      </c>
      <c r="AC650" t="n">
        <v>2</v>
      </c>
      <c r="AD650" t="n">
        <v>6</v>
      </c>
      <c r="AE650" t="n">
        <v>7</v>
      </c>
      <c r="AF650" t="n">
        <v>2</v>
      </c>
      <c r="AG650" t="n">
        <v>2</v>
      </c>
      <c r="AH650" t="n">
        <v>1</v>
      </c>
      <c r="AI650" t="n">
        <v>1</v>
      </c>
      <c r="AJ650" t="n">
        <v>3</v>
      </c>
      <c r="AK650" t="n">
        <v>4</v>
      </c>
      <c r="AL650" t="n">
        <v>1</v>
      </c>
      <c r="AM650" t="n">
        <v>1</v>
      </c>
      <c r="AN650" t="n">
        <v>0</v>
      </c>
      <c r="AO650" t="n">
        <v>0</v>
      </c>
      <c r="AP650" t="inlineStr">
        <is>
          <t>No</t>
        </is>
      </c>
      <c r="AQ650" t="inlineStr">
        <is>
          <t>Yes</t>
        </is>
      </c>
      <c r="AR650">
        <f>HYPERLINK("http://catalog.hathitrust.org/Record/002811283","HathiTrust Record")</f>
        <v/>
      </c>
      <c r="AS650">
        <f>HYPERLINK("https://creighton-primo.hosted.exlibrisgroup.com/primo-explore/search?tab=default_tab&amp;search_scope=EVERYTHING&amp;vid=01CRU&amp;lang=en_US&amp;offset=0&amp;query=any,contains,991000376469702656","Catalog Record")</f>
        <v/>
      </c>
      <c r="AT650">
        <f>HYPERLINK("http://www.worldcat.org/oclc/10467460","WorldCat Record")</f>
        <v/>
      </c>
      <c r="AU650" t="inlineStr">
        <is>
          <t>3110829:eng</t>
        </is>
      </c>
      <c r="AV650" t="inlineStr">
        <is>
          <t>10467460</t>
        </is>
      </c>
      <c r="AW650" t="inlineStr">
        <is>
          <t>991000376469702656</t>
        </is>
      </c>
      <c r="AX650" t="inlineStr">
        <is>
          <t>991000376469702656</t>
        </is>
      </c>
      <c r="AY650" t="inlineStr">
        <is>
          <t>2263204010002656</t>
        </is>
      </c>
      <c r="AZ650" t="inlineStr">
        <is>
          <t>BOOK</t>
        </is>
      </c>
      <c r="BB650" t="inlineStr">
        <is>
          <t>9780900090929</t>
        </is>
      </c>
      <c r="BC650" t="inlineStr">
        <is>
          <t>32285000459122</t>
        </is>
      </c>
      <c r="BD650" t="inlineStr">
        <is>
          <t>893607862</t>
        </is>
      </c>
    </row>
    <row r="651">
      <c r="A651" t="inlineStr">
        <is>
          <t>No</t>
        </is>
      </c>
      <c r="B651" t="inlineStr">
        <is>
          <t>DF212.T45 S56 1991</t>
        </is>
      </c>
      <c r="C651" t="inlineStr">
        <is>
          <t>0                      DF 0212000T  45                 S  56          1991</t>
        </is>
      </c>
      <c r="D651" t="inlineStr">
        <is>
          <t>Theopompus the historian / Gordon S. Shrimpton.</t>
        </is>
      </c>
      <c r="F651" t="inlineStr">
        <is>
          <t>No</t>
        </is>
      </c>
      <c r="G651" t="inlineStr">
        <is>
          <t>1</t>
        </is>
      </c>
      <c r="H651" t="inlineStr">
        <is>
          <t>No</t>
        </is>
      </c>
      <c r="I651" t="inlineStr">
        <is>
          <t>No</t>
        </is>
      </c>
      <c r="J651" t="inlineStr">
        <is>
          <t>0</t>
        </is>
      </c>
      <c r="K651" t="inlineStr">
        <is>
          <t>Shrimpton, Gordon Spencer.</t>
        </is>
      </c>
      <c r="L651" t="inlineStr">
        <is>
          <t>Montreal : McGill-Queen's University Press, 1991.</t>
        </is>
      </c>
      <c r="M651" t="inlineStr">
        <is>
          <t>1991</t>
        </is>
      </c>
      <c r="O651" t="inlineStr">
        <is>
          <t>eng</t>
        </is>
      </c>
      <c r="P651" t="inlineStr">
        <is>
          <t>quc</t>
        </is>
      </c>
      <c r="R651" t="inlineStr">
        <is>
          <t xml:space="preserve">DF </t>
        </is>
      </c>
      <c r="S651" t="n">
        <v>2</v>
      </c>
      <c r="T651" t="n">
        <v>2</v>
      </c>
      <c r="U651" t="inlineStr">
        <is>
          <t>1994-03-14</t>
        </is>
      </c>
      <c r="V651" t="inlineStr">
        <is>
          <t>1994-03-14</t>
        </is>
      </c>
      <c r="W651" t="inlineStr">
        <is>
          <t>1992-05-26</t>
        </is>
      </c>
      <c r="X651" t="inlineStr">
        <is>
          <t>1992-05-26</t>
        </is>
      </c>
      <c r="Y651" t="n">
        <v>347</v>
      </c>
      <c r="Z651" t="n">
        <v>262</v>
      </c>
      <c r="AA651" t="n">
        <v>919</v>
      </c>
      <c r="AB651" t="n">
        <v>3</v>
      </c>
      <c r="AC651" t="n">
        <v>9</v>
      </c>
      <c r="AD651" t="n">
        <v>19</v>
      </c>
      <c r="AE651" t="n">
        <v>37</v>
      </c>
      <c r="AF651" t="n">
        <v>4</v>
      </c>
      <c r="AG651" t="n">
        <v>11</v>
      </c>
      <c r="AH651" t="n">
        <v>7</v>
      </c>
      <c r="AI651" t="n">
        <v>10</v>
      </c>
      <c r="AJ651" t="n">
        <v>12</v>
      </c>
      <c r="AK651" t="n">
        <v>16</v>
      </c>
      <c r="AL651" t="n">
        <v>2</v>
      </c>
      <c r="AM651" t="n">
        <v>7</v>
      </c>
      <c r="AN651" t="n">
        <v>0</v>
      </c>
      <c r="AO651" t="n">
        <v>1</v>
      </c>
      <c r="AP651" t="inlineStr">
        <is>
          <t>No</t>
        </is>
      </c>
      <c r="AQ651" t="inlineStr">
        <is>
          <t>No</t>
        </is>
      </c>
      <c r="AS651">
        <f>HYPERLINK("https://creighton-primo.hosted.exlibrisgroup.com/primo-explore/search?tab=default_tab&amp;search_scope=EVERYTHING&amp;vid=01CRU&amp;lang=en_US&amp;offset=0&amp;query=any,contains,991001805579702656","Catalog Record")</f>
        <v/>
      </c>
      <c r="AT651">
        <f>HYPERLINK("http://www.worldcat.org/oclc/29219434","WorldCat Record")</f>
        <v/>
      </c>
      <c r="AU651" t="inlineStr">
        <is>
          <t>31376906:eng</t>
        </is>
      </c>
      <c r="AV651" t="inlineStr">
        <is>
          <t>29219434</t>
        </is>
      </c>
      <c r="AW651" t="inlineStr">
        <is>
          <t>991001805579702656</t>
        </is>
      </c>
      <c r="AX651" t="inlineStr">
        <is>
          <t>991001805579702656</t>
        </is>
      </c>
      <c r="AY651" t="inlineStr">
        <is>
          <t>2257738280002656</t>
        </is>
      </c>
      <c r="AZ651" t="inlineStr">
        <is>
          <t>BOOK</t>
        </is>
      </c>
      <c r="BB651" t="inlineStr">
        <is>
          <t>9780773508378</t>
        </is>
      </c>
      <c r="BC651" t="inlineStr">
        <is>
          <t>32285001118479</t>
        </is>
      </c>
      <c r="BD651" t="inlineStr">
        <is>
          <t>893340718</t>
        </is>
      </c>
    </row>
    <row r="652">
      <c r="A652" t="inlineStr">
        <is>
          <t>No</t>
        </is>
      </c>
      <c r="B652" t="inlineStr">
        <is>
          <t>DF214 .C88 1985</t>
        </is>
      </c>
      <c r="C652" t="inlineStr">
        <is>
          <t>0                      DF 0214000C  88          1985</t>
        </is>
      </c>
      <c r="D652" t="inlineStr">
        <is>
          <t>Crux : essays in Greek history presented to G.E.M. de Ste. Croix on his 75th birthday / ed. by P.A. Cartledge &amp; F.D. Harvey.</t>
        </is>
      </c>
      <c r="F652" t="inlineStr">
        <is>
          <t>No</t>
        </is>
      </c>
      <c r="G652" t="inlineStr">
        <is>
          <t>1</t>
        </is>
      </c>
      <c r="H652" t="inlineStr">
        <is>
          <t>No</t>
        </is>
      </c>
      <c r="I652" t="inlineStr">
        <is>
          <t>No</t>
        </is>
      </c>
      <c r="J652" t="inlineStr">
        <is>
          <t>0</t>
        </is>
      </c>
      <c r="L652" t="inlineStr">
        <is>
          <t>London : Duckworth ; in association with Imprint Academic, 1985.</t>
        </is>
      </c>
      <c r="M652" t="inlineStr">
        <is>
          <t>1985</t>
        </is>
      </c>
      <c r="O652" t="inlineStr">
        <is>
          <t>eng</t>
        </is>
      </c>
      <c r="P652" t="inlineStr">
        <is>
          <t>enk</t>
        </is>
      </c>
      <c r="R652" t="inlineStr">
        <is>
          <t xml:space="preserve">DF </t>
        </is>
      </c>
      <c r="S652" t="n">
        <v>4</v>
      </c>
      <c r="T652" t="n">
        <v>4</v>
      </c>
      <c r="U652" t="inlineStr">
        <is>
          <t>2007-03-21</t>
        </is>
      </c>
      <c r="V652" t="inlineStr">
        <is>
          <t>2007-03-21</t>
        </is>
      </c>
      <c r="W652" t="inlineStr">
        <is>
          <t>1991-02-15</t>
        </is>
      </c>
      <c r="X652" t="inlineStr">
        <is>
          <t>1991-02-15</t>
        </is>
      </c>
      <c r="Y652" t="n">
        <v>164</v>
      </c>
      <c r="Z652" t="n">
        <v>100</v>
      </c>
      <c r="AA652" t="n">
        <v>101</v>
      </c>
      <c r="AB652" t="n">
        <v>1</v>
      </c>
      <c r="AC652" t="n">
        <v>1</v>
      </c>
      <c r="AD652" t="n">
        <v>4</v>
      </c>
      <c r="AE652" t="n">
        <v>4</v>
      </c>
      <c r="AF652" t="n">
        <v>1</v>
      </c>
      <c r="AG652" t="n">
        <v>1</v>
      </c>
      <c r="AH652" t="n">
        <v>1</v>
      </c>
      <c r="AI652" t="n">
        <v>1</v>
      </c>
      <c r="AJ652" t="n">
        <v>4</v>
      </c>
      <c r="AK652" t="n">
        <v>4</v>
      </c>
      <c r="AL652" t="n">
        <v>0</v>
      </c>
      <c r="AM652" t="n">
        <v>0</v>
      </c>
      <c r="AN652" t="n">
        <v>0</v>
      </c>
      <c r="AO652" t="n">
        <v>0</v>
      </c>
      <c r="AP652" t="inlineStr">
        <is>
          <t>No</t>
        </is>
      </c>
      <c r="AQ652" t="inlineStr">
        <is>
          <t>Yes</t>
        </is>
      </c>
      <c r="AR652">
        <f>HYPERLINK("http://catalog.hathitrust.org/Record/000667251","HathiTrust Record")</f>
        <v/>
      </c>
      <c r="AS652">
        <f>HYPERLINK("https://creighton-primo.hosted.exlibrisgroup.com/primo-explore/search?tab=default_tab&amp;search_scope=EVERYTHING&amp;vid=01CRU&amp;lang=en_US&amp;offset=0&amp;query=any,contains,991000920639702656","Catalog Record")</f>
        <v/>
      </c>
      <c r="AT652">
        <f>HYPERLINK("http://www.worldcat.org/oclc/14205901","WorldCat Record")</f>
        <v/>
      </c>
      <c r="AU652" t="inlineStr">
        <is>
          <t>440433029:eng</t>
        </is>
      </c>
      <c r="AV652" t="inlineStr">
        <is>
          <t>14205901</t>
        </is>
      </c>
      <c r="AW652" t="inlineStr">
        <is>
          <t>991000920639702656</t>
        </is>
      </c>
      <c r="AX652" t="inlineStr">
        <is>
          <t>991000920639702656</t>
        </is>
      </c>
      <c r="AY652" t="inlineStr">
        <is>
          <t>2255895690002656</t>
        </is>
      </c>
      <c r="AZ652" t="inlineStr">
        <is>
          <t>BOOK</t>
        </is>
      </c>
      <c r="BB652" t="inlineStr">
        <is>
          <t>9780715620922</t>
        </is>
      </c>
      <c r="BC652" t="inlineStr">
        <is>
          <t>32285000459163</t>
        </is>
      </c>
      <c r="BD652" t="inlineStr">
        <is>
          <t>893413801</t>
        </is>
      </c>
    </row>
    <row r="653">
      <c r="A653" t="inlineStr">
        <is>
          <t>No</t>
        </is>
      </c>
      <c r="B653" t="inlineStr">
        <is>
          <t>DF214 .D36 2004</t>
        </is>
      </c>
      <c r="C653" t="inlineStr">
        <is>
          <t>0                      DF 0214000D  36          2004</t>
        </is>
      </c>
      <c r="D653" t="inlineStr">
        <is>
          <t>Greeks : the lighthouse of civilization throughout the ages / Damian M. Danopoulos.</t>
        </is>
      </c>
      <c r="F653" t="inlineStr">
        <is>
          <t>No</t>
        </is>
      </c>
      <c r="G653" t="inlineStr">
        <is>
          <t>1</t>
        </is>
      </c>
      <c r="H653" t="inlineStr">
        <is>
          <t>No</t>
        </is>
      </c>
      <c r="I653" t="inlineStr">
        <is>
          <t>No</t>
        </is>
      </c>
      <c r="J653" t="inlineStr">
        <is>
          <t>0</t>
        </is>
      </c>
      <c r="K653" t="inlineStr">
        <is>
          <t>Danopoulos, Damian M., 1927-</t>
        </is>
      </c>
      <c r="L653" t="inlineStr">
        <is>
          <t>Athens, Greece : Eptalofos, [2004]</t>
        </is>
      </c>
      <c r="M653" t="inlineStr">
        <is>
          <t>2004</t>
        </is>
      </c>
      <c r="O653" t="inlineStr">
        <is>
          <t>eng</t>
        </is>
      </c>
      <c r="P653" t="inlineStr">
        <is>
          <t xml:space="preserve">gr </t>
        </is>
      </c>
      <c r="R653" t="inlineStr">
        <is>
          <t xml:space="preserve">DF </t>
        </is>
      </c>
      <c r="S653" t="n">
        <v>1</v>
      </c>
      <c r="T653" t="n">
        <v>1</v>
      </c>
      <c r="U653" t="inlineStr">
        <is>
          <t>2006-05-11</t>
        </is>
      </c>
      <c r="V653" t="inlineStr">
        <is>
          <t>2006-05-11</t>
        </is>
      </c>
      <c r="W653" t="inlineStr">
        <is>
          <t>2004-09-14</t>
        </is>
      </c>
      <c r="X653" t="inlineStr">
        <is>
          <t>2004-09-14</t>
        </is>
      </c>
      <c r="Y653" t="n">
        <v>39</v>
      </c>
      <c r="Z653" t="n">
        <v>38</v>
      </c>
      <c r="AA653" t="n">
        <v>40</v>
      </c>
      <c r="AB653" t="n">
        <v>1</v>
      </c>
      <c r="AC653" t="n">
        <v>1</v>
      </c>
      <c r="AD653" t="n">
        <v>2</v>
      </c>
      <c r="AE653" t="n">
        <v>2</v>
      </c>
      <c r="AF653" t="n">
        <v>1</v>
      </c>
      <c r="AG653" t="n">
        <v>1</v>
      </c>
      <c r="AH653" t="n">
        <v>0</v>
      </c>
      <c r="AI653" t="n">
        <v>0</v>
      </c>
      <c r="AJ653" t="n">
        <v>1</v>
      </c>
      <c r="AK653" t="n">
        <v>1</v>
      </c>
      <c r="AL653" t="n">
        <v>0</v>
      </c>
      <c r="AM653" t="n">
        <v>0</v>
      </c>
      <c r="AN653" t="n">
        <v>0</v>
      </c>
      <c r="AO653" t="n">
        <v>0</v>
      </c>
      <c r="AP653" t="inlineStr">
        <is>
          <t>No</t>
        </is>
      </c>
      <c r="AQ653" t="inlineStr">
        <is>
          <t>Yes</t>
        </is>
      </c>
      <c r="AR653">
        <f>HYPERLINK("http://catalog.hathitrust.org/Record/004956209","HathiTrust Record")</f>
        <v/>
      </c>
      <c r="AS653">
        <f>HYPERLINK("https://creighton-primo.hosted.exlibrisgroup.com/primo-explore/search?tab=default_tab&amp;search_scope=EVERYTHING&amp;vid=01CRU&amp;lang=en_US&amp;offset=0&amp;query=any,contains,991004370249702656","Catalog Record")</f>
        <v/>
      </c>
      <c r="AT653">
        <f>HYPERLINK("http://www.worldcat.org/oclc/55592203","WorldCat Record")</f>
        <v/>
      </c>
      <c r="AU653" t="inlineStr">
        <is>
          <t>476533103:eng</t>
        </is>
      </c>
      <c r="AV653" t="inlineStr">
        <is>
          <t>55592203</t>
        </is>
      </c>
      <c r="AW653" t="inlineStr">
        <is>
          <t>991004370249702656</t>
        </is>
      </c>
      <c r="AX653" t="inlineStr">
        <is>
          <t>991004370249702656</t>
        </is>
      </c>
      <c r="AY653" t="inlineStr">
        <is>
          <t>2259214860002656</t>
        </is>
      </c>
      <c r="AZ653" t="inlineStr">
        <is>
          <t>BOOK</t>
        </is>
      </c>
      <c r="BB653" t="inlineStr">
        <is>
          <t>9789608360266</t>
        </is>
      </c>
      <c r="BC653" t="inlineStr">
        <is>
          <t>32285004987078</t>
        </is>
      </c>
      <c r="BD653" t="inlineStr">
        <is>
          <t>893806992</t>
        </is>
      </c>
    </row>
    <row r="654">
      <c r="A654" t="inlineStr">
        <is>
          <t>No</t>
        </is>
      </c>
      <c r="B654" t="inlineStr">
        <is>
          <t>DF214 .D37 1993</t>
        </is>
      </c>
      <c r="C654" t="inlineStr">
        <is>
          <t>0                      DF 0214000D  37          1993</t>
        </is>
      </c>
      <c r="D654" t="inlineStr">
        <is>
          <t>Democracy and classical Greece / by J.K. Davies.</t>
        </is>
      </c>
      <c r="F654" t="inlineStr">
        <is>
          <t>No</t>
        </is>
      </c>
      <c r="G654" t="inlineStr">
        <is>
          <t>1</t>
        </is>
      </c>
      <c r="H654" t="inlineStr">
        <is>
          <t>No</t>
        </is>
      </c>
      <c r="I654" t="inlineStr">
        <is>
          <t>No</t>
        </is>
      </c>
      <c r="J654" t="inlineStr">
        <is>
          <t>0</t>
        </is>
      </c>
      <c r="K654" t="inlineStr">
        <is>
          <t>Davies, John K. (John Kenyon), 1937-</t>
        </is>
      </c>
      <c r="L654" t="inlineStr">
        <is>
          <t>Cambridge, Mass. : Harvard University Press, 1993.</t>
        </is>
      </c>
      <c r="M654" t="inlineStr">
        <is>
          <t>1993</t>
        </is>
      </c>
      <c r="N654" t="inlineStr">
        <is>
          <t>2nd ed.</t>
        </is>
      </c>
      <c r="O654" t="inlineStr">
        <is>
          <t>eng</t>
        </is>
      </c>
      <c r="P654" t="inlineStr">
        <is>
          <t>mau</t>
        </is>
      </c>
      <c r="R654" t="inlineStr">
        <is>
          <t xml:space="preserve">DF </t>
        </is>
      </c>
      <c r="S654" t="n">
        <v>8</v>
      </c>
      <c r="T654" t="n">
        <v>8</v>
      </c>
      <c r="U654" t="inlineStr">
        <is>
          <t>2008-11-07</t>
        </is>
      </c>
      <c r="V654" t="inlineStr">
        <is>
          <t>2008-11-07</t>
        </is>
      </c>
      <c r="W654" t="inlineStr">
        <is>
          <t>1994-02-11</t>
        </is>
      </c>
      <c r="X654" t="inlineStr">
        <is>
          <t>1994-02-11</t>
        </is>
      </c>
      <c r="Y654" t="n">
        <v>621</v>
      </c>
      <c r="Z654" t="n">
        <v>549</v>
      </c>
      <c r="AA654" t="n">
        <v>871</v>
      </c>
      <c r="AB654" t="n">
        <v>5</v>
      </c>
      <c r="AC654" t="n">
        <v>5</v>
      </c>
      <c r="AD654" t="n">
        <v>28</v>
      </c>
      <c r="AE654" t="n">
        <v>37</v>
      </c>
      <c r="AF654" t="n">
        <v>13</v>
      </c>
      <c r="AG654" t="n">
        <v>18</v>
      </c>
      <c r="AH654" t="n">
        <v>6</v>
      </c>
      <c r="AI654" t="n">
        <v>8</v>
      </c>
      <c r="AJ654" t="n">
        <v>15</v>
      </c>
      <c r="AK654" t="n">
        <v>20</v>
      </c>
      <c r="AL654" t="n">
        <v>3</v>
      </c>
      <c r="AM654" t="n">
        <v>3</v>
      </c>
      <c r="AN654" t="n">
        <v>0</v>
      </c>
      <c r="AO654" t="n">
        <v>0</v>
      </c>
      <c r="AP654" t="inlineStr">
        <is>
          <t>No</t>
        </is>
      </c>
      <c r="AQ654" t="inlineStr">
        <is>
          <t>Yes</t>
        </is>
      </c>
      <c r="AR654">
        <f>HYPERLINK("http://catalog.hathitrust.org/Record/002720051","HathiTrust Record")</f>
        <v/>
      </c>
      <c r="AS654">
        <f>HYPERLINK("https://creighton-primo.hosted.exlibrisgroup.com/primo-explore/search?tab=default_tab&amp;search_scope=EVERYTHING&amp;vid=01CRU&amp;lang=en_US&amp;offset=0&amp;query=any,contains,991002154699702656","Catalog Record")</f>
        <v/>
      </c>
      <c r="AT654">
        <f>HYPERLINK("http://www.worldcat.org/oclc/27768998","WorldCat Record")</f>
        <v/>
      </c>
      <c r="AU654" t="inlineStr">
        <is>
          <t>346423:eng</t>
        </is>
      </c>
      <c r="AV654" t="inlineStr">
        <is>
          <t>27768998</t>
        </is>
      </c>
      <c r="AW654" t="inlineStr">
        <is>
          <t>991002154699702656</t>
        </is>
      </c>
      <c r="AX654" t="inlineStr">
        <is>
          <t>991002154699702656</t>
        </is>
      </c>
      <c r="AY654" t="inlineStr">
        <is>
          <t>2267927990002656</t>
        </is>
      </c>
      <c r="AZ654" t="inlineStr">
        <is>
          <t>BOOK</t>
        </is>
      </c>
      <c r="BB654" t="inlineStr">
        <is>
          <t>9780674196070</t>
        </is>
      </c>
      <c r="BC654" t="inlineStr">
        <is>
          <t>32285001841203</t>
        </is>
      </c>
      <c r="BD654" t="inlineStr">
        <is>
          <t>893879558</t>
        </is>
      </c>
    </row>
    <row r="655">
      <c r="A655" t="inlineStr">
        <is>
          <t>No</t>
        </is>
      </c>
      <c r="B655" t="inlineStr">
        <is>
          <t>DF214 .D4 1963</t>
        </is>
      </c>
      <c r="C655" t="inlineStr">
        <is>
          <t>0                      DF 0214000D  4           1963</t>
        </is>
      </c>
      <c r="D655" t="inlineStr">
        <is>
          <t>The world of Herodotus.</t>
        </is>
      </c>
      <c r="F655" t="inlineStr">
        <is>
          <t>No</t>
        </is>
      </c>
      <c r="G655" t="inlineStr">
        <is>
          <t>1</t>
        </is>
      </c>
      <c r="H655" t="inlineStr">
        <is>
          <t>No</t>
        </is>
      </c>
      <c r="I655" t="inlineStr">
        <is>
          <t>No</t>
        </is>
      </c>
      <c r="J655" t="inlineStr">
        <is>
          <t>0</t>
        </is>
      </c>
      <c r="K655" t="inlineStr">
        <is>
          <t>De Sélincourt, Aubrey, 1894-1962.</t>
        </is>
      </c>
      <c r="L655" t="inlineStr">
        <is>
          <t>Boston, Little, Brown [1963, c1962]</t>
        </is>
      </c>
      <c r="M655" t="inlineStr">
        <is>
          <t>1963</t>
        </is>
      </c>
      <c r="N655" t="inlineStr">
        <is>
          <t>[1st American ed.]</t>
        </is>
      </c>
      <c r="O655" t="inlineStr">
        <is>
          <t>eng</t>
        </is>
      </c>
      <c r="P655" t="inlineStr">
        <is>
          <t>mau</t>
        </is>
      </c>
      <c r="R655" t="inlineStr">
        <is>
          <t xml:space="preserve">DF </t>
        </is>
      </c>
      <c r="S655" t="n">
        <v>2</v>
      </c>
      <c r="T655" t="n">
        <v>2</v>
      </c>
      <c r="U655" t="inlineStr">
        <is>
          <t>2002-10-03</t>
        </is>
      </c>
      <c r="V655" t="inlineStr">
        <is>
          <t>2002-10-03</t>
        </is>
      </c>
      <c r="W655" t="inlineStr">
        <is>
          <t>1997-01-30</t>
        </is>
      </c>
      <c r="X655" t="inlineStr">
        <is>
          <t>1997-01-30</t>
        </is>
      </c>
      <c r="Y655" t="n">
        <v>976</v>
      </c>
      <c r="Z655" t="n">
        <v>937</v>
      </c>
      <c r="AA655" t="n">
        <v>1210</v>
      </c>
      <c r="AB655" t="n">
        <v>5</v>
      </c>
      <c r="AC655" t="n">
        <v>6</v>
      </c>
      <c r="AD655" t="n">
        <v>31</v>
      </c>
      <c r="AE655" t="n">
        <v>42</v>
      </c>
      <c r="AF655" t="n">
        <v>12</v>
      </c>
      <c r="AG655" t="n">
        <v>19</v>
      </c>
      <c r="AH655" t="n">
        <v>8</v>
      </c>
      <c r="AI655" t="n">
        <v>9</v>
      </c>
      <c r="AJ655" t="n">
        <v>16</v>
      </c>
      <c r="AK655" t="n">
        <v>21</v>
      </c>
      <c r="AL655" t="n">
        <v>2</v>
      </c>
      <c r="AM655" t="n">
        <v>3</v>
      </c>
      <c r="AN655" t="n">
        <v>0</v>
      </c>
      <c r="AO655" t="n">
        <v>0</v>
      </c>
      <c r="AP655" t="inlineStr">
        <is>
          <t>No</t>
        </is>
      </c>
      <c r="AQ655" t="inlineStr">
        <is>
          <t>Yes</t>
        </is>
      </c>
      <c r="AR655">
        <f>HYPERLINK("http://catalog.hathitrust.org/Record/102071652","HathiTrust Record")</f>
        <v/>
      </c>
      <c r="AS655">
        <f>HYPERLINK("https://creighton-primo.hosted.exlibrisgroup.com/primo-explore/search?tab=default_tab&amp;search_scope=EVERYTHING&amp;vid=01CRU&amp;lang=en_US&amp;offset=0&amp;query=any,contains,991002691439702656","Catalog Record")</f>
        <v/>
      </c>
      <c r="AT655">
        <f>HYPERLINK("http://www.worldcat.org/oclc/401727","WorldCat Record")</f>
        <v/>
      </c>
      <c r="AU655" t="inlineStr">
        <is>
          <t>512186:eng</t>
        </is>
      </c>
      <c r="AV655" t="inlineStr">
        <is>
          <t>401727</t>
        </is>
      </c>
      <c r="AW655" t="inlineStr">
        <is>
          <t>991002691439702656</t>
        </is>
      </c>
      <c r="AX655" t="inlineStr">
        <is>
          <t>991002691439702656</t>
        </is>
      </c>
      <c r="AY655" t="inlineStr">
        <is>
          <t>2268302370002656</t>
        </is>
      </c>
      <c r="AZ655" t="inlineStr">
        <is>
          <t>BOOK</t>
        </is>
      </c>
      <c r="BC655" t="inlineStr">
        <is>
          <t>32285002417763</t>
        </is>
      </c>
      <c r="BD655" t="inlineStr">
        <is>
          <t>893904035</t>
        </is>
      </c>
    </row>
    <row r="656">
      <c r="A656" t="inlineStr">
        <is>
          <t>No</t>
        </is>
      </c>
      <c r="B656" t="inlineStr">
        <is>
          <t>DF214 .D44 2004</t>
        </is>
      </c>
      <c r="C656" t="inlineStr">
        <is>
          <t>0                      DF 0214000D  44          2004</t>
        </is>
      </c>
      <c r="D656" t="inlineStr">
        <is>
          <t>The Greeks at war : from Athens to Alexander / Philip de Souza, Waldemar Heckel &amp; Lloyd Llewellyn-Jones ; foreword by Victor Davis Hanson.</t>
        </is>
      </c>
      <c r="F656" t="inlineStr">
        <is>
          <t>No</t>
        </is>
      </c>
      <c r="G656" t="inlineStr">
        <is>
          <t>1</t>
        </is>
      </c>
      <c r="H656" t="inlineStr">
        <is>
          <t>No</t>
        </is>
      </c>
      <c r="I656" t="inlineStr">
        <is>
          <t>No</t>
        </is>
      </c>
      <c r="J656" t="inlineStr">
        <is>
          <t>0</t>
        </is>
      </c>
      <c r="K656" t="inlineStr">
        <is>
          <t>De Souza, Philip.</t>
        </is>
      </c>
      <c r="L656" t="inlineStr">
        <is>
          <t>Oxford : Osprey, 2004.</t>
        </is>
      </c>
      <c r="M656" t="inlineStr">
        <is>
          <t>2004</t>
        </is>
      </c>
      <c r="O656" t="inlineStr">
        <is>
          <t>eng</t>
        </is>
      </c>
      <c r="P656" t="inlineStr">
        <is>
          <t>enk</t>
        </is>
      </c>
      <c r="Q656" t="inlineStr">
        <is>
          <t>Essential histories special ; 5</t>
        </is>
      </c>
      <c r="R656" t="inlineStr">
        <is>
          <t xml:space="preserve">DF </t>
        </is>
      </c>
      <c r="S656" t="n">
        <v>3</v>
      </c>
      <c r="T656" t="n">
        <v>3</v>
      </c>
      <c r="U656" t="inlineStr">
        <is>
          <t>2010-11-11</t>
        </is>
      </c>
      <c r="V656" t="inlineStr">
        <is>
          <t>2010-11-11</t>
        </is>
      </c>
      <c r="W656" t="inlineStr">
        <is>
          <t>2009-01-12</t>
        </is>
      </c>
      <c r="X656" t="inlineStr">
        <is>
          <t>2009-01-12</t>
        </is>
      </c>
      <c r="Y656" t="n">
        <v>102</v>
      </c>
      <c r="Z656" t="n">
        <v>59</v>
      </c>
      <c r="AA656" t="n">
        <v>60</v>
      </c>
      <c r="AB656" t="n">
        <v>1</v>
      </c>
      <c r="AC656" t="n">
        <v>1</v>
      </c>
      <c r="AD656" t="n">
        <v>0</v>
      </c>
      <c r="AE656" t="n">
        <v>0</v>
      </c>
      <c r="AF656" t="n">
        <v>0</v>
      </c>
      <c r="AG656" t="n">
        <v>0</v>
      </c>
      <c r="AH656" t="n">
        <v>0</v>
      </c>
      <c r="AI656" t="n">
        <v>0</v>
      </c>
      <c r="AJ656" t="n">
        <v>0</v>
      </c>
      <c r="AK656" t="n">
        <v>0</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HYPERLINK("https://creighton-primo.hosted.exlibrisgroup.com/primo-explore/search?tab=default_tab&amp;search_scope=EVERYTHING&amp;vid=01CRU&amp;lang=en_US&amp;offset=0&amp;query=any,contains,991005289619702656","Catalog Record")</f>
        <v/>
      </c>
      <c r="AT656">
        <f>HYPERLINK("http://www.worldcat.org/oclc/59265218","WorldCat Record")</f>
        <v/>
      </c>
      <c r="AU656" t="inlineStr">
        <is>
          <t>892798681:eng</t>
        </is>
      </c>
      <c r="AV656" t="inlineStr">
        <is>
          <t>59265218</t>
        </is>
      </c>
      <c r="AW656" t="inlineStr">
        <is>
          <t>991005289619702656</t>
        </is>
      </c>
      <c r="AX656" t="inlineStr">
        <is>
          <t>991005289619702656</t>
        </is>
      </c>
      <c r="AY656" t="inlineStr">
        <is>
          <t>2259700970002656</t>
        </is>
      </c>
      <c r="AZ656" t="inlineStr">
        <is>
          <t>BOOK</t>
        </is>
      </c>
      <c r="BB656" t="inlineStr">
        <is>
          <t>9781841768564</t>
        </is>
      </c>
      <c r="BC656" t="inlineStr">
        <is>
          <t>32285005477343</t>
        </is>
      </c>
      <c r="BD656" t="inlineStr">
        <is>
          <t>893795930</t>
        </is>
      </c>
    </row>
    <row r="657">
      <c r="A657" t="inlineStr">
        <is>
          <t>No</t>
        </is>
      </c>
      <c r="B657" t="inlineStr">
        <is>
          <t>DF214 .G78 1987b</t>
        </is>
      </c>
      <c r="C657" t="inlineStr">
        <is>
          <t>0                      DF 0214000G  78          1987b</t>
        </is>
      </c>
      <c r="D657" t="inlineStr">
        <is>
          <t>The rise of the Greeks / Michael Grant.</t>
        </is>
      </c>
      <c r="F657" t="inlineStr">
        <is>
          <t>No</t>
        </is>
      </c>
      <c r="G657" t="inlineStr">
        <is>
          <t>1</t>
        </is>
      </c>
      <c r="H657" t="inlineStr">
        <is>
          <t>No</t>
        </is>
      </c>
      <c r="I657" t="inlineStr">
        <is>
          <t>No</t>
        </is>
      </c>
      <c r="J657" t="inlineStr">
        <is>
          <t>0</t>
        </is>
      </c>
      <c r="K657" t="inlineStr">
        <is>
          <t>Grant, Michael, 1914-2004.</t>
        </is>
      </c>
      <c r="L657" t="inlineStr">
        <is>
          <t>London : Weidenfeld and Nicolson, 1987.</t>
        </is>
      </c>
      <c r="M657" t="inlineStr">
        <is>
          <t>1987</t>
        </is>
      </c>
      <c r="O657" t="inlineStr">
        <is>
          <t>eng</t>
        </is>
      </c>
      <c r="P657" t="inlineStr">
        <is>
          <t>enk</t>
        </is>
      </c>
      <c r="R657" t="inlineStr">
        <is>
          <t xml:space="preserve">DF </t>
        </is>
      </c>
      <c r="S657" t="n">
        <v>2</v>
      </c>
      <c r="T657" t="n">
        <v>2</v>
      </c>
      <c r="U657" t="inlineStr">
        <is>
          <t>1995-02-20</t>
        </is>
      </c>
      <c r="V657" t="inlineStr">
        <is>
          <t>1995-02-20</t>
        </is>
      </c>
      <c r="W657" t="inlineStr">
        <is>
          <t>1991-02-15</t>
        </is>
      </c>
      <c r="X657" t="inlineStr">
        <is>
          <t>1991-02-15</t>
        </is>
      </c>
      <c r="Y657" t="n">
        <v>240</v>
      </c>
      <c r="Z657" t="n">
        <v>111</v>
      </c>
      <c r="AA657" t="n">
        <v>1693</v>
      </c>
      <c r="AB657" t="n">
        <v>2</v>
      </c>
      <c r="AC657" t="n">
        <v>15</v>
      </c>
      <c r="AD657" t="n">
        <v>6</v>
      </c>
      <c r="AE657" t="n">
        <v>49</v>
      </c>
      <c r="AF657" t="n">
        <v>2</v>
      </c>
      <c r="AG657" t="n">
        <v>19</v>
      </c>
      <c r="AH657" t="n">
        <v>1</v>
      </c>
      <c r="AI657" t="n">
        <v>11</v>
      </c>
      <c r="AJ657" t="n">
        <v>4</v>
      </c>
      <c r="AK657" t="n">
        <v>22</v>
      </c>
      <c r="AL657" t="n">
        <v>1</v>
      </c>
      <c r="AM657" t="n">
        <v>10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HYPERLINK("https://creighton-primo.hosted.exlibrisgroup.com/primo-explore/search?tab=default_tab&amp;search_scope=EVERYTHING&amp;vid=01CRU&amp;lang=en_US&amp;offset=0&amp;query=any,contains,991001222459702656","Catalog Record")</f>
        <v/>
      </c>
      <c r="AT657">
        <f>HYPERLINK("http://www.worldcat.org/oclc/17480600","WorldCat Record")</f>
        <v/>
      </c>
      <c r="AU657" t="inlineStr">
        <is>
          <t>48177964:eng</t>
        </is>
      </c>
      <c r="AV657" t="inlineStr">
        <is>
          <t>17480600</t>
        </is>
      </c>
      <c r="AW657" t="inlineStr">
        <is>
          <t>991001222459702656</t>
        </is>
      </c>
      <c r="AX657" t="inlineStr">
        <is>
          <t>991001222459702656</t>
        </is>
      </c>
      <c r="AY657" t="inlineStr">
        <is>
          <t>2258928150002656</t>
        </is>
      </c>
      <c r="AZ657" t="inlineStr">
        <is>
          <t>BOOK</t>
        </is>
      </c>
      <c r="BB657" t="inlineStr">
        <is>
          <t>9780297792284</t>
        </is>
      </c>
      <c r="BC657" t="inlineStr">
        <is>
          <t>32285000459189</t>
        </is>
      </c>
      <c r="BD657" t="inlineStr">
        <is>
          <t>893420181</t>
        </is>
      </c>
    </row>
    <row r="658">
      <c r="A658" t="inlineStr">
        <is>
          <t>No</t>
        </is>
      </c>
      <c r="B658" t="inlineStr">
        <is>
          <t>DF214 .G86 1965</t>
        </is>
      </c>
      <c r="C658" t="inlineStr">
        <is>
          <t>0                      DF 0214000G  86          1965</t>
        </is>
      </c>
      <c r="D658" t="inlineStr">
        <is>
          <t>Der Hellenismus und der Aufstieg Roms / hrsg. von Pierre Grimal.</t>
        </is>
      </c>
      <c r="F658" t="inlineStr">
        <is>
          <t>No</t>
        </is>
      </c>
      <c r="G658" t="inlineStr">
        <is>
          <t>1</t>
        </is>
      </c>
      <c r="H658" t="inlineStr">
        <is>
          <t>No</t>
        </is>
      </c>
      <c r="I658" t="inlineStr">
        <is>
          <t>No</t>
        </is>
      </c>
      <c r="J658" t="inlineStr">
        <is>
          <t>0</t>
        </is>
      </c>
      <c r="K658" t="inlineStr">
        <is>
          <t>Grimal, Pierre, 1912-1996.</t>
        </is>
      </c>
      <c r="L658" t="inlineStr">
        <is>
          <t>Frankfurt/M. : Fischer Bücherei, 1965.</t>
        </is>
      </c>
      <c r="M658" t="inlineStr">
        <is>
          <t>1965</t>
        </is>
      </c>
      <c r="O658" t="inlineStr">
        <is>
          <t>ger</t>
        </is>
      </c>
      <c r="P658" t="inlineStr">
        <is>
          <t xml:space="preserve">gw </t>
        </is>
      </c>
      <c r="Q658" t="inlineStr">
        <is>
          <t>Die Mittelmeerwelt in Altertum ; 2</t>
        </is>
      </c>
      <c r="R658" t="inlineStr">
        <is>
          <t xml:space="preserve">DF </t>
        </is>
      </c>
      <c r="S658" t="n">
        <v>1</v>
      </c>
      <c r="T658" t="n">
        <v>1</v>
      </c>
      <c r="U658" t="inlineStr">
        <is>
          <t>2001-08-28</t>
        </is>
      </c>
      <c r="V658" t="inlineStr">
        <is>
          <t>2001-08-28</t>
        </is>
      </c>
      <c r="W658" t="inlineStr">
        <is>
          <t>2001-08-28</t>
        </is>
      </c>
      <c r="X658" t="inlineStr">
        <is>
          <t>2001-08-28</t>
        </is>
      </c>
      <c r="Y658" t="n">
        <v>49</v>
      </c>
      <c r="Z658" t="n">
        <v>42</v>
      </c>
      <c r="AA658" t="n">
        <v>45</v>
      </c>
      <c r="AB658" t="n">
        <v>1</v>
      </c>
      <c r="AC658" t="n">
        <v>1</v>
      </c>
      <c r="AD658" t="n">
        <v>1</v>
      </c>
      <c r="AE658" t="n">
        <v>1</v>
      </c>
      <c r="AF658" t="n">
        <v>0</v>
      </c>
      <c r="AG658" t="n">
        <v>0</v>
      </c>
      <c r="AH658" t="n">
        <v>0</v>
      </c>
      <c r="AI658" t="n">
        <v>0</v>
      </c>
      <c r="AJ658" t="n">
        <v>1</v>
      </c>
      <c r="AK658" t="n">
        <v>1</v>
      </c>
      <c r="AL658" t="n">
        <v>0</v>
      </c>
      <c r="AM658" t="n">
        <v>0</v>
      </c>
      <c r="AN658" t="n">
        <v>0</v>
      </c>
      <c r="AO658" t="n">
        <v>0</v>
      </c>
      <c r="AP658" t="inlineStr">
        <is>
          <t>No</t>
        </is>
      </c>
      <c r="AQ658" t="inlineStr">
        <is>
          <t>Yes</t>
        </is>
      </c>
      <c r="AR658">
        <f>HYPERLINK("http://catalog.hathitrust.org/Record/000574234","HathiTrust Record")</f>
        <v/>
      </c>
      <c r="AS658">
        <f>HYPERLINK("https://creighton-primo.hosted.exlibrisgroup.com/primo-explore/search?tab=default_tab&amp;search_scope=EVERYTHING&amp;vid=01CRU&amp;lang=en_US&amp;offset=0&amp;query=any,contains,991003613889702656","Catalog Record")</f>
        <v/>
      </c>
      <c r="AT658">
        <f>HYPERLINK("http://www.worldcat.org/oclc/3038279","WorldCat Record")</f>
        <v/>
      </c>
      <c r="AU658" t="inlineStr">
        <is>
          <t>5090986585:ger</t>
        </is>
      </c>
      <c r="AV658" t="inlineStr">
        <is>
          <t>3038279</t>
        </is>
      </c>
      <c r="AW658" t="inlineStr">
        <is>
          <t>991003613889702656</t>
        </is>
      </c>
      <c r="AX658" t="inlineStr">
        <is>
          <t>991003613889702656</t>
        </is>
      </c>
      <c r="AY658" t="inlineStr">
        <is>
          <t>2260114070002656</t>
        </is>
      </c>
      <c r="AZ658" t="inlineStr">
        <is>
          <t>BOOK</t>
        </is>
      </c>
      <c r="BC658" t="inlineStr">
        <is>
          <t>32285004382221</t>
        </is>
      </c>
      <c r="BD658" t="inlineStr">
        <is>
          <t>893342755</t>
        </is>
      </c>
    </row>
    <row r="659">
      <c r="A659" t="inlineStr">
        <is>
          <t>No</t>
        </is>
      </c>
      <c r="B659" t="inlineStr">
        <is>
          <t>DF214 .H36</t>
        </is>
      </c>
      <c r="C659" t="inlineStr">
        <is>
          <t>0                      DF 0214000H  36</t>
        </is>
      </c>
      <c r="D659" t="inlineStr">
        <is>
          <t>Ancient Greece and the Near East.</t>
        </is>
      </c>
      <c r="F659" t="inlineStr">
        <is>
          <t>No</t>
        </is>
      </c>
      <c r="G659" t="inlineStr">
        <is>
          <t>1</t>
        </is>
      </c>
      <c r="H659" t="inlineStr">
        <is>
          <t>No</t>
        </is>
      </c>
      <c r="I659" t="inlineStr">
        <is>
          <t>No</t>
        </is>
      </c>
      <c r="J659" t="inlineStr">
        <is>
          <t>0</t>
        </is>
      </c>
      <c r="K659" t="inlineStr">
        <is>
          <t>Haywood, Richard Mansfield, 1905-</t>
        </is>
      </c>
      <c r="L659" t="inlineStr">
        <is>
          <t>New York, D. McKay Co. [1964]</t>
        </is>
      </c>
      <c r="M659" t="inlineStr">
        <is>
          <t>1964</t>
        </is>
      </c>
      <c r="O659" t="inlineStr">
        <is>
          <t>eng</t>
        </is>
      </c>
      <c r="P659" t="inlineStr">
        <is>
          <t>nyu</t>
        </is>
      </c>
      <c r="R659" t="inlineStr">
        <is>
          <t xml:space="preserve">DF </t>
        </is>
      </c>
      <c r="S659" t="n">
        <v>2</v>
      </c>
      <c r="T659" t="n">
        <v>2</v>
      </c>
      <c r="U659" t="inlineStr">
        <is>
          <t>1999-11-26</t>
        </is>
      </c>
      <c r="V659" t="inlineStr">
        <is>
          <t>1999-11-26</t>
        </is>
      </c>
      <c r="W659" t="inlineStr">
        <is>
          <t>1997-01-30</t>
        </is>
      </c>
      <c r="X659" t="inlineStr">
        <is>
          <t>1997-01-30</t>
        </is>
      </c>
      <c r="Y659" t="n">
        <v>818</v>
      </c>
      <c r="Z659" t="n">
        <v>749</v>
      </c>
      <c r="AA659" t="n">
        <v>768</v>
      </c>
      <c r="AB659" t="n">
        <v>6</v>
      </c>
      <c r="AC659" t="n">
        <v>6</v>
      </c>
      <c r="AD659" t="n">
        <v>28</v>
      </c>
      <c r="AE659" t="n">
        <v>28</v>
      </c>
      <c r="AF659" t="n">
        <v>11</v>
      </c>
      <c r="AG659" t="n">
        <v>11</v>
      </c>
      <c r="AH659" t="n">
        <v>5</v>
      </c>
      <c r="AI659" t="n">
        <v>5</v>
      </c>
      <c r="AJ659" t="n">
        <v>12</v>
      </c>
      <c r="AK659" t="n">
        <v>12</v>
      </c>
      <c r="AL659" t="n">
        <v>5</v>
      </c>
      <c r="AM659" t="n">
        <v>5</v>
      </c>
      <c r="AN659" t="n">
        <v>0</v>
      </c>
      <c r="AO659" t="n">
        <v>0</v>
      </c>
      <c r="AP659" t="inlineStr">
        <is>
          <t>No</t>
        </is>
      </c>
      <c r="AQ659" t="inlineStr">
        <is>
          <t>Yes</t>
        </is>
      </c>
      <c r="AR659">
        <f>HYPERLINK("http://catalog.hathitrust.org/Record/000609938","HathiTrust Record")</f>
        <v/>
      </c>
      <c r="AS659">
        <f>HYPERLINK("https://creighton-primo.hosted.exlibrisgroup.com/primo-explore/search?tab=default_tab&amp;search_scope=EVERYTHING&amp;vid=01CRU&amp;lang=en_US&amp;offset=0&amp;query=any,contains,991002691369702656","Catalog Record")</f>
        <v/>
      </c>
      <c r="AT659">
        <f>HYPERLINK("http://www.worldcat.org/oclc/401698","WorldCat Record")</f>
        <v/>
      </c>
      <c r="AU659" t="inlineStr">
        <is>
          <t>1418123:eng</t>
        </is>
      </c>
      <c r="AV659" t="inlineStr">
        <is>
          <t>401698</t>
        </is>
      </c>
      <c r="AW659" t="inlineStr">
        <is>
          <t>991002691369702656</t>
        </is>
      </c>
      <c r="AX659" t="inlineStr">
        <is>
          <t>991002691369702656</t>
        </is>
      </c>
      <c r="AY659" t="inlineStr">
        <is>
          <t>2268259640002656</t>
        </is>
      </c>
      <c r="AZ659" t="inlineStr">
        <is>
          <t>BOOK</t>
        </is>
      </c>
      <c r="BC659" t="inlineStr">
        <is>
          <t>32285002418191</t>
        </is>
      </c>
      <c r="BD659" t="inlineStr">
        <is>
          <t>893530334</t>
        </is>
      </c>
    </row>
    <row r="660">
      <c r="A660" t="inlineStr">
        <is>
          <t>No</t>
        </is>
      </c>
      <c r="B660" t="inlineStr">
        <is>
          <t>DF214 .H45 1982</t>
        </is>
      </c>
      <c r="C660" t="inlineStr">
        <is>
          <t>0                      DF 0214000H  45          1982</t>
        </is>
      </c>
      <c r="D660" t="inlineStr">
        <is>
          <t>Hellenika : essays on Greek politics and history / edited by G.H.R. Horsley.</t>
        </is>
      </c>
      <c r="F660" t="inlineStr">
        <is>
          <t>No</t>
        </is>
      </c>
      <c r="G660" t="inlineStr">
        <is>
          <t>1</t>
        </is>
      </c>
      <c r="H660" t="inlineStr">
        <is>
          <t>No</t>
        </is>
      </c>
      <c r="I660" t="inlineStr">
        <is>
          <t>No</t>
        </is>
      </c>
      <c r="J660" t="inlineStr">
        <is>
          <t>0</t>
        </is>
      </c>
      <c r="L660" t="inlineStr">
        <is>
          <t>North Ryde, N.S.W. : Macquarie Ancient History Association, 1982.</t>
        </is>
      </c>
      <c r="M660" t="inlineStr">
        <is>
          <t>1982</t>
        </is>
      </c>
      <c r="O660" t="inlineStr">
        <is>
          <t>eng</t>
        </is>
      </c>
      <c r="P660" t="inlineStr">
        <is>
          <t xml:space="preserve">at </t>
        </is>
      </c>
      <c r="R660" t="inlineStr">
        <is>
          <t xml:space="preserve">DF </t>
        </is>
      </c>
      <c r="S660" t="n">
        <v>4</v>
      </c>
      <c r="T660" t="n">
        <v>4</v>
      </c>
      <c r="U660" t="inlineStr">
        <is>
          <t>2005-07-25</t>
        </is>
      </c>
      <c r="V660" t="inlineStr">
        <is>
          <t>2005-07-25</t>
        </is>
      </c>
      <c r="W660" t="inlineStr">
        <is>
          <t>1991-02-15</t>
        </is>
      </c>
      <c r="X660" t="inlineStr">
        <is>
          <t>1991-02-15</t>
        </is>
      </c>
      <c r="Y660" t="n">
        <v>80</v>
      </c>
      <c r="Z660" t="n">
        <v>33</v>
      </c>
      <c r="AA660" t="n">
        <v>34</v>
      </c>
      <c r="AB660" t="n">
        <v>1</v>
      </c>
      <c r="AC660" t="n">
        <v>1</v>
      </c>
      <c r="AD660" t="n">
        <v>2</v>
      </c>
      <c r="AE660" t="n">
        <v>2</v>
      </c>
      <c r="AF660" t="n">
        <v>1</v>
      </c>
      <c r="AG660" t="n">
        <v>1</v>
      </c>
      <c r="AH660" t="n">
        <v>0</v>
      </c>
      <c r="AI660" t="n">
        <v>0</v>
      </c>
      <c r="AJ660" t="n">
        <v>2</v>
      </c>
      <c r="AK660" t="n">
        <v>2</v>
      </c>
      <c r="AL660" t="n">
        <v>0</v>
      </c>
      <c r="AM660" t="n">
        <v>0</v>
      </c>
      <c r="AN660" t="n">
        <v>0</v>
      </c>
      <c r="AO660" t="n">
        <v>0</v>
      </c>
      <c r="AP660" t="inlineStr">
        <is>
          <t>No</t>
        </is>
      </c>
      <c r="AQ660" t="inlineStr">
        <is>
          <t>Yes</t>
        </is>
      </c>
      <c r="AR660">
        <f>HYPERLINK("http://catalog.hathitrust.org/Record/102080636","HathiTrust Record")</f>
        <v/>
      </c>
      <c r="AS660">
        <f>HYPERLINK("https://creighton-primo.hosted.exlibrisgroup.com/primo-explore/search?tab=default_tab&amp;search_scope=EVERYTHING&amp;vid=01CRU&amp;lang=en_US&amp;offset=0&amp;query=any,contains,991000376689702656","Catalog Record")</f>
        <v/>
      </c>
      <c r="AT660">
        <f>HYPERLINK("http://www.worldcat.org/oclc/10471158","WorldCat Record")</f>
        <v/>
      </c>
      <c r="AU660" t="inlineStr">
        <is>
          <t>3161690:eng</t>
        </is>
      </c>
      <c r="AV660" t="inlineStr">
        <is>
          <t>10471158</t>
        </is>
      </c>
      <c r="AW660" t="inlineStr">
        <is>
          <t>991000376689702656</t>
        </is>
      </c>
      <c r="AX660" t="inlineStr">
        <is>
          <t>991000376689702656</t>
        </is>
      </c>
      <c r="AY660" t="inlineStr">
        <is>
          <t>2261378020002656</t>
        </is>
      </c>
      <c r="AZ660" t="inlineStr">
        <is>
          <t>BOOK</t>
        </is>
      </c>
      <c r="BB660" t="inlineStr">
        <is>
          <t>9780858374898</t>
        </is>
      </c>
      <c r="BC660" t="inlineStr">
        <is>
          <t>32285000459205</t>
        </is>
      </c>
      <c r="BD660" t="inlineStr">
        <is>
          <t>893249279</t>
        </is>
      </c>
    </row>
    <row r="661">
      <c r="A661" t="inlineStr">
        <is>
          <t>No</t>
        </is>
      </c>
      <c r="B661" t="inlineStr">
        <is>
          <t>DF214 .L3 1957b</t>
        </is>
      </c>
      <c r="C661" t="inlineStr">
        <is>
          <t>0                      DF 0214000L  3           1957b</t>
        </is>
      </c>
      <c r="D661" t="inlineStr">
        <is>
          <t>A History of the Greek world from 479 to 323 B. C.</t>
        </is>
      </c>
      <c r="F661" t="inlineStr">
        <is>
          <t>No</t>
        </is>
      </c>
      <c r="G661" t="inlineStr">
        <is>
          <t>1</t>
        </is>
      </c>
      <c r="H661" t="inlineStr">
        <is>
          <t>No</t>
        </is>
      </c>
      <c r="I661" t="inlineStr">
        <is>
          <t>No</t>
        </is>
      </c>
      <c r="J661" t="inlineStr">
        <is>
          <t>0</t>
        </is>
      </c>
      <c r="K661" t="inlineStr">
        <is>
          <t>Laistner, M. L. W. (Max Ludwig Wolfram), 1890-1959.</t>
        </is>
      </c>
      <c r="L661" t="inlineStr">
        <is>
          <t>London, Methuen, 1957.</t>
        </is>
      </c>
      <c r="M661" t="inlineStr">
        <is>
          <t>1957</t>
        </is>
      </c>
      <c r="N661" t="inlineStr">
        <is>
          <t>[3d ed.]</t>
        </is>
      </c>
      <c r="O661" t="inlineStr">
        <is>
          <t>eng</t>
        </is>
      </c>
      <c r="P661" t="inlineStr">
        <is>
          <t>enk</t>
        </is>
      </c>
      <c r="Q661" t="inlineStr">
        <is>
          <t>Methuen's history of the Greek and Roman world</t>
        </is>
      </c>
      <c r="R661" t="inlineStr">
        <is>
          <t xml:space="preserve">DF </t>
        </is>
      </c>
      <c r="S661" t="n">
        <v>1</v>
      </c>
      <c r="T661" t="n">
        <v>1</v>
      </c>
      <c r="U661" t="inlineStr">
        <is>
          <t>2002-10-25</t>
        </is>
      </c>
      <c r="V661" t="inlineStr">
        <is>
          <t>2002-10-25</t>
        </is>
      </c>
      <c r="W661" t="inlineStr">
        <is>
          <t>1997-01-30</t>
        </is>
      </c>
      <c r="X661" t="inlineStr">
        <is>
          <t>1997-01-30</t>
        </is>
      </c>
      <c r="Y661" t="n">
        <v>274</v>
      </c>
      <c r="Z661" t="n">
        <v>200</v>
      </c>
      <c r="AA661" t="n">
        <v>576</v>
      </c>
      <c r="AB661" t="n">
        <v>3</v>
      </c>
      <c r="AC661" t="n">
        <v>5</v>
      </c>
      <c r="AD661" t="n">
        <v>12</v>
      </c>
      <c r="AE661" t="n">
        <v>28</v>
      </c>
      <c r="AF661" t="n">
        <v>4</v>
      </c>
      <c r="AG661" t="n">
        <v>9</v>
      </c>
      <c r="AH661" t="n">
        <v>3</v>
      </c>
      <c r="AI661" t="n">
        <v>8</v>
      </c>
      <c r="AJ661" t="n">
        <v>7</v>
      </c>
      <c r="AK661" t="n">
        <v>16</v>
      </c>
      <c r="AL661" t="n">
        <v>1</v>
      </c>
      <c r="AM661" t="n">
        <v>2</v>
      </c>
      <c r="AN661" t="n">
        <v>0</v>
      </c>
      <c r="AO661" t="n">
        <v>0</v>
      </c>
      <c r="AP661" t="inlineStr">
        <is>
          <t>No</t>
        </is>
      </c>
      <c r="AQ661" t="inlineStr">
        <is>
          <t>No</t>
        </is>
      </c>
      <c r="AR661">
        <f>HYPERLINK("http://catalog.hathitrust.org/Record/000869773","HathiTrust Record")</f>
        <v/>
      </c>
      <c r="AS661">
        <f>HYPERLINK("https://creighton-primo.hosted.exlibrisgroup.com/primo-explore/search?tab=default_tab&amp;search_scope=EVERYTHING&amp;vid=01CRU&amp;lang=en_US&amp;offset=0&amp;query=any,contains,991004358579702656","Catalog Record")</f>
        <v/>
      </c>
      <c r="AT661">
        <f>HYPERLINK("http://www.worldcat.org/oclc/3154233","WorldCat Record")</f>
        <v/>
      </c>
      <c r="AU661" t="inlineStr">
        <is>
          <t>917547:eng</t>
        </is>
      </c>
      <c r="AV661" t="inlineStr">
        <is>
          <t>3154233</t>
        </is>
      </c>
      <c r="AW661" t="inlineStr">
        <is>
          <t>991004358579702656</t>
        </is>
      </c>
      <c r="AX661" t="inlineStr">
        <is>
          <t>991004358579702656</t>
        </is>
      </c>
      <c r="AY661" t="inlineStr">
        <is>
          <t>2264055170002656</t>
        </is>
      </c>
      <c r="AZ661" t="inlineStr">
        <is>
          <t>BOOK</t>
        </is>
      </c>
      <c r="BC661" t="inlineStr">
        <is>
          <t>32285002418241</t>
        </is>
      </c>
      <c r="BD661" t="inlineStr">
        <is>
          <t>893687632</t>
        </is>
      </c>
    </row>
    <row r="662">
      <c r="A662" t="inlineStr">
        <is>
          <t>No</t>
        </is>
      </c>
      <c r="B662" t="inlineStr">
        <is>
          <t>DF214 .M98</t>
        </is>
      </c>
      <c r="C662" t="inlineStr">
        <is>
          <t>0                      DF 0214000M  98</t>
        </is>
      </c>
      <c r="D662" t="inlineStr">
        <is>
          <t>Early Greece / Oswyn Murray.</t>
        </is>
      </c>
      <c r="F662" t="inlineStr">
        <is>
          <t>No</t>
        </is>
      </c>
      <c r="G662" t="inlineStr">
        <is>
          <t>1</t>
        </is>
      </c>
      <c r="H662" t="inlineStr">
        <is>
          <t>No</t>
        </is>
      </c>
      <c r="I662" t="inlineStr">
        <is>
          <t>Yes</t>
        </is>
      </c>
      <c r="J662" t="inlineStr">
        <is>
          <t>0</t>
        </is>
      </c>
      <c r="K662" t="inlineStr">
        <is>
          <t>Murray, Oswyn.</t>
        </is>
      </c>
      <c r="L662" t="inlineStr">
        <is>
          <t>Brighton, Sussex : Harvester Press ; Atlantic Highlands, N.J. : Humanities Press, 1980.</t>
        </is>
      </c>
      <c r="M662" t="inlineStr">
        <is>
          <t>1980</t>
        </is>
      </c>
      <c r="O662" t="inlineStr">
        <is>
          <t>eng</t>
        </is>
      </c>
      <c r="P662" t="inlineStr">
        <is>
          <t>enk</t>
        </is>
      </c>
      <c r="Q662" t="inlineStr">
        <is>
          <t>Fontana history of the ancient world</t>
        </is>
      </c>
      <c r="R662" t="inlineStr">
        <is>
          <t xml:space="preserve">DF </t>
        </is>
      </c>
      <c r="S662" t="n">
        <v>2</v>
      </c>
      <c r="T662" t="n">
        <v>2</v>
      </c>
      <c r="U662" t="inlineStr">
        <is>
          <t>1993-04-27</t>
        </is>
      </c>
      <c r="V662" t="inlineStr">
        <is>
          <t>1993-04-27</t>
        </is>
      </c>
      <c r="W662" t="inlineStr">
        <is>
          <t>1991-02-15</t>
        </is>
      </c>
      <c r="X662" t="inlineStr">
        <is>
          <t>1991-02-15</t>
        </is>
      </c>
      <c r="Y662" t="n">
        <v>509</v>
      </c>
      <c r="Z662" t="n">
        <v>369</v>
      </c>
      <c r="AA662" t="n">
        <v>888</v>
      </c>
      <c r="AB662" t="n">
        <v>4</v>
      </c>
      <c r="AC662" t="n">
        <v>5</v>
      </c>
      <c r="AD662" t="n">
        <v>21</v>
      </c>
      <c r="AE662" t="n">
        <v>38</v>
      </c>
      <c r="AF662" t="n">
        <v>7</v>
      </c>
      <c r="AG662" t="n">
        <v>18</v>
      </c>
      <c r="AH662" t="n">
        <v>4</v>
      </c>
      <c r="AI662" t="n">
        <v>7</v>
      </c>
      <c r="AJ662" t="n">
        <v>14</v>
      </c>
      <c r="AK662" t="n">
        <v>20</v>
      </c>
      <c r="AL662" t="n">
        <v>3</v>
      </c>
      <c r="AM662" t="n">
        <v>4</v>
      </c>
      <c r="AN662" t="n">
        <v>0</v>
      </c>
      <c r="AO662" t="n">
        <v>0</v>
      </c>
      <c r="AP662" t="inlineStr">
        <is>
          <t>No</t>
        </is>
      </c>
      <c r="AQ662" t="inlineStr">
        <is>
          <t>Yes</t>
        </is>
      </c>
      <c r="AR662">
        <f>HYPERLINK("http://catalog.hathitrust.org/Record/000182555","HathiTrust Record")</f>
        <v/>
      </c>
      <c r="AS662">
        <f>HYPERLINK("https://creighton-primo.hosted.exlibrisgroup.com/primo-explore/search?tab=default_tab&amp;search_scope=EVERYTHING&amp;vid=01CRU&amp;lang=en_US&amp;offset=0&amp;query=any,contains,991004993399702656","Catalog Record")</f>
        <v/>
      </c>
      <c r="AT662">
        <f>HYPERLINK("http://www.worldcat.org/oclc/6491738","WorldCat Record")</f>
        <v/>
      </c>
      <c r="AU662" t="inlineStr">
        <is>
          <t>3855612541:eng</t>
        </is>
      </c>
      <c r="AV662" t="inlineStr">
        <is>
          <t>6491738</t>
        </is>
      </c>
      <c r="AW662" t="inlineStr">
        <is>
          <t>991004993399702656</t>
        </is>
      </c>
      <c r="AX662" t="inlineStr">
        <is>
          <t>991004993399702656</t>
        </is>
      </c>
      <c r="AY662" t="inlineStr">
        <is>
          <t>2264877500002656</t>
        </is>
      </c>
      <c r="AZ662" t="inlineStr">
        <is>
          <t>BOOK</t>
        </is>
      </c>
      <c r="BB662" t="inlineStr">
        <is>
          <t>9780391007673</t>
        </is>
      </c>
      <c r="BC662" t="inlineStr">
        <is>
          <t>32285000459213</t>
        </is>
      </c>
      <c r="BD662" t="inlineStr">
        <is>
          <t>893782884</t>
        </is>
      </c>
    </row>
    <row r="663">
      <c r="A663" t="inlineStr">
        <is>
          <t>No</t>
        </is>
      </c>
      <c r="B663" t="inlineStr">
        <is>
          <t>DF214 .P75 1970</t>
        </is>
      </c>
      <c r="C663" t="inlineStr">
        <is>
          <t>0                      DF 0214000P  75          1970</t>
        </is>
      </c>
      <c r="D663" t="inlineStr">
        <is>
          <t>The ancient Greeks : studies toward a better understanding of the ancient world.</t>
        </is>
      </c>
      <c r="F663" t="inlineStr">
        <is>
          <t>No</t>
        </is>
      </c>
      <c r="G663" t="inlineStr">
        <is>
          <t>1</t>
        </is>
      </c>
      <c r="H663" t="inlineStr">
        <is>
          <t>No</t>
        </is>
      </c>
      <c r="I663" t="inlineStr">
        <is>
          <t>No</t>
        </is>
      </c>
      <c r="J663" t="inlineStr">
        <is>
          <t>0</t>
        </is>
      </c>
      <c r="K663" t="inlineStr">
        <is>
          <t>Prentice, William Kelly, 1871-1964.</t>
        </is>
      </c>
      <c r="L663" t="inlineStr">
        <is>
          <t>New York : Russell &amp; Russell, [1970, c1968]</t>
        </is>
      </c>
      <c r="M663" t="inlineStr">
        <is>
          <t>1970</t>
        </is>
      </c>
      <c r="O663" t="inlineStr">
        <is>
          <t>eng</t>
        </is>
      </c>
      <c r="P663" t="inlineStr">
        <is>
          <t>nyu</t>
        </is>
      </c>
      <c r="R663" t="inlineStr">
        <is>
          <t xml:space="preserve">DF </t>
        </is>
      </c>
      <c r="S663" t="n">
        <v>2</v>
      </c>
      <c r="T663" t="n">
        <v>2</v>
      </c>
      <c r="U663" t="inlineStr">
        <is>
          <t>1993-09-22</t>
        </is>
      </c>
      <c r="V663" t="inlineStr">
        <is>
          <t>1993-09-22</t>
        </is>
      </c>
      <c r="W663" t="inlineStr">
        <is>
          <t>1991-09-11</t>
        </is>
      </c>
      <c r="X663" t="inlineStr">
        <is>
          <t>1991-09-11</t>
        </is>
      </c>
      <c r="Y663" t="n">
        <v>108</v>
      </c>
      <c r="Z663" t="n">
        <v>91</v>
      </c>
      <c r="AA663" t="n">
        <v>325</v>
      </c>
      <c r="AB663" t="n">
        <v>2</v>
      </c>
      <c r="AC663" t="n">
        <v>5</v>
      </c>
      <c r="AD663" t="n">
        <v>5</v>
      </c>
      <c r="AE663" t="n">
        <v>19</v>
      </c>
      <c r="AF663" t="n">
        <v>1</v>
      </c>
      <c r="AG663" t="n">
        <v>4</v>
      </c>
      <c r="AH663" t="n">
        <v>1</v>
      </c>
      <c r="AI663" t="n">
        <v>3</v>
      </c>
      <c r="AJ663" t="n">
        <v>2</v>
      </c>
      <c r="AK663" t="n">
        <v>10</v>
      </c>
      <c r="AL663" t="n">
        <v>1</v>
      </c>
      <c r="AM663" t="n">
        <v>4</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HYPERLINK("https://creighton-primo.hosted.exlibrisgroup.com/primo-explore/search?tab=default_tab&amp;search_scope=EVERYTHING&amp;vid=01CRU&amp;lang=en_US&amp;offset=0&amp;query=any,contains,991000210089702656","Catalog Record")</f>
        <v/>
      </c>
      <c r="AT663">
        <f>HYPERLINK("http://www.worldcat.org/oclc/66302","WorldCat Record")</f>
        <v/>
      </c>
      <c r="AU663" t="inlineStr">
        <is>
          <t>1231939:eng</t>
        </is>
      </c>
      <c r="AV663" t="inlineStr">
        <is>
          <t>66302</t>
        </is>
      </c>
      <c r="AW663" t="inlineStr">
        <is>
          <t>991000210089702656</t>
        </is>
      </c>
      <c r="AX663" t="inlineStr">
        <is>
          <t>991000210089702656</t>
        </is>
      </c>
      <c r="AY663" t="inlineStr">
        <is>
          <t>2258659540002656</t>
        </is>
      </c>
      <c r="AZ663" t="inlineStr">
        <is>
          <t>BOOK</t>
        </is>
      </c>
      <c r="BC663" t="inlineStr">
        <is>
          <t>32285000737576</t>
        </is>
      </c>
      <c r="BD663" t="inlineStr">
        <is>
          <t>893902938</t>
        </is>
      </c>
    </row>
    <row r="664">
      <c r="A664" t="inlineStr">
        <is>
          <t>No</t>
        </is>
      </c>
      <c r="B664" t="inlineStr">
        <is>
          <t>DF220 .C24 1981</t>
        </is>
      </c>
      <c r="C664" t="inlineStr">
        <is>
          <t>0                      DF 0220000C  24          1981</t>
        </is>
      </c>
      <c r="D664" t="inlineStr">
        <is>
          <t>Minoan society : proceedings of the Cambridge Colloquium 1981 / edited by O. Krzyszkowska &amp; L. Nixon.</t>
        </is>
      </c>
      <c r="F664" t="inlineStr">
        <is>
          <t>No</t>
        </is>
      </c>
      <c r="G664" t="inlineStr">
        <is>
          <t>1</t>
        </is>
      </c>
      <c r="H664" t="inlineStr">
        <is>
          <t>No</t>
        </is>
      </c>
      <c r="I664" t="inlineStr">
        <is>
          <t>No</t>
        </is>
      </c>
      <c r="J664" t="inlineStr">
        <is>
          <t>0</t>
        </is>
      </c>
      <c r="K664" t="inlineStr">
        <is>
          <t>Cambridge Colloquium on Minoan Society (1981 : University of Cambridge)</t>
        </is>
      </c>
      <c r="L664" t="inlineStr">
        <is>
          <t>Bristol [England] : Bristol Classical Press, 1983.</t>
        </is>
      </c>
      <c r="M664" t="inlineStr">
        <is>
          <t>1983</t>
        </is>
      </c>
      <c r="O664" t="inlineStr">
        <is>
          <t>eng</t>
        </is>
      </c>
      <c r="P664" t="inlineStr">
        <is>
          <t>enk</t>
        </is>
      </c>
      <c r="R664" t="inlineStr">
        <is>
          <t xml:space="preserve">DF </t>
        </is>
      </c>
      <c r="S664" t="n">
        <v>5</v>
      </c>
      <c r="T664" t="n">
        <v>5</v>
      </c>
      <c r="U664" t="inlineStr">
        <is>
          <t>1997-11-11</t>
        </is>
      </c>
      <c r="V664" t="inlineStr">
        <is>
          <t>1997-11-11</t>
        </is>
      </c>
      <c r="W664" t="inlineStr">
        <is>
          <t>1991-11-08</t>
        </is>
      </c>
      <c r="X664" t="inlineStr">
        <is>
          <t>1991-11-08</t>
        </is>
      </c>
      <c r="Y664" t="n">
        <v>213</v>
      </c>
      <c r="Z664" t="n">
        <v>112</v>
      </c>
      <c r="AA664" t="n">
        <v>115</v>
      </c>
      <c r="AB664" t="n">
        <v>1</v>
      </c>
      <c r="AC664" t="n">
        <v>1</v>
      </c>
      <c r="AD664" t="n">
        <v>5</v>
      </c>
      <c r="AE664" t="n">
        <v>5</v>
      </c>
      <c r="AF664" t="n">
        <v>1</v>
      </c>
      <c r="AG664" t="n">
        <v>1</v>
      </c>
      <c r="AH664" t="n">
        <v>1</v>
      </c>
      <c r="AI664" t="n">
        <v>1</v>
      </c>
      <c r="AJ664" t="n">
        <v>4</v>
      </c>
      <c r="AK664" t="n">
        <v>4</v>
      </c>
      <c r="AL664" t="n">
        <v>0</v>
      </c>
      <c r="AM664" t="n">
        <v>0</v>
      </c>
      <c r="AN664" t="n">
        <v>0</v>
      </c>
      <c r="AO664" t="n">
        <v>0</v>
      </c>
      <c r="AP664" t="inlineStr">
        <is>
          <t>No</t>
        </is>
      </c>
      <c r="AQ664" t="inlineStr">
        <is>
          <t>Yes</t>
        </is>
      </c>
      <c r="AR664">
        <f>HYPERLINK("http://catalog.hathitrust.org/Record/002199235","HathiTrust Record")</f>
        <v/>
      </c>
      <c r="AS664">
        <f>HYPERLINK("https://creighton-primo.hosted.exlibrisgroup.com/primo-explore/search?tab=default_tab&amp;search_scope=EVERYTHING&amp;vid=01CRU&amp;lang=en_US&amp;offset=0&amp;query=any,contains,991000363619702656","Catalog Record")</f>
        <v/>
      </c>
      <c r="AT664">
        <f>HYPERLINK("http://www.worldcat.org/oclc/10376832","WorldCat Record")</f>
        <v/>
      </c>
      <c r="AU664" t="inlineStr">
        <is>
          <t>365235556:eng</t>
        </is>
      </c>
      <c r="AV664" t="inlineStr">
        <is>
          <t>10376832</t>
        </is>
      </c>
      <c r="AW664" t="inlineStr">
        <is>
          <t>991000363619702656</t>
        </is>
      </c>
      <c r="AX664" t="inlineStr">
        <is>
          <t>991000363619702656</t>
        </is>
      </c>
      <c r="AY664" t="inlineStr">
        <is>
          <t>2270104660002656</t>
        </is>
      </c>
      <c r="AZ664" t="inlineStr">
        <is>
          <t>BOOK</t>
        </is>
      </c>
      <c r="BB664" t="inlineStr">
        <is>
          <t>9780862920197</t>
        </is>
      </c>
      <c r="BC664" t="inlineStr">
        <is>
          <t>32285000654292</t>
        </is>
      </c>
      <c r="BD664" t="inlineStr">
        <is>
          <t>893714513</t>
        </is>
      </c>
    </row>
    <row r="665">
      <c r="A665" t="inlineStr">
        <is>
          <t>No</t>
        </is>
      </c>
      <c r="B665" t="inlineStr">
        <is>
          <t>DF220 .C43</t>
        </is>
      </c>
      <c r="C665" t="inlineStr">
        <is>
          <t>0                      DF 0220000C  43</t>
        </is>
      </c>
      <c r="D665" t="inlineStr">
        <is>
          <t>The Mycenaean world / John Chadwick.</t>
        </is>
      </c>
      <c r="F665" t="inlineStr">
        <is>
          <t>No</t>
        </is>
      </c>
      <c r="G665" t="inlineStr">
        <is>
          <t>1</t>
        </is>
      </c>
      <c r="H665" t="inlineStr">
        <is>
          <t>No</t>
        </is>
      </c>
      <c r="I665" t="inlineStr">
        <is>
          <t>No</t>
        </is>
      </c>
      <c r="J665" t="inlineStr">
        <is>
          <t>0</t>
        </is>
      </c>
      <c r="K665" t="inlineStr">
        <is>
          <t>Chadwick, John, 1920-1998.</t>
        </is>
      </c>
      <c r="L665" t="inlineStr">
        <is>
          <t>Cambridge [Eng.] ; New York : Cambridge University Press, 1976.</t>
        </is>
      </c>
      <c r="M665" t="inlineStr">
        <is>
          <t>1976</t>
        </is>
      </c>
      <c r="O665" t="inlineStr">
        <is>
          <t>eng</t>
        </is>
      </c>
      <c r="P665" t="inlineStr">
        <is>
          <t>enk</t>
        </is>
      </c>
      <c r="R665" t="inlineStr">
        <is>
          <t xml:space="preserve">DF </t>
        </is>
      </c>
      <c r="S665" t="n">
        <v>4</v>
      </c>
      <c r="T665" t="n">
        <v>4</v>
      </c>
      <c r="U665" t="inlineStr">
        <is>
          <t>1997-08-12</t>
        </is>
      </c>
      <c r="V665" t="inlineStr">
        <is>
          <t>1997-08-12</t>
        </is>
      </c>
      <c r="W665" t="inlineStr">
        <is>
          <t>1992-12-03</t>
        </is>
      </c>
      <c r="X665" t="inlineStr">
        <is>
          <t>1992-12-03</t>
        </is>
      </c>
      <c r="Y665" t="n">
        <v>1592</v>
      </c>
      <c r="Z665" t="n">
        <v>1309</v>
      </c>
      <c r="AA665" t="n">
        <v>1319</v>
      </c>
      <c r="AB665" t="n">
        <v>9</v>
      </c>
      <c r="AC665" t="n">
        <v>9</v>
      </c>
      <c r="AD665" t="n">
        <v>51</v>
      </c>
      <c r="AE665" t="n">
        <v>51</v>
      </c>
      <c r="AF665" t="n">
        <v>25</v>
      </c>
      <c r="AG665" t="n">
        <v>25</v>
      </c>
      <c r="AH665" t="n">
        <v>11</v>
      </c>
      <c r="AI665" t="n">
        <v>11</v>
      </c>
      <c r="AJ665" t="n">
        <v>23</v>
      </c>
      <c r="AK665" t="n">
        <v>23</v>
      </c>
      <c r="AL665" t="n">
        <v>6</v>
      </c>
      <c r="AM665" t="n">
        <v>6</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HYPERLINK("https://creighton-primo.hosted.exlibrisgroup.com/primo-explore/search?tab=default_tab&amp;search_scope=EVERYTHING&amp;vid=01CRU&amp;lang=en_US&amp;offset=0&amp;query=any,contains,991003951349702656","Catalog Record")</f>
        <v/>
      </c>
      <c r="AT665">
        <f>HYPERLINK("http://www.worldcat.org/oclc/1958204","WorldCat Record")</f>
        <v/>
      </c>
      <c r="AU665" t="inlineStr">
        <is>
          <t>149459727:eng</t>
        </is>
      </c>
      <c r="AV665" t="inlineStr">
        <is>
          <t>1958204</t>
        </is>
      </c>
      <c r="AW665" t="inlineStr">
        <is>
          <t>991003951349702656</t>
        </is>
      </c>
      <c r="AX665" t="inlineStr">
        <is>
          <t>991003951349702656</t>
        </is>
      </c>
      <c r="AY665" t="inlineStr">
        <is>
          <t>2265563380002656</t>
        </is>
      </c>
      <c r="AZ665" t="inlineStr">
        <is>
          <t>BOOK</t>
        </is>
      </c>
      <c r="BB665" t="inlineStr">
        <is>
          <t>9780521210775</t>
        </is>
      </c>
      <c r="BC665" t="inlineStr">
        <is>
          <t>32285001412427</t>
        </is>
      </c>
      <c r="BD665" t="inlineStr">
        <is>
          <t>893240828</t>
        </is>
      </c>
    </row>
    <row r="666">
      <c r="A666" t="inlineStr">
        <is>
          <t>No</t>
        </is>
      </c>
      <c r="B666" t="inlineStr">
        <is>
          <t>DF220 .D44 1972</t>
        </is>
      </c>
      <c r="C666" t="inlineStr">
        <is>
          <t>0                      DF 0220000D  44          1972</t>
        </is>
      </c>
      <c r="D666" t="inlineStr">
        <is>
          <t>The Greek dark ages [by] V.R. d'A. Desborough.</t>
        </is>
      </c>
      <c r="F666" t="inlineStr">
        <is>
          <t>No</t>
        </is>
      </c>
      <c r="G666" t="inlineStr">
        <is>
          <t>1</t>
        </is>
      </c>
      <c r="H666" t="inlineStr">
        <is>
          <t>No</t>
        </is>
      </c>
      <c r="I666" t="inlineStr">
        <is>
          <t>No</t>
        </is>
      </c>
      <c r="J666" t="inlineStr">
        <is>
          <t>0</t>
        </is>
      </c>
      <c r="K666" t="inlineStr">
        <is>
          <t>Desborough, V. R. d'A. (Vincent Robin d'Arba)</t>
        </is>
      </c>
      <c r="L666" t="inlineStr">
        <is>
          <t>New York, St. Martin's Press [1972]</t>
        </is>
      </c>
      <c r="M666" t="inlineStr">
        <is>
          <t>1972</t>
        </is>
      </c>
      <c r="O666" t="inlineStr">
        <is>
          <t>eng</t>
        </is>
      </c>
      <c r="P666" t="inlineStr">
        <is>
          <t>nyu</t>
        </is>
      </c>
      <c r="R666" t="inlineStr">
        <is>
          <t xml:space="preserve">DF </t>
        </is>
      </c>
      <c r="S666" t="n">
        <v>2</v>
      </c>
      <c r="T666" t="n">
        <v>2</v>
      </c>
      <c r="U666" t="inlineStr">
        <is>
          <t>1999-02-01</t>
        </is>
      </c>
      <c r="V666" t="inlineStr">
        <is>
          <t>1999-02-01</t>
        </is>
      </c>
      <c r="W666" t="inlineStr">
        <is>
          <t>1997-01-30</t>
        </is>
      </c>
      <c r="X666" t="inlineStr">
        <is>
          <t>1997-01-30</t>
        </is>
      </c>
      <c r="Y666" t="n">
        <v>470</v>
      </c>
      <c r="Z666" t="n">
        <v>448</v>
      </c>
      <c r="AA666" t="n">
        <v>655</v>
      </c>
      <c r="AB666" t="n">
        <v>4</v>
      </c>
      <c r="AC666" t="n">
        <v>5</v>
      </c>
      <c r="AD666" t="n">
        <v>14</v>
      </c>
      <c r="AE666" t="n">
        <v>27</v>
      </c>
      <c r="AF666" t="n">
        <v>7</v>
      </c>
      <c r="AG666" t="n">
        <v>10</v>
      </c>
      <c r="AH666" t="n">
        <v>3</v>
      </c>
      <c r="AI666" t="n">
        <v>6</v>
      </c>
      <c r="AJ666" t="n">
        <v>4</v>
      </c>
      <c r="AK666" t="n">
        <v>14</v>
      </c>
      <c r="AL666" t="n">
        <v>3</v>
      </c>
      <c r="AM666" t="n">
        <v>4</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HYPERLINK("https://creighton-primo.hosted.exlibrisgroup.com/primo-explore/search?tab=default_tab&amp;search_scope=EVERYTHING&amp;vid=01CRU&amp;lang=en_US&amp;offset=0&amp;query=any,contains,991002733089702656","Catalog Record")</f>
        <v/>
      </c>
      <c r="AT666">
        <f>HYPERLINK("http://www.worldcat.org/oclc/417987","WorldCat Record")</f>
        <v/>
      </c>
      <c r="AU666" t="inlineStr">
        <is>
          <t>442616:eng</t>
        </is>
      </c>
      <c r="AV666" t="inlineStr">
        <is>
          <t>417987</t>
        </is>
      </c>
      <c r="AW666" t="inlineStr">
        <is>
          <t>991002733089702656</t>
        </is>
      </c>
      <c r="AX666" t="inlineStr">
        <is>
          <t>991002733089702656</t>
        </is>
      </c>
      <c r="AY666" t="inlineStr">
        <is>
          <t>2258359470002656</t>
        </is>
      </c>
      <c r="AZ666" t="inlineStr">
        <is>
          <t>BOOK</t>
        </is>
      </c>
      <c r="BC666" t="inlineStr">
        <is>
          <t>32285002418324</t>
        </is>
      </c>
      <c r="BD666" t="inlineStr">
        <is>
          <t>893323297</t>
        </is>
      </c>
    </row>
    <row r="667">
      <c r="A667" t="inlineStr">
        <is>
          <t>No</t>
        </is>
      </c>
      <c r="B667" t="inlineStr">
        <is>
          <t>DF220 .D5 1977</t>
        </is>
      </c>
      <c r="C667" t="inlineStr">
        <is>
          <t>0                      DF 0220000D  5           1977</t>
        </is>
      </c>
      <c r="D667" t="inlineStr">
        <is>
          <t>The origins of Mycenaean civilisation / by O.T.P.K. Dickinson.</t>
        </is>
      </c>
      <c r="F667" t="inlineStr">
        <is>
          <t>No</t>
        </is>
      </c>
      <c r="G667" t="inlineStr">
        <is>
          <t>1</t>
        </is>
      </c>
      <c r="H667" t="inlineStr">
        <is>
          <t>No</t>
        </is>
      </c>
      <c r="I667" t="inlineStr">
        <is>
          <t>No</t>
        </is>
      </c>
      <c r="J667" t="inlineStr">
        <is>
          <t>0</t>
        </is>
      </c>
      <c r="K667" t="inlineStr">
        <is>
          <t>Dickinson, O. T. P. K. (Oliver Thomas Pilkington Kirwan)</t>
        </is>
      </c>
      <c r="L667" t="inlineStr">
        <is>
          <t>Göteborg : P. Åström, 1977.</t>
        </is>
      </c>
      <c r="M667" t="inlineStr">
        <is>
          <t>1977</t>
        </is>
      </c>
      <c r="O667" t="inlineStr">
        <is>
          <t>eng</t>
        </is>
      </c>
      <c r="P667" t="inlineStr">
        <is>
          <t xml:space="preserve">sw </t>
        </is>
      </c>
      <c r="Q667" t="inlineStr">
        <is>
          <t>Studies in Mediterranean archaeology ; v. 49</t>
        </is>
      </c>
      <c r="R667" t="inlineStr">
        <is>
          <t xml:space="preserve">DF </t>
        </is>
      </c>
      <c r="S667" t="n">
        <v>1</v>
      </c>
      <c r="T667" t="n">
        <v>1</v>
      </c>
      <c r="U667" t="inlineStr">
        <is>
          <t>1999-01-24</t>
        </is>
      </c>
      <c r="V667" t="inlineStr">
        <is>
          <t>1999-01-24</t>
        </is>
      </c>
      <c r="W667" t="inlineStr">
        <is>
          <t>1997-05-19</t>
        </is>
      </c>
      <c r="X667" t="inlineStr">
        <is>
          <t>1997-05-19</t>
        </is>
      </c>
      <c r="Y667" t="n">
        <v>233</v>
      </c>
      <c r="Z667" t="n">
        <v>142</v>
      </c>
      <c r="AA667" t="n">
        <v>151</v>
      </c>
      <c r="AB667" t="n">
        <v>2</v>
      </c>
      <c r="AC667" t="n">
        <v>2</v>
      </c>
      <c r="AD667" t="n">
        <v>7</v>
      </c>
      <c r="AE667" t="n">
        <v>7</v>
      </c>
      <c r="AF667" t="n">
        <v>1</v>
      </c>
      <c r="AG667" t="n">
        <v>1</v>
      </c>
      <c r="AH667" t="n">
        <v>2</v>
      </c>
      <c r="AI667" t="n">
        <v>2</v>
      </c>
      <c r="AJ667" t="n">
        <v>5</v>
      </c>
      <c r="AK667" t="n">
        <v>5</v>
      </c>
      <c r="AL667" t="n">
        <v>1</v>
      </c>
      <c r="AM667" t="n">
        <v>1</v>
      </c>
      <c r="AN667" t="n">
        <v>0</v>
      </c>
      <c r="AO667" t="n">
        <v>0</v>
      </c>
      <c r="AP667" t="inlineStr">
        <is>
          <t>No</t>
        </is>
      </c>
      <c r="AQ667" t="inlineStr">
        <is>
          <t>Yes</t>
        </is>
      </c>
      <c r="AR667">
        <f>HYPERLINK("http://catalog.hathitrust.org/Record/000159551","HathiTrust Record")</f>
        <v/>
      </c>
      <c r="AS667">
        <f>HYPERLINK("https://creighton-primo.hosted.exlibrisgroup.com/primo-explore/search?tab=default_tab&amp;search_scope=EVERYTHING&amp;vid=01CRU&amp;lang=en_US&amp;offset=0&amp;query=any,contains,991005123359702656","Catalog Record")</f>
        <v/>
      </c>
      <c r="AT667">
        <f>HYPERLINK("http://www.worldcat.org/oclc/7551056","WorldCat Record")</f>
        <v/>
      </c>
      <c r="AU667" t="inlineStr">
        <is>
          <t>16760830:eng</t>
        </is>
      </c>
      <c r="AV667" t="inlineStr">
        <is>
          <t>7551056</t>
        </is>
      </c>
      <c r="AW667" t="inlineStr">
        <is>
          <t>991005123359702656</t>
        </is>
      </c>
      <c r="AX667" t="inlineStr">
        <is>
          <t>991005123359702656</t>
        </is>
      </c>
      <c r="AY667" t="inlineStr">
        <is>
          <t>2268472350002656</t>
        </is>
      </c>
      <c r="AZ667" t="inlineStr">
        <is>
          <t>BOOK</t>
        </is>
      </c>
      <c r="BB667" t="inlineStr">
        <is>
          <t>9789185058747</t>
        </is>
      </c>
      <c r="BC667" t="inlineStr">
        <is>
          <t>32285002609187</t>
        </is>
      </c>
      <c r="BD667" t="inlineStr">
        <is>
          <t>893876978</t>
        </is>
      </c>
    </row>
    <row r="668">
      <c r="A668" t="inlineStr">
        <is>
          <t>No</t>
        </is>
      </c>
      <c r="B668" t="inlineStr">
        <is>
          <t>DF220 .G63 1968</t>
        </is>
      </c>
      <c r="C668" t="inlineStr">
        <is>
          <t>0                      DF 0220000G  63          1968</t>
        </is>
      </c>
      <c r="D668" t="inlineStr">
        <is>
          <t>The Aegean civilization / by Gustave Glotz ; translated [from the French] by M. R. Dobie and E. M. Riley.</t>
        </is>
      </c>
      <c r="F668" t="inlineStr">
        <is>
          <t>No</t>
        </is>
      </c>
      <c r="G668" t="inlineStr">
        <is>
          <t>1</t>
        </is>
      </c>
      <c r="H668" t="inlineStr">
        <is>
          <t>No</t>
        </is>
      </c>
      <c r="I668" t="inlineStr">
        <is>
          <t>No</t>
        </is>
      </c>
      <c r="J668" t="inlineStr">
        <is>
          <t>0</t>
        </is>
      </c>
      <c r="K668" t="inlineStr">
        <is>
          <t>Glotz, Gustave, 1862-1935.</t>
        </is>
      </c>
      <c r="L668" t="inlineStr">
        <is>
          <t>London, Routledge &amp; K. Paul, 1968.</t>
        </is>
      </c>
      <c r="M668" t="inlineStr">
        <is>
          <t>1968</t>
        </is>
      </c>
      <c r="N668" t="inlineStr">
        <is>
          <t>[1st ed reprinted].</t>
        </is>
      </c>
      <c r="O668" t="inlineStr">
        <is>
          <t>eng</t>
        </is>
      </c>
      <c r="P668" t="inlineStr">
        <is>
          <t>enk</t>
        </is>
      </c>
      <c r="Q668" t="inlineStr">
        <is>
          <t>The History of civilization</t>
        </is>
      </c>
      <c r="R668" t="inlineStr">
        <is>
          <t xml:space="preserve">DF </t>
        </is>
      </c>
      <c r="S668" t="n">
        <v>1</v>
      </c>
      <c r="T668" t="n">
        <v>1</v>
      </c>
      <c r="U668" t="inlineStr">
        <is>
          <t>1996-12-04</t>
        </is>
      </c>
      <c r="V668" t="inlineStr">
        <is>
          <t>1996-12-04</t>
        </is>
      </c>
      <c r="W668" t="inlineStr">
        <is>
          <t>1991-02-15</t>
        </is>
      </c>
      <c r="X668" t="inlineStr">
        <is>
          <t>1991-02-15</t>
        </is>
      </c>
      <c r="Y668" t="n">
        <v>108</v>
      </c>
      <c r="Z668" t="n">
        <v>68</v>
      </c>
      <c r="AA668" t="n">
        <v>741</v>
      </c>
      <c r="AB668" t="n">
        <v>1</v>
      </c>
      <c r="AC668" t="n">
        <v>7</v>
      </c>
      <c r="AD668" t="n">
        <v>4</v>
      </c>
      <c r="AE668" t="n">
        <v>32</v>
      </c>
      <c r="AF668" t="n">
        <v>1</v>
      </c>
      <c r="AG668" t="n">
        <v>9</v>
      </c>
      <c r="AH668" t="n">
        <v>2</v>
      </c>
      <c r="AI668" t="n">
        <v>7</v>
      </c>
      <c r="AJ668" t="n">
        <v>4</v>
      </c>
      <c r="AK668" t="n">
        <v>18</v>
      </c>
      <c r="AL668" t="n">
        <v>0</v>
      </c>
      <c r="AM668" t="n">
        <v>6</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HYPERLINK("https://creighton-primo.hosted.exlibrisgroup.com/primo-explore/search?tab=default_tab&amp;search_scope=EVERYTHING&amp;vid=01CRU&amp;lang=en_US&amp;offset=0&amp;query=any,contains,991004186099702656","Catalog Record")</f>
        <v/>
      </c>
      <c r="AT668">
        <f>HYPERLINK("http://www.worldcat.org/oclc/2616173","WorldCat Record")</f>
        <v/>
      </c>
      <c r="AU668" t="inlineStr">
        <is>
          <t>5578571:eng</t>
        </is>
      </c>
      <c r="AV668" t="inlineStr">
        <is>
          <t>2616173</t>
        </is>
      </c>
      <c r="AW668" t="inlineStr">
        <is>
          <t>991004186099702656</t>
        </is>
      </c>
      <c r="AX668" t="inlineStr">
        <is>
          <t>991004186099702656</t>
        </is>
      </c>
      <c r="AY668" t="inlineStr">
        <is>
          <t>2264984050002656</t>
        </is>
      </c>
      <c r="AZ668" t="inlineStr">
        <is>
          <t>BOOK</t>
        </is>
      </c>
      <c r="BB668" t="inlineStr">
        <is>
          <t>9780710061065</t>
        </is>
      </c>
      <c r="BC668" t="inlineStr">
        <is>
          <t>32285000459247</t>
        </is>
      </c>
      <c r="BD668" t="inlineStr">
        <is>
          <t>893699956</t>
        </is>
      </c>
    </row>
    <row r="669">
      <c r="A669" t="inlineStr">
        <is>
          <t>No</t>
        </is>
      </c>
      <c r="B669" t="inlineStr">
        <is>
          <t>DF220 .H65</t>
        </is>
      </c>
      <c r="C669" t="inlineStr">
        <is>
          <t>0                      DF 0220000H  65</t>
        </is>
      </c>
      <c r="D669" t="inlineStr">
        <is>
          <t>Mycenaean Greece / J. T. Hooker.</t>
        </is>
      </c>
      <c r="F669" t="inlineStr">
        <is>
          <t>No</t>
        </is>
      </c>
      <c r="G669" t="inlineStr">
        <is>
          <t>1</t>
        </is>
      </c>
      <c r="H669" t="inlineStr">
        <is>
          <t>No</t>
        </is>
      </c>
      <c r="I669" t="inlineStr">
        <is>
          <t>No</t>
        </is>
      </c>
      <c r="J669" t="inlineStr">
        <is>
          <t>0</t>
        </is>
      </c>
      <c r="K669" t="inlineStr">
        <is>
          <t>Hooker, J. T.</t>
        </is>
      </c>
      <c r="L669" t="inlineStr">
        <is>
          <t>London ; Boston : Routledge &amp; K. Paul, 1976.</t>
        </is>
      </c>
      <c r="M669" t="inlineStr">
        <is>
          <t>1976</t>
        </is>
      </c>
      <c r="O669" t="inlineStr">
        <is>
          <t>eng</t>
        </is>
      </c>
      <c r="P669" t="inlineStr">
        <is>
          <t>enk</t>
        </is>
      </c>
      <c r="Q669" t="inlineStr">
        <is>
          <t>States and cities of ancient Greece</t>
        </is>
      </c>
      <c r="R669" t="inlineStr">
        <is>
          <t xml:space="preserve">DF </t>
        </is>
      </c>
      <c r="S669" t="n">
        <v>1</v>
      </c>
      <c r="T669" t="n">
        <v>1</v>
      </c>
      <c r="U669" t="inlineStr">
        <is>
          <t>2002-10-20</t>
        </is>
      </c>
      <c r="V669" t="inlineStr">
        <is>
          <t>2002-10-20</t>
        </is>
      </c>
      <c r="W669" t="inlineStr">
        <is>
          <t>1992-08-24</t>
        </is>
      </c>
      <c r="X669" t="inlineStr">
        <is>
          <t>1992-08-24</t>
        </is>
      </c>
      <c r="Y669" t="n">
        <v>630</v>
      </c>
      <c r="Z669" t="n">
        <v>496</v>
      </c>
      <c r="AA669" t="n">
        <v>530</v>
      </c>
      <c r="AB669" t="n">
        <v>5</v>
      </c>
      <c r="AC669" t="n">
        <v>5</v>
      </c>
      <c r="AD669" t="n">
        <v>28</v>
      </c>
      <c r="AE669" t="n">
        <v>28</v>
      </c>
      <c r="AF669" t="n">
        <v>14</v>
      </c>
      <c r="AG669" t="n">
        <v>14</v>
      </c>
      <c r="AH669" t="n">
        <v>6</v>
      </c>
      <c r="AI669" t="n">
        <v>6</v>
      </c>
      <c r="AJ669" t="n">
        <v>13</v>
      </c>
      <c r="AK669" t="n">
        <v>13</v>
      </c>
      <c r="AL669" t="n">
        <v>4</v>
      </c>
      <c r="AM669" t="n">
        <v>4</v>
      </c>
      <c r="AN669" t="n">
        <v>0</v>
      </c>
      <c r="AO669" t="n">
        <v>0</v>
      </c>
      <c r="AP669" t="inlineStr">
        <is>
          <t>No</t>
        </is>
      </c>
      <c r="AQ669" t="inlineStr">
        <is>
          <t>Yes</t>
        </is>
      </c>
      <c r="AR669">
        <f>HYPERLINK("http://catalog.hathitrust.org/Record/000616497","HathiTrust Record")</f>
        <v/>
      </c>
      <c r="AS669">
        <f>HYPERLINK("https://creighton-primo.hosted.exlibrisgroup.com/primo-explore/search?tab=default_tab&amp;search_scope=EVERYTHING&amp;vid=01CRU&amp;lang=en_US&amp;offset=0&amp;query=any,contains,991004204429702656","Catalog Record")</f>
        <v/>
      </c>
      <c r="AT669">
        <f>HYPERLINK("http://www.worldcat.org/oclc/2661057","WorldCat Record")</f>
        <v/>
      </c>
      <c r="AU669" t="inlineStr">
        <is>
          <t>5607455:eng</t>
        </is>
      </c>
      <c r="AV669" t="inlineStr">
        <is>
          <t>2661057</t>
        </is>
      </c>
      <c r="AW669" t="inlineStr">
        <is>
          <t>991004204429702656</t>
        </is>
      </c>
      <c r="AX669" t="inlineStr">
        <is>
          <t>991004204429702656</t>
        </is>
      </c>
      <c r="AY669" t="inlineStr">
        <is>
          <t>2263965630002656</t>
        </is>
      </c>
      <c r="AZ669" t="inlineStr">
        <is>
          <t>BOOK</t>
        </is>
      </c>
      <c r="BB669" t="inlineStr">
        <is>
          <t>9780710083791</t>
        </is>
      </c>
      <c r="BC669" t="inlineStr">
        <is>
          <t>32285001270510</t>
        </is>
      </c>
      <c r="BD669" t="inlineStr">
        <is>
          <t>893512950</t>
        </is>
      </c>
    </row>
    <row r="670">
      <c r="A670" t="inlineStr">
        <is>
          <t>No</t>
        </is>
      </c>
      <c r="B670" t="inlineStr">
        <is>
          <t>DF220 .P3 1965</t>
        </is>
      </c>
      <c r="C670" t="inlineStr">
        <is>
          <t>0                      DF 0220000P  3           1965</t>
        </is>
      </c>
      <c r="D670" t="inlineStr">
        <is>
          <t>Mycenaeans and Minoans; Aegean prehistory in the light of the Linear B tablets [by] Leonard R. Palmer.</t>
        </is>
      </c>
      <c r="F670" t="inlineStr">
        <is>
          <t>No</t>
        </is>
      </c>
      <c r="G670" t="inlineStr">
        <is>
          <t>1</t>
        </is>
      </c>
      <c r="H670" t="inlineStr">
        <is>
          <t>No</t>
        </is>
      </c>
      <c r="I670" t="inlineStr">
        <is>
          <t>No</t>
        </is>
      </c>
      <c r="J670" t="inlineStr">
        <is>
          <t>0</t>
        </is>
      </c>
      <c r="K670" t="inlineStr">
        <is>
          <t>Palmer, Leonard R. (Leonard Robert), 1906-1984.</t>
        </is>
      </c>
      <c r="L670" t="inlineStr">
        <is>
          <t>New York, Knopf, 1965.</t>
        </is>
      </c>
      <c r="M670" t="inlineStr">
        <is>
          <t>1965</t>
        </is>
      </c>
      <c r="N670" t="inlineStr">
        <is>
          <t>2d ed., substantially rev. and enl.</t>
        </is>
      </c>
      <c r="O670" t="inlineStr">
        <is>
          <t>eng</t>
        </is>
      </c>
      <c r="P670" t="inlineStr">
        <is>
          <t>nyu</t>
        </is>
      </c>
      <c r="R670" t="inlineStr">
        <is>
          <t xml:space="preserve">DF </t>
        </is>
      </c>
      <c r="S670" t="n">
        <v>2</v>
      </c>
      <c r="T670" t="n">
        <v>2</v>
      </c>
      <c r="U670" t="inlineStr">
        <is>
          <t>1997-11-11</t>
        </is>
      </c>
      <c r="V670" t="inlineStr">
        <is>
          <t>1997-11-11</t>
        </is>
      </c>
      <c r="W670" t="inlineStr">
        <is>
          <t>1997-01-30</t>
        </is>
      </c>
      <c r="X670" t="inlineStr">
        <is>
          <t>1997-01-30</t>
        </is>
      </c>
      <c r="Y670" t="n">
        <v>560</v>
      </c>
      <c r="Z670" t="n">
        <v>543</v>
      </c>
      <c r="AA670" t="n">
        <v>979</v>
      </c>
      <c r="AB670" t="n">
        <v>4</v>
      </c>
      <c r="AC670" t="n">
        <v>6</v>
      </c>
      <c r="AD670" t="n">
        <v>15</v>
      </c>
      <c r="AE670" t="n">
        <v>45</v>
      </c>
      <c r="AF670" t="n">
        <v>6</v>
      </c>
      <c r="AG670" t="n">
        <v>21</v>
      </c>
      <c r="AH670" t="n">
        <v>3</v>
      </c>
      <c r="AI670" t="n">
        <v>10</v>
      </c>
      <c r="AJ670" t="n">
        <v>6</v>
      </c>
      <c r="AK670" t="n">
        <v>22</v>
      </c>
      <c r="AL670" t="n">
        <v>3</v>
      </c>
      <c r="AM670" t="n">
        <v>4</v>
      </c>
      <c r="AN670" t="n">
        <v>1</v>
      </c>
      <c r="AO670" t="n">
        <v>1</v>
      </c>
      <c r="AP670" t="inlineStr">
        <is>
          <t>No</t>
        </is>
      </c>
      <c r="AQ670" t="inlineStr">
        <is>
          <t>Yes</t>
        </is>
      </c>
      <c r="AR670">
        <f>HYPERLINK("http://catalog.hathitrust.org/Record/000610733","HathiTrust Record")</f>
        <v/>
      </c>
      <c r="AS670">
        <f>HYPERLINK("https://creighton-primo.hosted.exlibrisgroup.com/primo-explore/search?tab=default_tab&amp;search_scope=EVERYTHING&amp;vid=01CRU&amp;lang=en_US&amp;offset=0&amp;query=any,contains,991002696049702656","Catalog Record")</f>
        <v/>
      </c>
      <c r="AT670">
        <f>HYPERLINK("http://www.worldcat.org/oclc/403654","WorldCat Record")</f>
        <v/>
      </c>
      <c r="AU670" t="inlineStr">
        <is>
          <t>446144:eng</t>
        </is>
      </c>
      <c r="AV670" t="inlineStr">
        <is>
          <t>403654</t>
        </is>
      </c>
      <c r="AW670" t="inlineStr">
        <is>
          <t>991002696049702656</t>
        </is>
      </c>
      <c r="AX670" t="inlineStr">
        <is>
          <t>991002696049702656</t>
        </is>
      </c>
      <c r="AY670" t="inlineStr">
        <is>
          <t>2259836590002656</t>
        </is>
      </c>
      <c r="AZ670" t="inlineStr">
        <is>
          <t>BOOK</t>
        </is>
      </c>
      <c r="BC670" t="inlineStr">
        <is>
          <t>32285002418431</t>
        </is>
      </c>
      <c r="BD670" t="inlineStr">
        <is>
          <t>893685660</t>
        </is>
      </c>
    </row>
    <row r="671">
      <c r="A671" t="inlineStr">
        <is>
          <t>No</t>
        </is>
      </c>
      <c r="B671" t="inlineStr">
        <is>
          <t>DF220 .R45</t>
        </is>
      </c>
      <c r="C671" t="inlineStr">
        <is>
          <t>0                      DF 0220000R  45</t>
        </is>
      </c>
      <c r="D671" t="inlineStr">
        <is>
          <t>The emergence of civilisation : the Cyclades and the Aegean in the third millennium B.C.</t>
        </is>
      </c>
      <c r="F671" t="inlineStr">
        <is>
          <t>No</t>
        </is>
      </c>
      <c r="G671" t="inlineStr">
        <is>
          <t>1</t>
        </is>
      </c>
      <c r="H671" t="inlineStr">
        <is>
          <t>No</t>
        </is>
      </c>
      <c r="I671" t="inlineStr">
        <is>
          <t>No</t>
        </is>
      </c>
      <c r="J671" t="inlineStr">
        <is>
          <t>0</t>
        </is>
      </c>
      <c r="K671" t="inlineStr">
        <is>
          <t>Renfrew, Colin, 1937-</t>
        </is>
      </c>
      <c r="L671" t="inlineStr">
        <is>
          <t>London : Methuen, 1972.</t>
        </is>
      </c>
      <c r="M671" t="inlineStr">
        <is>
          <t>1972</t>
        </is>
      </c>
      <c r="O671" t="inlineStr">
        <is>
          <t>eng</t>
        </is>
      </c>
      <c r="P671" t="inlineStr">
        <is>
          <t>enk</t>
        </is>
      </c>
      <c r="Q671" t="inlineStr">
        <is>
          <t>Studies in prehistory</t>
        </is>
      </c>
      <c r="R671" t="inlineStr">
        <is>
          <t xml:space="preserve">DF </t>
        </is>
      </c>
      <c r="S671" t="n">
        <v>4</v>
      </c>
      <c r="T671" t="n">
        <v>4</v>
      </c>
      <c r="U671" t="inlineStr">
        <is>
          <t>2006-03-21</t>
        </is>
      </c>
      <c r="V671" t="inlineStr">
        <is>
          <t>2006-03-21</t>
        </is>
      </c>
      <c r="W671" t="inlineStr">
        <is>
          <t>1992-12-15</t>
        </is>
      </c>
      <c r="X671" t="inlineStr">
        <is>
          <t>1992-12-15</t>
        </is>
      </c>
      <c r="Y671" t="n">
        <v>546</v>
      </c>
      <c r="Z671" t="n">
        <v>352</v>
      </c>
      <c r="AA671" t="n">
        <v>880</v>
      </c>
      <c r="AB671" t="n">
        <v>3</v>
      </c>
      <c r="AC671" t="n">
        <v>6</v>
      </c>
      <c r="AD671" t="n">
        <v>15</v>
      </c>
      <c r="AE671" t="n">
        <v>41</v>
      </c>
      <c r="AF671" t="n">
        <v>3</v>
      </c>
      <c r="AG671" t="n">
        <v>15</v>
      </c>
      <c r="AH671" t="n">
        <v>3</v>
      </c>
      <c r="AI671" t="n">
        <v>9</v>
      </c>
      <c r="AJ671" t="n">
        <v>11</v>
      </c>
      <c r="AK671" t="n">
        <v>20</v>
      </c>
      <c r="AL671" t="n">
        <v>2</v>
      </c>
      <c r="AM671" t="n">
        <v>5</v>
      </c>
      <c r="AN671" t="n">
        <v>0</v>
      </c>
      <c r="AO671" t="n">
        <v>1</v>
      </c>
      <c r="AP671" t="inlineStr">
        <is>
          <t>No</t>
        </is>
      </c>
      <c r="AQ671" t="inlineStr">
        <is>
          <t>Yes</t>
        </is>
      </c>
      <c r="AR671">
        <f>HYPERLINK("http://catalog.hathitrust.org/Record/000571840","HathiTrust Record")</f>
        <v/>
      </c>
      <c r="AS671">
        <f>HYPERLINK("https://creighton-primo.hosted.exlibrisgroup.com/primo-explore/search?tab=default_tab&amp;search_scope=EVERYTHING&amp;vid=01CRU&amp;lang=en_US&amp;offset=0&amp;query=any,contains,991003583799702656","Catalog Record")</f>
        <v/>
      </c>
      <c r="AT671">
        <f>HYPERLINK("http://www.worldcat.org/oclc/1164813","WorldCat Record")</f>
        <v/>
      </c>
      <c r="AU671" t="inlineStr">
        <is>
          <t>274143321:eng</t>
        </is>
      </c>
      <c r="AV671" t="inlineStr">
        <is>
          <t>1164813</t>
        </is>
      </c>
      <c r="AW671" t="inlineStr">
        <is>
          <t>991003583799702656</t>
        </is>
      </c>
      <c r="AX671" t="inlineStr">
        <is>
          <t>991003583799702656</t>
        </is>
      </c>
      <c r="AY671" t="inlineStr">
        <is>
          <t>2262933550002656</t>
        </is>
      </c>
      <c r="AZ671" t="inlineStr">
        <is>
          <t>BOOK</t>
        </is>
      </c>
      <c r="BB671" t="inlineStr">
        <is>
          <t>9780416164800</t>
        </is>
      </c>
      <c r="BC671" t="inlineStr">
        <is>
          <t>32285001442598</t>
        </is>
      </c>
      <c r="BD671" t="inlineStr">
        <is>
          <t>893705388</t>
        </is>
      </c>
    </row>
    <row r="672">
      <c r="A672" t="inlineStr">
        <is>
          <t>No</t>
        </is>
      </c>
      <c r="B672" t="inlineStr">
        <is>
          <t>DF220 .W4 1964</t>
        </is>
      </c>
      <c r="C672" t="inlineStr">
        <is>
          <t>0                      DF 0220000W  4           1964</t>
        </is>
      </c>
      <c r="D672" t="inlineStr">
        <is>
          <t>From Mycenae to Homer.</t>
        </is>
      </c>
      <c r="F672" t="inlineStr">
        <is>
          <t>No</t>
        </is>
      </c>
      <c r="G672" t="inlineStr">
        <is>
          <t>1</t>
        </is>
      </c>
      <c r="H672" t="inlineStr">
        <is>
          <t>No</t>
        </is>
      </c>
      <c r="I672" t="inlineStr">
        <is>
          <t>No</t>
        </is>
      </c>
      <c r="J672" t="inlineStr">
        <is>
          <t>0</t>
        </is>
      </c>
      <c r="K672" t="inlineStr">
        <is>
          <t>Webster, T. B. L. (Thomas Bertram Lonsdale), 1905-1974.</t>
        </is>
      </c>
      <c r="L672" t="inlineStr">
        <is>
          <t>London, Methuen, 1964.</t>
        </is>
      </c>
      <c r="M672" t="inlineStr">
        <is>
          <t>1964</t>
        </is>
      </c>
      <c r="N672" t="inlineStr">
        <is>
          <t>[2d ed.]</t>
        </is>
      </c>
      <c r="O672" t="inlineStr">
        <is>
          <t>eng</t>
        </is>
      </c>
      <c r="P672" t="inlineStr">
        <is>
          <t>enk</t>
        </is>
      </c>
      <c r="R672" t="inlineStr">
        <is>
          <t xml:space="preserve">DF </t>
        </is>
      </c>
      <c r="S672" t="n">
        <v>2</v>
      </c>
      <c r="T672" t="n">
        <v>2</v>
      </c>
      <c r="U672" t="inlineStr">
        <is>
          <t>1997-03-31</t>
        </is>
      </c>
      <c r="V672" t="inlineStr">
        <is>
          <t>1997-03-31</t>
        </is>
      </c>
      <c r="W672" t="inlineStr">
        <is>
          <t>1997-01-30</t>
        </is>
      </c>
      <c r="X672" t="inlineStr">
        <is>
          <t>1997-01-30</t>
        </is>
      </c>
      <c r="Y672" t="n">
        <v>300</v>
      </c>
      <c r="Z672" t="n">
        <v>239</v>
      </c>
      <c r="AA672" t="n">
        <v>917</v>
      </c>
      <c r="AB672" t="n">
        <v>2</v>
      </c>
      <c r="AC672" t="n">
        <v>10</v>
      </c>
      <c r="AD672" t="n">
        <v>6</v>
      </c>
      <c r="AE672" t="n">
        <v>47</v>
      </c>
      <c r="AF672" t="n">
        <v>1</v>
      </c>
      <c r="AG672" t="n">
        <v>17</v>
      </c>
      <c r="AH672" t="n">
        <v>2</v>
      </c>
      <c r="AI672" t="n">
        <v>9</v>
      </c>
      <c r="AJ672" t="n">
        <v>2</v>
      </c>
      <c r="AK672" t="n">
        <v>24</v>
      </c>
      <c r="AL672" t="n">
        <v>1</v>
      </c>
      <c r="AM672" t="n">
        <v>8</v>
      </c>
      <c r="AN672" t="n">
        <v>0</v>
      </c>
      <c r="AO672" t="n">
        <v>0</v>
      </c>
      <c r="AP672" t="inlineStr">
        <is>
          <t>No</t>
        </is>
      </c>
      <c r="AQ672" t="inlineStr">
        <is>
          <t>Yes</t>
        </is>
      </c>
      <c r="AR672">
        <f>HYPERLINK("http://catalog.hathitrust.org/Record/000612387","HathiTrust Record")</f>
        <v/>
      </c>
      <c r="AS672">
        <f>HYPERLINK("https://creighton-primo.hosted.exlibrisgroup.com/primo-explore/search?tab=default_tab&amp;search_scope=EVERYTHING&amp;vid=01CRU&amp;lang=en_US&amp;offset=0&amp;query=any,contains,991002696079702656","Catalog Record")</f>
        <v/>
      </c>
      <c r="AT672">
        <f>HYPERLINK("http://www.worldcat.org/oclc/403655","WorldCat Record")</f>
        <v/>
      </c>
      <c r="AU672" t="inlineStr">
        <is>
          <t>1424519:eng</t>
        </is>
      </c>
      <c r="AV672" t="inlineStr">
        <is>
          <t>403655</t>
        </is>
      </c>
      <c r="AW672" t="inlineStr">
        <is>
          <t>991002696079702656</t>
        </is>
      </c>
      <c r="AX672" t="inlineStr">
        <is>
          <t>991002696079702656</t>
        </is>
      </c>
      <c r="AY672" t="inlineStr">
        <is>
          <t>2259836530002656</t>
        </is>
      </c>
      <c r="AZ672" t="inlineStr">
        <is>
          <t>BOOK</t>
        </is>
      </c>
      <c r="BC672" t="inlineStr">
        <is>
          <t>32285002418456</t>
        </is>
      </c>
      <c r="BD672" t="inlineStr">
        <is>
          <t>893899090</t>
        </is>
      </c>
    </row>
    <row r="673">
      <c r="A673" t="inlineStr">
        <is>
          <t>No</t>
        </is>
      </c>
      <c r="B673" t="inlineStr">
        <is>
          <t>DF220 .Z31</t>
        </is>
      </c>
      <c r="C673" t="inlineStr">
        <is>
          <t>0                      DF 0220000Z  31</t>
        </is>
      </c>
      <c r="D673" t="inlineStr">
        <is>
          <t>Mead and wine : a history of the bronze age in Greece / translated from the French by Peter Green.</t>
        </is>
      </c>
      <c r="F673" t="inlineStr">
        <is>
          <t>No</t>
        </is>
      </c>
      <c r="G673" t="inlineStr">
        <is>
          <t>1</t>
        </is>
      </c>
      <c r="H673" t="inlineStr">
        <is>
          <t>No</t>
        </is>
      </c>
      <c r="I673" t="inlineStr">
        <is>
          <t>No</t>
        </is>
      </c>
      <c r="J673" t="inlineStr">
        <is>
          <t>0</t>
        </is>
      </c>
      <c r="K673" t="inlineStr">
        <is>
          <t>Zafiropulo, Jean.</t>
        </is>
      </c>
      <c r="L673" t="inlineStr">
        <is>
          <t>London : Sidgwick and Jackson, 1966.</t>
        </is>
      </c>
      <c r="M673" t="inlineStr">
        <is>
          <t>1966</t>
        </is>
      </c>
      <c r="O673" t="inlineStr">
        <is>
          <t>eng</t>
        </is>
      </c>
      <c r="P673" t="inlineStr">
        <is>
          <t xml:space="preserve">xx </t>
        </is>
      </c>
      <c r="R673" t="inlineStr">
        <is>
          <t xml:space="preserve">DF </t>
        </is>
      </c>
      <c r="S673" t="n">
        <v>1</v>
      </c>
      <c r="T673" t="n">
        <v>1</v>
      </c>
      <c r="U673" t="inlineStr">
        <is>
          <t>1994-07-02</t>
        </is>
      </c>
      <c r="V673" t="inlineStr">
        <is>
          <t>1994-07-02</t>
        </is>
      </c>
      <c r="W673" t="inlineStr">
        <is>
          <t>1991-12-09</t>
        </is>
      </c>
      <c r="X673" t="inlineStr">
        <is>
          <t>1991-12-09</t>
        </is>
      </c>
      <c r="Y673" t="n">
        <v>186</v>
      </c>
      <c r="Z673" t="n">
        <v>124</v>
      </c>
      <c r="AA673" t="n">
        <v>293</v>
      </c>
      <c r="AB673" t="n">
        <v>1</v>
      </c>
      <c r="AC673" t="n">
        <v>2</v>
      </c>
      <c r="AD673" t="n">
        <v>6</v>
      </c>
      <c r="AE673" t="n">
        <v>14</v>
      </c>
      <c r="AF673" t="n">
        <v>3</v>
      </c>
      <c r="AG673" t="n">
        <v>4</v>
      </c>
      <c r="AH673" t="n">
        <v>0</v>
      </c>
      <c r="AI673" t="n">
        <v>3</v>
      </c>
      <c r="AJ673" t="n">
        <v>3</v>
      </c>
      <c r="AK673" t="n">
        <v>7</v>
      </c>
      <c r="AL673" t="n">
        <v>0</v>
      </c>
      <c r="AM673" t="n">
        <v>1</v>
      </c>
      <c r="AN673" t="n">
        <v>0</v>
      </c>
      <c r="AO673" t="n">
        <v>0</v>
      </c>
      <c r="AP673" t="inlineStr">
        <is>
          <t>No</t>
        </is>
      </c>
      <c r="AQ673" t="inlineStr">
        <is>
          <t>Yes</t>
        </is>
      </c>
      <c r="AR673">
        <f>HYPERLINK("http://catalog.hathitrust.org/Record/000571850","HathiTrust Record")</f>
        <v/>
      </c>
      <c r="AS673">
        <f>HYPERLINK("https://creighton-primo.hosted.exlibrisgroup.com/primo-explore/search?tab=default_tab&amp;search_scope=EVERYTHING&amp;vid=01CRU&amp;lang=en_US&amp;offset=0&amp;query=any,contains,991003685629702656","Catalog Record")</f>
        <v/>
      </c>
      <c r="AT673">
        <f>HYPERLINK("http://www.worldcat.org/oclc/1313712","WorldCat Record")</f>
        <v/>
      </c>
      <c r="AU673" t="inlineStr">
        <is>
          <t>2343938:eng</t>
        </is>
      </c>
      <c r="AV673" t="inlineStr">
        <is>
          <t>1313712</t>
        </is>
      </c>
      <c r="AW673" t="inlineStr">
        <is>
          <t>991003685629702656</t>
        </is>
      </c>
      <c r="AX673" t="inlineStr">
        <is>
          <t>991003685629702656</t>
        </is>
      </c>
      <c r="AY673" t="inlineStr">
        <is>
          <t>2257749610002656</t>
        </is>
      </c>
      <c r="AZ673" t="inlineStr">
        <is>
          <t>BOOK</t>
        </is>
      </c>
      <c r="BC673" t="inlineStr">
        <is>
          <t>32285000849827</t>
        </is>
      </c>
      <c r="BD673" t="inlineStr">
        <is>
          <t>893435304</t>
        </is>
      </c>
    </row>
    <row r="674">
      <c r="A674" t="inlineStr">
        <is>
          <t>No</t>
        </is>
      </c>
      <c r="B674" t="inlineStr">
        <is>
          <t>DF221 .M9M9</t>
        </is>
      </c>
      <c r="C674" t="inlineStr">
        <is>
          <t>0                      DF 0221000M  9                  M  9</t>
        </is>
      </c>
      <c r="D674" t="inlineStr">
        <is>
          <t>Ancient Mycenae: the capital city of Agamemnon.</t>
        </is>
      </c>
      <c r="F674" t="inlineStr">
        <is>
          <t>No</t>
        </is>
      </c>
      <c r="G674" t="inlineStr">
        <is>
          <t>1</t>
        </is>
      </c>
      <c r="H674" t="inlineStr">
        <is>
          <t>No</t>
        </is>
      </c>
      <c r="I674" t="inlineStr">
        <is>
          <t>No</t>
        </is>
      </c>
      <c r="J674" t="inlineStr">
        <is>
          <t>0</t>
        </is>
      </c>
      <c r="K674" t="inlineStr">
        <is>
          <t>Mylonas, George E. (George Emmanuel), 1898-1988.</t>
        </is>
      </c>
      <c r="L674" t="inlineStr">
        <is>
          <t>Princeton, Princeton University Press, 1957.</t>
        </is>
      </c>
      <c r="M674" t="inlineStr">
        <is>
          <t>1957</t>
        </is>
      </c>
      <c r="O674" t="inlineStr">
        <is>
          <t>eng</t>
        </is>
      </c>
      <c r="P674" t="inlineStr">
        <is>
          <t>nju</t>
        </is>
      </c>
      <c r="Q674" t="inlineStr">
        <is>
          <t>The Page-Barbour lectures, for 1955, at the University of Virginia</t>
        </is>
      </c>
      <c r="R674" t="inlineStr">
        <is>
          <t xml:space="preserve">DF </t>
        </is>
      </c>
      <c r="S674" t="n">
        <v>5</v>
      </c>
      <c r="T674" t="n">
        <v>5</v>
      </c>
      <c r="U674" t="inlineStr">
        <is>
          <t>2005-03-10</t>
        </is>
      </c>
      <c r="V674" t="inlineStr">
        <is>
          <t>2005-03-10</t>
        </is>
      </c>
      <c r="W674" t="inlineStr">
        <is>
          <t>1997-01-30</t>
        </is>
      </c>
      <c r="X674" t="inlineStr">
        <is>
          <t>1997-01-30</t>
        </is>
      </c>
      <c r="Y674" t="n">
        <v>422</v>
      </c>
      <c r="Z674" t="n">
        <v>362</v>
      </c>
      <c r="AA674" t="n">
        <v>479</v>
      </c>
      <c r="AB674" t="n">
        <v>4</v>
      </c>
      <c r="AC674" t="n">
        <v>4</v>
      </c>
      <c r="AD674" t="n">
        <v>17</v>
      </c>
      <c r="AE674" t="n">
        <v>24</v>
      </c>
      <c r="AF674" t="n">
        <v>6</v>
      </c>
      <c r="AG674" t="n">
        <v>10</v>
      </c>
      <c r="AH674" t="n">
        <v>6</v>
      </c>
      <c r="AI674" t="n">
        <v>7</v>
      </c>
      <c r="AJ674" t="n">
        <v>7</v>
      </c>
      <c r="AK674" t="n">
        <v>12</v>
      </c>
      <c r="AL674" t="n">
        <v>3</v>
      </c>
      <c r="AM674" t="n">
        <v>3</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HYPERLINK("https://creighton-primo.hosted.exlibrisgroup.com/primo-explore/search?tab=default_tab&amp;search_scope=EVERYTHING&amp;vid=01CRU&amp;lang=en_US&amp;offset=0&amp;query=any,contains,991005026139702656","Catalog Record")</f>
        <v/>
      </c>
      <c r="AT674">
        <f>HYPERLINK("http://www.worldcat.org/oclc/6699432","WorldCat Record")</f>
        <v/>
      </c>
      <c r="AU674" t="inlineStr">
        <is>
          <t>197509605:eng</t>
        </is>
      </c>
      <c r="AV674" t="inlineStr">
        <is>
          <t>6699432</t>
        </is>
      </c>
      <c r="AW674" t="inlineStr">
        <is>
          <t>991005026139702656</t>
        </is>
      </c>
      <c r="AX674" t="inlineStr">
        <is>
          <t>991005026139702656</t>
        </is>
      </c>
      <c r="AY674" t="inlineStr">
        <is>
          <t>2263161750002656</t>
        </is>
      </c>
      <c r="AZ674" t="inlineStr">
        <is>
          <t>BOOK</t>
        </is>
      </c>
      <c r="BC674" t="inlineStr">
        <is>
          <t>32285002418548</t>
        </is>
      </c>
      <c r="BD674" t="inlineStr">
        <is>
          <t>893694638</t>
        </is>
      </c>
    </row>
    <row r="675">
      <c r="A675" t="inlineStr">
        <is>
          <t>No</t>
        </is>
      </c>
      <c r="B675" t="inlineStr">
        <is>
          <t>DF221.5 .F56 1981</t>
        </is>
      </c>
      <c r="C675" t="inlineStr">
        <is>
          <t>0                      DF 0221500F  56          1981</t>
        </is>
      </c>
      <c r="D675" t="inlineStr">
        <is>
          <t>Early Greece : the bronze and archaic ages / M.I. Finley.</t>
        </is>
      </c>
      <c r="F675" t="inlineStr">
        <is>
          <t>No</t>
        </is>
      </c>
      <c r="G675" t="inlineStr">
        <is>
          <t>1</t>
        </is>
      </c>
      <c r="H675" t="inlineStr">
        <is>
          <t>No</t>
        </is>
      </c>
      <c r="I675" t="inlineStr">
        <is>
          <t>No</t>
        </is>
      </c>
      <c r="J675" t="inlineStr">
        <is>
          <t>0</t>
        </is>
      </c>
      <c r="K675" t="inlineStr">
        <is>
          <t>Finley, M. I. (Moses I.), 1912-1986.</t>
        </is>
      </c>
      <c r="L675" t="inlineStr">
        <is>
          <t>New York : Norton, c1981.</t>
        </is>
      </c>
      <c r="M675" t="inlineStr">
        <is>
          <t>1981</t>
        </is>
      </c>
      <c r="N675" t="inlineStr">
        <is>
          <t>New and rev. ed.</t>
        </is>
      </c>
      <c r="O675" t="inlineStr">
        <is>
          <t>eng</t>
        </is>
      </c>
      <c r="P675" t="inlineStr">
        <is>
          <t>nyu</t>
        </is>
      </c>
      <c r="Q675" t="inlineStr">
        <is>
          <t>Ancient culture and society</t>
        </is>
      </c>
      <c r="R675" t="inlineStr">
        <is>
          <t xml:space="preserve">DF </t>
        </is>
      </c>
      <c r="S675" t="n">
        <v>1</v>
      </c>
      <c r="T675" t="n">
        <v>1</v>
      </c>
      <c r="U675" t="inlineStr">
        <is>
          <t>2009-01-12</t>
        </is>
      </c>
      <c r="V675" t="inlineStr">
        <is>
          <t>2009-01-12</t>
        </is>
      </c>
      <c r="W675" t="inlineStr">
        <is>
          <t>2009-01-12</t>
        </is>
      </c>
      <c r="X675" t="inlineStr">
        <is>
          <t>2009-01-12</t>
        </is>
      </c>
      <c r="Y675" t="n">
        <v>452</v>
      </c>
      <c r="Z675" t="n">
        <v>410</v>
      </c>
      <c r="AA675" t="n">
        <v>1041</v>
      </c>
      <c r="AB675" t="n">
        <v>2</v>
      </c>
      <c r="AC675" t="n">
        <v>6</v>
      </c>
      <c r="AD675" t="n">
        <v>12</v>
      </c>
      <c r="AE675" t="n">
        <v>35</v>
      </c>
      <c r="AF675" t="n">
        <v>5</v>
      </c>
      <c r="AG675" t="n">
        <v>15</v>
      </c>
      <c r="AH675" t="n">
        <v>4</v>
      </c>
      <c r="AI675" t="n">
        <v>8</v>
      </c>
      <c r="AJ675" t="n">
        <v>5</v>
      </c>
      <c r="AK675" t="n">
        <v>18</v>
      </c>
      <c r="AL675" t="n">
        <v>1</v>
      </c>
      <c r="AM675" t="n">
        <v>5</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HYPERLINK("https://creighton-primo.hosted.exlibrisgroup.com/primo-explore/search?tab=default_tab&amp;search_scope=EVERYTHING&amp;vid=01CRU&amp;lang=en_US&amp;offset=0&amp;query=any,contains,991005289829702656","Catalog Record")</f>
        <v/>
      </c>
      <c r="AT675">
        <f>HYPERLINK("http://www.worldcat.org/oclc/8589117","WorldCat Record")</f>
        <v/>
      </c>
      <c r="AU675" t="inlineStr">
        <is>
          <t>197972331:eng</t>
        </is>
      </c>
      <c r="AV675" t="inlineStr">
        <is>
          <t>8589117</t>
        </is>
      </c>
      <c r="AW675" t="inlineStr">
        <is>
          <t>991005289829702656</t>
        </is>
      </c>
      <c r="AX675" t="inlineStr">
        <is>
          <t>991005289829702656</t>
        </is>
      </c>
      <c r="AY675" t="inlineStr">
        <is>
          <t>2255103490002656</t>
        </is>
      </c>
      <c r="AZ675" t="inlineStr">
        <is>
          <t>BOOK</t>
        </is>
      </c>
      <c r="BB675" t="inlineStr">
        <is>
          <t>9780393015690</t>
        </is>
      </c>
      <c r="BC675" t="inlineStr">
        <is>
          <t>32285005477319</t>
        </is>
      </c>
      <c r="BD675" t="inlineStr">
        <is>
          <t>893254781</t>
        </is>
      </c>
    </row>
    <row r="676">
      <c r="A676" t="inlineStr">
        <is>
          <t>No</t>
        </is>
      </c>
      <c r="B676" t="inlineStr">
        <is>
          <t>DF221.A8 W3</t>
        </is>
      </c>
      <c r="C676" t="inlineStr">
        <is>
          <t>0                      DF 0221000A  8                  W  3</t>
        </is>
      </c>
      <c r="D676" t="inlineStr">
        <is>
          <t>The Argive Heraeum.</t>
        </is>
      </c>
      <c r="E676" t="inlineStr">
        <is>
          <t>V.1</t>
        </is>
      </c>
      <c r="F676" t="inlineStr">
        <is>
          <t>Yes</t>
        </is>
      </c>
      <c r="G676" t="inlineStr">
        <is>
          <t>1</t>
        </is>
      </c>
      <c r="H676" t="inlineStr">
        <is>
          <t>No</t>
        </is>
      </c>
      <c r="I676" t="inlineStr">
        <is>
          <t>No</t>
        </is>
      </c>
      <c r="J676" t="inlineStr">
        <is>
          <t>0</t>
        </is>
      </c>
      <c r="K676" t="inlineStr">
        <is>
          <t>Waldstein, Charles, Sir, 1856-1927.</t>
        </is>
      </c>
      <c r="L676" t="inlineStr">
        <is>
          <t>Boston, Houghton Mifflin, 1902-05.</t>
        </is>
      </c>
      <c r="M676" t="inlineStr">
        <is>
          <t>1902</t>
        </is>
      </c>
      <c r="O676" t="inlineStr">
        <is>
          <t>eng</t>
        </is>
      </c>
      <c r="P676" t="inlineStr">
        <is>
          <t xml:space="preserve">xx </t>
        </is>
      </c>
      <c r="R676" t="inlineStr">
        <is>
          <t xml:space="preserve">DF </t>
        </is>
      </c>
      <c r="S676" t="n">
        <v>1</v>
      </c>
      <c r="T676" t="n">
        <v>1</v>
      </c>
      <c r="U676" t="inlineStr">
        <is>
          <t>2009-02-26</t>
        </is>
      </c>
      <c r="V676" t="inlineStr">
        <is>
          <t>2009-02-26</t>
        </is>
      </c>
      <c r="W676" t="inlineStr">
        <is>
          <t>1997-01-30</t>
        </is>
      </c>
      <c r="X676" t="inlineStr">
        <is>
          <t>1997-01-30</t>
        </is>
      </c>
      <c r="Y676" t="n">
        <v>170</v>
      </c>
      <c r="Z676" t="n">
        <v>140</v>
      </c>
      <c r="AA676" t="n">
        <v>155</v>
      </c>
      <c r="AB676" t="n">
        <v>2</v>
      </c>
      <c r="AC676" t="n">
        <v>2</v>
      </c>
      <c r="AD676" t="n">
        <v>5</v>
      </c>
      <c r="AE676" t="n">
        <v>6</v>
      </c>
      <c r="AF676" t="n">
        <v>0</v>
      </c>
      <c r="AG676" t="n">
        <v>0</v>
      </c>
      <c r="AH676" t="n">
        <v>1</v>
      </c>
      <c r="AI676" t="n">
        <v>2</v>
      </c>
      <c r="AJ676" t="n">
        <v>3</v>
      </c>
      <c r="AK676" t="n">
        <v>3</v>
      </c>
      <c r="AL676" t="n">
        <v>1</v>
      </c>
      <c r="AM676" t="n">
        <v>1</v>
      </c>
      <c r="AN676" t="n">
        <v>0</v>
      </c>
      <c r="AO676" t="n">
        <v>0</v>
      </c>
      <c r="AP676" t="inlineStr">
        <is>
          <t>Yes</t>
        </is>
      </c>
      <c r="AQ676" t="inlineStr">
        <is>
          <t>No</t>
        </is>
      </c>
      <c r="AR676">
        <f>HYPERLINK("http://catalog.hathitrust.org/Record/000612375","HathiTrust Record")</f>
        <v/>
      </c>
      <c r="AS676">
        <f>HYPERLINK("https://creighton-primo.hosted.exlibrisgroup.com/primo-explore/search?tab=default_tab&amp;search_scope=EVERYTHING&amp;vid=01CRU&amp;lang=en_US&amp;offset=0&amp;query=any,contains,991003098599702656","Catalog Record")</f>
        <v/>
      </c>
      <c r="AT676">
        <f>HYPERLINK("http://www.worldcat.org/oclc/648276","WorldCat Record")</f>
        <v/>
      </c>
      <c r="AU676" t="inlineStr">
        <is>
          <t>5534180068:eng</t>
        </is>
      </c>
      <c r="AV676" t="inlineStr">
        <is>
          <t>648276</t>
        </is>
      </c>
      <c r="AW676" t="inlineStr">
        <is>
          <t>991003098599702656</t>
        </is>
      </c>
      <c r="AX676" t="inlineStr">
        <is>
          <t>991003098599702656</t>
        </is>
      </c>
      <c r="AY676" t="inlineStr">
        <is>
          <t>2258496790002656</t>
        </is>
      </c>
      <c r="AZ676" t="inlineStr">
        <is>
          <t>BOOK</t>
        </is>
      </c>
      <c r="BC676" t="inlineStr">
        <is>
          <t>32285002418464</t>
        </is>
      </c>
      <c r="BD676" t="inlineStr">
        <is>
          <t>893880819</t>
        </is>
      </c>
    </row>
    <row r="677">
      <c r="A677" t="inlineStr">
        <is>
          <t>No</t>
        </is>
      </c>
      <c r="B677" t="inlineStr">
        <is>
          <t>DF221.C8 E75</t>
        </is>
      </c>
      <c r="C677" t="inlineStr">
        <is>
          <t>0                      DF 0221000C  8                  E  75</t>
        </is>
      </c>
      <c r="D677" t="inlineStr">
        <is>
          <t>The palace of Minos; a comparative account of the successive stages of the early Cretan civilization as illustrated by the discoveries at Knossos, by Sir Arthur Evans ...</t>
        </is>
      </c>
      <c r="E677" t="inlineStr">
        <is>
          <t>V.2 PT.1</t>
        </is>
      </c>
      <c r="F677" t="inlineStr">
        <is>
          <t>Yes</t>
        </is>
      </c>
      <c r="G677" t="inlineStr">
        <is>
          <t>1</t>
        </is>
      </c>
      <c r="H677" t="inlineStr">
        <is>
          <t>No</t>
        </is>
      </c>
      <c r="I677" t="inlineStr">
        <is>
          <t>No</t>
        </is>
      </c>
      <c r="J677" t="inlineStr">
        <is>
          <t>0</t>
        </is>
      </c>
      <c r="K677" t="inlineStr">
        <is>
          <t>Evans, Arthur, Sir, 1851-1941.</t>
        </is>
      </c>
      <c r="L677" t="inlineStr">
        <is>
          <t>London, Macmillan and Co., limited, 1921-35.</t>
        </is>
      </c>
      <c r="M677" t="inlineStr">
        <is>
          <t>1921</t>
        </is>
      </c>
      <c r="O677" t="inlineStr">
        <is>
          <t>eng</t>
        </is>
      </c>
      <c r="P677" t="inlineStr">
        <is>
          <t>enk</t>
        </is>
      </c>
      <c r="R677" t="inlineStr">
        <is>
          <t xml:space="preserve">DF </t>
        </is>
      </c>
      <c r="S677" t="n">
        <v>1</v>
      </c>
      <c r="T677" t="n">
        <v>2</v>
      </c>
      <c r="U677" t="inlineStr">
        <is>
          <t>2005-11-13</t>
        </is>
      </c>
      <c r="V677" t="inlineStr">
        <is>
          <t>2005-11-13</t>
        </is>
      </c>
      <c r="W677" t="inlineStr">
        <is>
          <t>1997-01-30</t>
        </is>
      </c>
      <c r="X677" t="inlineStr">
        <is>
          <t>1997-01-30</t>
        </is>
      </c>
      <c r="Y677" t="n">
        <v>367</v>
      </c>
      <c r="Z677" t="n">
        <v>290</v>
      </c>
      <c r="AA677" t="n">
        <v>548</v>
      </c>
      <c r="AB677" t="n">
        <v>3</v>
      </c>
      <c r="AC677" t="n">
        <v>4</v>
      </c>
      <c r="AD677" t="n">
        <v>13</v>
      </c>
      <c r="AE677" t="n">
        <v>24</v>
      </c>
      <c r="AF677" t="n">
        <v>4</v>
      </c>
      <c r="AG677" t="n">
        <v>11</v>
      </c>
      <c r="AH677" t="n">
        <v>2</v>
      </c>
      <c r="AI677" t="n">
        <v>2</v>
      </c>
      <c r="AJ677" t="n">
        <v>7</v>
      </c>
      <c r="AK677" t="n">
        <v>12</v>
      </c>
      <c r="AL677" t="n">
        <v>2</v>
      </c>
      <c r="AM677" t="n">
        <v>3</v>
      </c>
      <c r="AN677" t="n">
        <v>0</v>
      </c>
      <c r="AO677" t="n">
        <v>0</v>
      </c>
      <c r="AP677" t="inlineStr">
        <is>
          <t>Yes</t>
        </is>
      </c>
      <c r="AQ677" t="inlineStr">
        <is>
          <t>Yes</t>
        </is>
      </c>
      <c r="AR677">
        <f>HYPERLINK("http://catalog.hathitrust.org/Record/000822949","HathiTrust Record")</f>
        <v/>
      </c>
      <c r="AS677">
        <f>HYPERLINK("https://creighton-primo.hosted.exlibrisgroup.com/primo-explore/search?tab=default_tab&amp;search_scope=EVERYTHING&amp;vid=01CRU&amp;lang=en_US&amp;offset=0&amp;query=any,contains,991004457599702656","Catalog Record")</f>
        <v/>
      </c>
      <c r="AT677">
        <f>HYPERLINK("http://www.worldcat.org/oclc/3536093","WorldCat Record")</f>
        <v/>
      </c>
      <c r="AU677" t="inlineStr">
        <is>
          <t>4920974223:eng</t>
        </is>
      </c>
      <c r="AV677" t="inlineStr">
        <is>
          <t>3536093</t>
        </is>
      </c>
      <c r="AW677" t="inlineStr">
        <is>
          <t>991004457599702656</t>
        </is>
      </c>
      <c r="AX677" t="inlineStr">
        <is>
          <t>991004457599702656</t>
        </is>
      </c>
      <c r="AY677" t="inlineStr">
        <is>
          <t>2263597410002656</t>
        </is>
      </c>
      <c r="AZ677" t="inlineStr">
        <is>
          <t>BOOK</t>
        </is>
      </c>
      <c r="BC677" t="inlineStr">
        <is>
          <t>32285002418472</t>
        </is>
      </c>
      <c r="BD677" t="inlineStr">
        <is>
          <t>893794866</t>
        </is>
      </c>
    </row>
    <row r="678">
      <c r="A678" t="inlineStr">
        <is>
          <t>No</t>
        </is>
      </c>
      <c r="B678" t="inlineStr">
        <is>
          <t>DF221.C8 E75</t>
        </is>
      </c>
      <c r="C678" t="inlineStr">
        <is>
          <t>0                      DF 0221000C  8                  E  75</t>
        </is>
      </c>
      <c r="D678" t="inlineStr">
        <is>
          <t>The palace of Minos; a comparative account of the successive stages of the early Cretan civilization as illustrated by the discoveries at Knossos, by Sir Arthur Evans ...</t>
        </is>
      </c>
      <c r="E678" t="inlineStr">
        <is>
          <t>V.2 PT.2</t>
        </is>
      </c>
      <c r="F678" t="inlineStr">
        <is>
          <t>Yes</t>
        </is>
      </c>
      <c r="G678" t="inlineStr">
        <is>
          <t>1</t>
        </is>
      </c>
      <c r="H678" t="inlineStr">
        <is>
          <t>No</t>
        </is>
      </c>
      <c r="I678" t="inlineStr">
        <is>
          <t>No</t>
        </is>
      </c>
      <c r="J678" t="inlineStr">
        <is>
          <t>0</t>
        </is>
      </c>
      <c r="K678" t="inlineStr">
        <is>
          <t>Evans, Arthur, Sir, 1851-1941.</t>
        </is>
      </c>
      <c r="L678" t="inlineStr">
        <is>
          <t>London, Macmillan and Co., limited, 1921-35.</t>
        </is>
      </c>
      <c r="M678" t="inlineStr">
        <is>
          <t>1921</t>
        </is>
      </c>
      <c r="O678" t="inlineStr">
        <is>
          <t>eng</t>
        </is>
      </c>
      <c r="P678" t="inlineStr">
        <is>
          <t>enk</t>
        </is>
      </c>
      <c r="R678" t="inlineStr">
        <is>
          <t xml:space="preserve">DF </t>
        </is>
      </c>
      <c r="S678" t="n">
        <v>0</v>
      </c>
      <c r="T678" t="n">
        <v>2</v>
      </c>
      <c r="V678" t="inlineStr">
        <is>
          <t>2005-11-13</t>
        </is>
      </c>
      <c r="W678" t="inlineStr">
        <is>
          <t>1997-01-30</t>
        </is>
      </c>
      <c r="X678" t="inlineStr">
        <is>
          <t>1997-01-30</t>
        </is>
      </c>
      <c r="Y678" t="n">
        <v>367</v>
      </c>
      <c r="Z678" t="n">
        <v>290</v>
      </c>
      <c r="AA678" t="n">
        <v>548</v>
      </c>
      <c r="AB678" t="n">
        <v>3</v>
      </c>
      <c r="AC678" t="n">
        <v>4</v>
      </c>
      <c r="AD678" t="n">
        <v>13</v>
      </c>
      <c r="AE678" t="n">
        <v>24</v>
      </c>
      <c r="AF678" t="n">
        <v>4</v>
      </c>
      <c r="AG678" t="n">
        <v>11</v>
      </c>
      <c r="AH678" t="n">
        <v>2</v>
      </c>
      <c r="AI678" t="n">
        <v>2</v>
      </c>
      <c r="AJ678" t="n">
        <v>7</v>
      </c>
      <c r="AK678" t="n">
        <v>12</v>
      </c>
      <c r="AL678" t="n">
        <v>2</v>
      </c>
      <c r="AM678" t="n">
        <v>3</v>
      </c>
      <c r="AN678" t="n">
        <v>0</v>
      </c>
      <c r="AO678" t="n">
        <v>0</v>
      </c>
      <c r="AP678" t="inlineStr">
        <is>
          <t>Yes</t>
        </is>
      </c>
      <c r="AQ678" t="inlineStr">
        <is>
          <t>Yes</t>
        </is>
      </c>
      <c r="AR678">
        <f>HYPERLINK("http://catalog.hathitrust.org/Record/000822949","HathiTrust Record")</f>
        <v/>
      </c>
      <c r="AS678">
        <f>HYPERLINK("https://creighton-primo.hosted.exlibrisgroup.com/primo-explore/search?tab=default_tab&amp;search_scope=EVERYTHING&amp;vid=01CRU&amp;lang=en_US&amp;offset=0&amp;query=any,contains,991004457599702656","Catalog Record")</f>
        <v/>
      </c>
      <c r="AT678">
        <f>HYPERLINK("http://www.worldcat.org/oclc/3536093","WorldCat Record")</f>
        <v/>
      </c>
      <c r="AU678" t="inlineStr">
        <is>
          <t>4920974223:eng</t>
        </is>
      </c>
      <c r="AV678" t="inlineStr">
        <is>
          <t>3536093</t>
        </is>
      </c>
      <c r="AW678" t="inlineStr">
        <is>
          <t>991004457599702656</t>
        </is>
      </c>
      <c r="AX678" t="inlineStr">
        <is>
          <t>991004457599702656</t>
        </is>
      </c>
      <c r="AY678" t="inlineStr">
        <is>
          <t>2263597410002656</t>
        </is>
      </c>
      <c r="AZ678" t="inlineStr">
        <is>
          <t>BOOK</t>
        </is>
      </c>
      <c r="BC678" t="inlineStr">
        <is>
          <t>32285002418480</t>
        </is>
      </c>
      <c r="BD678" t="inlineStr">
        <is>
          <t>893776033</t>
        </is>
      </c>
    </row>
    <row r="679">
      <c r="A679" t="inlineStr">
        <is>
          <t>No</t>
        </is>
      </c>
      <c r="B679" t="inlineStr">
        <is>
          <t>DF221.C8 E75</t>
        </is>
      </c>
      <c r="C679" t="inlineStr">
        <is>
          <t>0                      DF 0221000C  8                  E  75</t>
        </is>
      </c>
      <c r="D679" t="inlineStr">
        <is>
          <t>The palace of Minos; a comparative account of the successive stages of the early Cretan civilization as illustrated by the discoveries at Knossos, by Sir Arthur Evans ...</t>
        </is>
      </c>
      <c r="E679" t="inlineStr">
        <is>
          <t>V.4 PT.1</t>
        </is>
      </c>
      <c r="F679" t="inlineStr">
        <is>
          <t>Yes</t>
        </is>
      </c>
      <c r="G679" t="inlineStr">
        <is>
          <t>1</t>
        </is>
      </c>
      <c r="H679" t="inlineStr">
        <is>
          <t>No</t>
        </is>
      </c>
      <c r="I679" t="inlineStr">
        <is>
          <t>No</t>
        </is>
      </c>
      <c r="J679" t="inlineStr">
        <is>
          <t>0</t>
        </is>
      </c>
      <c r="K679" t="inlineStr">
        <is>
          <t>Evans, Arthur, Sir, 1851-1941.</t>
        </is>
      </c>
      <c r="L679" t="inlineStr">
        <is>
          <t>London, Macmillan and Co., limited, 1921-35.</t>
        </is>
      </c>
      <c r="M679" t="inlineStr">
        <is>
          <t>1921</t>
        </is>
      </c>
      <c r="O679" t="inlineStr">
        <is>
          <t>eng</t>
        </is>
      </c>
      <c r="P679" t="inlineStr">
        <is>
          <t>enk</t>
        </is>
      </c>
      <c r="R679" t="inlineStr">
        <is>
          <t xml:space="preserve">DF </t>
        </is>
      </c>
      <c r="S679" t="n">
        <v>0</v>
      </c>
      <c r="T679" t="n">
        <v>2</v>
      </c>
      <c r="V679" t="inlineStr">
        <is>
          <t>2005-11-13</t>
        </is>
      </c>
      <c r="W679" t="inlineStr">
        <is>
          <t>1997-01-30</t>
        </is>
      </c>
      <c r="X679" t="inlineStr">
        <is>
          <t>1997-01-30</t>
        </is>
      </c>
      <c r="Y679" t="n">
        <v>367</v>
      </c>
      <c r="Z679" t="n">
        <v>290</v>
      </c>
      <c r="AA679" t="n">
        <v>548</v>
      </c>
      <c r="AB679" t="n">
        <v>3</v>
      </c>
      <c r="AC679" t="n">
        <v>4</v>
      </c>
      <c r="AD679" t="n">
        <v>13</v>
      </c>
      <c r="AE679" t="n">
        <v>24</v>
      </c>
      <c r="AF679" t="n">
        <v>4</v>
      </c>
      <c r="AG679" t="n">
        <v>11</v>
      </c>
      <c r="AH679" t="n">
        <v>2</v>
      </c>
      <c r="AI679" t="n">
        <v>2</v>
      </c>
      <c r="AJ679" t="n">
        <v>7</v>
      </c>
      <c r="AK679" t="n">
        <v>12</v>
      </c>
      <c r="AL679" t="n">
        <v>2</v>
      </c>
      <c r="AM679" t="n">
        <v>3</v>
      </c>
      <c r="AN679" t="n">
        <v>0</v>
      </c>
      <c r="AO679" t="n">
        <v>0</v>
      </c>
      <c r="AP679" t="inlineStr">
        <is>
          <t>Yes</t>
        </is>
      </c>
      <c r="AQ679" t="inlineStr">
        <is>
          <t>Yes</t>
        </is>
      </c>
      <c r="AR679">
        <f>HYPERLINK("http://catalog.hathitrust.org/Record/000822949","HathiTrust Record")</f>
        <v/>
      </c>
      <c r="AS679">
        <f>HYPERLINK("https://creighton-primo.hosted.exlibrisgroup.com/primo-explore/search?tab=default_tab&amp;search_scope=EVERYTHING&amp;vid=01CRU&amp;lang=en_US&amp;offset=0&amp;query=any,contains,991004457599702656","Catalog Record")</f>
        <v/>
      </c>
      <c r="AT679">
        <f>HYPERLINK("http://www.worldcat.org/oclc/3536093","WorldCat Record")</f>
        <v/>
      </c>
      <c r="AU679" t="inlineStr">
        <is>
          <t>4920974223:eng</t>
        </is>
      </c>
      <c r="AV679" t="inlineStr">
        <is>
          <t>3536093</t>
        </is>
      </c>
      <c r="AW679" t="inlineStr">
        <is>
          <t>991004457599702656</t>
        </is>
      </c>
      <c r="AX679" t="inlineStr">
        <is>
          <t>991004457599702656</t>
        </is>
      </c>
      <c r="AY679" t="inlineStr">
        <is>
          <t>2263597410002656</t>
        </is>
      </c>
      <c r="AZ679" t="inlineStr">
        <is>
          <t>BOOK</t>
        </is>
      </c>
      <c r="BC679" t="inlineStr">
        <is>
          <t>32285002418506</t>
        </is>
      </c>
      <c r="BD679" t="inlineStr">
        <is>
          <t>893776031</t>
        </is>
      </c>
    </row>
    <row r="680">
      <c r="A680" t="inlineStr">
        <is>
          <t>No</t>
        </is>
      </c>
      <c r="B680" t="inlineStr">
        <is>
          <t>DF221.C8 E75</t>
        </is>
      </c>
      <c r="C680" t="inlineStr">
        <is>
          <t>0                      DF 0221000C  8                  E  75</t>
        </is>
      </c>
      <c r="D680" t="inlineStr">
        <is>
          <t>The palace of Minos; a comparative account of the successive stages of the early Cretan civilization as illustrated by the discoveries at Knossos, by Sir Arthur Evans ...</t>
        </is>
      </c>
      <c r="E680" t="inlineStr">
        <is>
          <t>V.3</t>
        </is>
      </c>
      <c r="F680" t="inlineStr">
        <is>
          <t>Yes</t>
        </is>
      </c>
      <c r="G680" t="inlineStr">
        <is>
          <t>1</t>
        </is>
      </c>
      <c r="H680" t="inlineStr">
        <is>
          <t>No</t>
        </is>
      </c>
      <c r="I680" t="inlineStr">
        <is>
          <t>No</t>
        </is>
      </c>
      <c r="J680" t="inlineStr">
        <is>
          <t>0</t>
        </is>
      </c>
      <c r="K680" t="inlineStr">
        <is>
          <t>Evans, Arthur, Sir, 1851-1941.</t>
        </is>
      </c>
      <c r="L680" t="inlineStr">
        <is>
          <t>London, Macmillan and Co., limited, 1921-35.</t>
        </is>
      </c>
      <c r="M680" t="inlineStr">
        <is>
          <t>1921</t>
        </is>
      </c>
      <c r="O680" t="inlineStr">
        <is>
          <t>eng</t>
        </is>
      </c>
      <c r="P680" t="inlineStr">
        <is>
          <t>enk</t>
        </is>
      </c>
      <c r="R680" t="inlineStr">
        <is>
          <t xml:space="preserve">DF </t>
        </is>
      </c>
      <c r="S680" t="n">
        <v>1</v>
      </c>
      <c r="T680" t="n">
        <v>2</v>
      </c>
      <c r="U680" t="inlineStr">
        <is>
          <t>2005-11-13</t>
        </is>
      </c>
      <c r="V680" t="inlineStr">
        <is>
          <t>2005-11-13</t>
        </is>
      </c>
      <c r="W680" t="inlineStr">
        <is>
          <t>1997-01-30</t>
        </is>
      </c>
      <c r="X680" t="inlineStr">
        <is>
          <t>1997-01-30</t>
        </is>
      </c>
      <c r="Y680" t="n">
        <v>367</v>
      </c>
      <c r="Z680" t="n">
        <v>290</v>
      </c>
      <c r="AA680" t="n">
        <v>548</v>
      </c>
      <c r="AB680" t="n">
        <v>3</v>
      </c>
      <c r="AC680" t="n">
        <v>4</v>
      </c>
      <c r="AD680" t="n">
        <v>13</v>
      </c>
      <c r="AE680" t="n">
        <v>24</v>
      </c>
      <c r="AF680" t="n">
        <v>4</v>
      </c>
      <c r="AG680" t="n">
        <v>11</v>
      </c>
      <c r="AH680" t="n">
        <v>2</v>
      </c>
      <c r="AI680" t="n">
        <v>2</v>
      </c>
      <c r="AJ680" t="n">
        <v>7</v>
      </c>
      <c r="AK680" t="n">
        <v>12</v>
      </c>
      <c r="AL680" t="n">
        <v>2</v>
      </c>
      <c r="AM680" t="n">
        <v>3</v>
      </c>
      <c r="AN680" t="n">
        <v>0</v>
      </c>
      <c r="AO680" t="n">
        <v>0</v>
      </c>
      <c r="AP680" t="inlineStr">
        <is>
          <t>Yes</t>
        </is>
      </c>
      <c r="AQ680" t="inlineStr">
        <is>
          <t>Yes</t>
        </is>
      </c>
      <c r="AR680">
        <f>HYPERLINK("http://catalog.hathitrust.org/Record/000822949","HathiTrust Record")</f>
        <v/>
      </c>
      <c r="AS680">
        <f>HYPERLINK("https://creighton-primo.hosted.exlibrisgroup.com/primo-explore/search?tab=default_tab&amp;search_scope=EVERYTHING&amp;vid=01CRU&amp;lang=en_US&amp;offset=0&amp;query=any,contains,991004457599702656","Catalog Record")</f>
        <v/>
      </c>
      <c r="AT680">
        <f>HYPERLINK("http://www.worldcat.org/oclc/3536093","WorldCat Record")</f>
        <v/>
      </c>
      <c r="AU680" t="inlineStr">
        <is>
          <t>4920974223:eng</t>
        </is>
      </c>
      <c r="AV680" t="inlineStr">
        <is>
          <t>3536093</t>
        </is>
      </c>
      <c r="AW680" t="inlineStr">
        <is>
          <t>991004457599702656</t>
        </is>
      </c>
      <c r="AX680" t="inlineStr">
        <is>
          <t>991004457599702656</t>
        </is>
      </c>
      <c r="AY680" t="inlineStr">
        <is>
          <t>2263597410002656</t>
        </is>
      </c>
      <c r="AZ680" t="inlineStr">
        <is>
          <t>BOOK</t>
        </is>
      </c>
      <c r="BC680" t="inlineStr">
        <is>
          <t>32285002418498</t>
        </is>
      </c>
      <c r="BD680" t="inlineStr">
        <is>
          <t>893776032</t>
        </is>
      </c>
    </row>
    <row r="681">
      <c r="A681" t="inlineStr">
        <is>
          <t>No</t>
        </is>
      </c>
      <c r="B681" t="inlineStr">
        <is>
          <t>DF221.C8 E75</t>
        </is>
      </c>
      <c r="C681" t="inlineStr">
        <is>
          <t>0                      DF 0221000C  8                  E  75</t>
        </is>
      </c>
      <c r="D681" t="inlineStr">
        <is>
          <t>The palace of Minos; a comparative account of the successive stages of the early Cretan civilization as illustrated by the discoveries at Knossos, by Sir Arthur Evans ...</t>
        </is>
      </c>
      <c r="E681" t="inlineStr">
        <is>
          <t>V.4 PT.2</t>
        </is>
      </c>
      <c r="F681" t="inlineStr">
        <is>
          <t>Yes</t>
        </is>
      </c>
      <c r="G681" t="inlineStr">
        <is>
          <t>1</t>
        </is>
      </c>
      <c r="H681" t="inlineStr">
        <is>
          <t>No</t>
        </is>
      </c>
      <c r="I681" t="inlineStr">
        <is>
          <t>No</t>
        </is>
      </c>
      <c r="J681" t="inlineStr">
        <is>
          <t>0</t>
        </is>
      </c>
      <c r="K681" t="inlineStr">
        <is>
          <t>Evans, Arthur, Sir, 1851-1941.</t>
        </is>
      </c>
      <c r="L681" t="inlineStr">
        <is>
          <t>London, Macmillan and Co., limited, 1921-35.</t>
        </is>
      </c>
      <c r="M681" t="inlineStr">
        <is>
          <t>1921</t>
        </is>
      </c>
      <c r="O681" t="inlineStr">
        <is>
          <t>eng</t>
        </is>
      </c>
      <c r="P681" t="inlineStr">
        <is>
          <t>enk</t>
        </is>
      </c>
      <c r="R681" t="inlineStr">
        <is>
          <t xml:space="preserve">DF </t>
        </is>
      </c>
      <c r="S681" t="n">
        <v>0</v>
      </c>
      <c r="T681" t="n">
        <v>2</v>
      </c>
      <c r="V681" t="inlineStr">
        <is>
          <t>2005-11-13</t>
        </is>
      </c>
      <c r="W681" t="inlineStr">
        <is>
          <t>1997-01-30</t>
        </is>
      </c>
      <c r="X681" t="inlineStr">
        <is>
          <t>1997-01-30</t>
        </is>
      </c>
      <c r="Y681" t="n">
        <v>367</v>
      </c>
      <c r="Z681" t="n">
        <v>290</v>
      </c>
      <c r="AA681" t="n">
        <v>548</v>
      </c>
      <c r="AB681" t="n">
        <v>3</v>
      </c>
      <c r="AC681" t="n">
        <v>4</v>
      </c>
      <c r="AD681" t="n">
        <v>13</v>
      </c>
      <c r="AE681" t="n">
        <v>24</v>
      </c>
      <c r="AF681" t="n">
        <v>4</v>
      </c>
      <c r="AG681" t="n">
        <v>11</v>
      </c>
      <c r="AH681" t="n">
        <v>2</v>
      </c>
      <c r="AI681" t="n">
        <v>2</v>
      </c>
      <c r="AJ681" t="n">
        <v>7</v>
      </c>
      <c r="AK681" t="n">
        <v>12</v>
      </c>
      <c r="AL681" t="n">
        <v>2</v>
      </c>
      <c r="AM681" t="n">
        <v>3</v>
      </c>
      <c r="AN681" t="n">
        <v>0</v>
      </c>
      <c r="AO681" t="n">
        <v>0</v>
      </c>
      <c r="AP681" t="inlineStr">
        <is>
          <t>Yes</t>
        </is>
      </c>
      <c r="AQ681" t="inlineStr">
        <is>
          <t>Yes</t>
        </is>
      </c>
      <c r="AR681">
        <f>HYPERLINK("http://catalog.hathitrust.org/Record/000822949","HathiTrust Record")</f>
        <v/>
      </c>
      <c r="AS681">
        <f>HYPERLINK("https://creighton-primo.hosted.exlibrisgroup.com/primo-explore/search?tab=default_tab&amp;search_scope=EVERYTHING&amp;vid=01CRU&amp;lang=en_US&amp;offset=0&amp;query=any,contains,991004457599702656","Catalog Record")</f>
        <v/>
      </c>
      <c r="AT681">
        <f>HYPERLINK("http://www.worldcat.org/oclc/3536093","WorldCat Record")</f>
        <v/>
      </c>
      <c r="AU681" t="inlineStr">
        <is>
          <t>4920974223:eng</t>
        </is>
      </c>
      <c r="AV681" t="inlineStr">
        <is>
          <t>3536093</t>
        </is>
      </c>
      <c r="AW681" t="inlineStr">
        <is>
          <t>991004457599702656</t>
        </is>
      </c>
      <c r="AX681" t="inlineStr">
        <is>
          <t>991004457599702656</t>
        </is>
      </c>
      <c r="AY681" t="inlineStr">
        <is>
          <t>2263597410002656</t>
        </is>
      </c>
      <c r="AZ681" t="inlineStr">
        <is>
          <t>BOOK</t>
        </is>
      </c>
      <c r="BC681" t="inlineStr">
        <is>
          <t>32285002418514</t>
        </is>
      </c>
      <c r="BD681" t="inlineStr">
        <is>
          <t>893807088</t>
        </is>
      </c>
    </row>
    <row r="682">
      <c r="A682" t="inlineStr">
        <is>
          <t>No</t>
        </is>
      </c>
      <c r="B682" t="inlineStr">
        <is>
          <t>DF221.C8 L6 1974</t>
        </is>
      </c>
      <c r="C682" t="inlineStr">
        <is>
          <t>0                      DF 0221000C  8                  L  6           1974</t>
        </is>
      </c>
      <c r="D682" t="inlineStr">
        <is>
          <t>The Ayia Triadha sarcophagus : a study of late Minoan and Mycenaean funerary practices and beliefs / by Charlotte R. Long.</t>
        </is>
      </c>
      <c r="F682" t="inlineStr">
        <is>
          <t>No</t>
        </is>
      </c>
      <c r="G682" t="inlineStr">
        <is>
          <t>1</t>
        </is>
      </c>
      <c r="H682" t="inlineStr">
        <is>
          <t>No</t>
        </is>
      </c>
      <c r="I682" t="inlineStr">
        <is>
          <t>No</t>
        </is>
      </c>
      <c r="J682" t="inlineStr">
        <is>
          <t>0</t>
        </is>
      </c>
      <c r="K682" t="inlineStr">
        <is>
          <t>Long, Charlotte R.</t>
        </is>
      </c>
      <c r="L682" t="inlineStr">
        <is>
          <t>Göteborg : P. Åström, S. vägen 61, 1974.</t>
        </is>
      </c>
      <c r="M682" t="inlineStr">
        <is>
          <t>1974</t>
        </is>
      </c>
      <c r="O682" t="inlineStr">
        <is>
          <t>eng</t>
        </is>
      </c>
      <c r="P682" t="inlineStr">
        <is>
          <t xml:space="preserve">sw </t>
        </is>
      </c>
      <c r="Q682" t="inlineStr">
        <is>
          <t>Studies in Mediterranean archaeology ; v. 41</t>
        </is>
      </c>
      <c r="R682" t="inlineStr">
        <is>
          <t xml:space="preserve">DF </t>
        </is>
      </c>
      <c r="S682" t="n">
        <v>1</v>
      </c>
      <c r="T682" t="n">
        <v>1</v>
      </c>
      <c r="U682" t="inlineStr">
        <is>
          <t>2006-01-17</t>
        </is>
      </c>
      <c r="V682" t="inlineStr">
        <is>
          <t>2006-01-17</t>
        </is>
      </c>
      <c r="W682" t="inlineStr">
        <is>
          <t>1997-05-19</t>
        </is>
      </c>
      <c r="X682" t="inlineStr">
        <is>
          <t>1997-05-19</t>
        </is>
      </c>
      <c r="Y682" t="n">
        <v>219</v>
      </c>
      <c r="Z682" t="n">
        <v>134</v>
      </c>
      <c r="AA682" t="n">
        <v>135</v>
      </c>
      <c r="AB682" t="n">
        <v>1</v>
      </c>
      <c r="AC682" t="n">
        <v>1</v>
      </c>
      <c r="AD682" t="n">
        <v>2</v>
      </c>
      <c r="AE682" t="n">
        <v>2</v>
      </c>
      <c r="AF682" t="n">
        <v>0</v>
      </c>
      <c r="AG682" t="n">
        <v>0</v>
      </c>
      <c r="AH682" t="n">
        <v>0</v>
      </c>
      <c r="AI682" t="n">
        <v>0</v>
      </c>
      <c r="AJ682" t="n">
        <v>2</v>
      </c>
      <c r="AK682" t="n">
        <v>2</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HYPERLINK("https://creighton-primo.hosted.exlibrisgroup.com/primo-explore/search?tab=default_tab&amp;search_scope=EVERYTHING&amp;vid=01CRU&amp;lang=en_US&amp;offset=0&amp;query=any,contains,991003694439702656","Catalog Record")</f>
        <v/>
      </c>
      <c r="AT682">
        <f>HYPERLINK("http://www.worldcat.org/oclc/1325117","WorldCat Record")</f>
        <v/>
      </c>
      <c r="AU682" t="inlineStr">
        <is>
          <t>807450862:eng</t>
        </is>
      </c>
      <c r="AV682" t="inlineStr">
        <is>
          <t>1325117</t>
        </is>
      </c>
      <c r="AW682" t="inlineStr">
        <is>
          <t>991003694439702656</t>
        </is>
      </c>
      <c r="AX682" t="inlineStr">
        <is>
          <t>991003694439702656</t>
        </is>
      </c>
      <c r="AY682" t="inlineStr">
        <is>
          <t>2257330680002656</t>
        </is>
      </c>
      <c r="AZ682" t="inlineStr">
        <is>
          <t>BOOK</t>
        </is>
      </c>
      <c r="BB682" t="inlineStr">
        <is>
          <t>9789185058594</t>
        </is>
      </c>
      <c r="BC682" t="inlineStr">
        <is>
          <t>32285002609153</t>
        </is>
      </c>
      <c r="BD682" t="inlineStr">
        <is>
          <t>893611332</t>
        </is>
      </c>
    </row>
    <row r="683">
      <c r="A683" t="inlineStr">
        <is>
          <t>No</t>
        </is>
      </c>
      <c r="B683" t="inlineStr">
        <is>
          <t>DF221.C8 M253 1968b</t>
        </is>
      </c>
      <c r="C683" t="inlineStr">
        <is>
          <t>0                      DF 0221000C  8                  M  253         1968b</t>
        </is>
      </c>
      <c r="D683" t="inlineStr">
        <is>
          <t>Ancient Crete / photos. by Leonard von Matt. Text by Stylianos Alexiou, Nikolaos Platon [and] Hanni Guanella. [Translated from the German by D. J. S. Thomson]</t>
        </is>
      </c>
      <c r="F683" t="inlineStr">
        <is>
          <t>No</t>
        </is>
      </c>
      <c r="G683" t="inlineStr">
        <is>
          <t>1</t>
        </is>
      </c>
      <c r="H683" t="inlineStr">
        <is>
          <t>No</t>
        </is>
      </c>
      <c r="I683" t="inlineStr">
        <is>
          <t>No</t>
        </is>
      </c>
      <c r="J683" t="inlineStr">
        <is>
          <t>0</t>
        </is>
      </c>
      <c r="K683" t="inlineStr">
        <is>
          <t>Matt, Leonard von.</t>
        </is>
      </c>
      <c r="L683" t="inlineStr">
        <is>
          <t>New York : Praeger, [1968]</t>
        </is>
      </c>
      <c r="M683" t="inlineStr">
        <is>
          <t>1968</t>
        </is>
      </c>
      <c r="O683" t="inlineStr">
        <is>
          <t>eng</t>
        </is>
      </c>
      <c r="P683" t="inlineStr">
        <is>
          <t>nyu</t>
        </is>
      </c>
      <c r="R683" t="inlineStr">
        <is>
          <t xml:space="preserve">DF </t>
        </is>
      </c>
      <c r="S683" t="n">
        <v>2</v>
      </c>
      <c r="T683" t="n">
        <v>2</v>
      </c>
      <c r="U683" t="inlineStr">
        <is>
          <t>2005-02-22</t>
        </is>
      </c>
      <c r="V683" t="inlineStr">
        <is>
          <t>2005-02-22</t>
        </is>
      </c>
      <c r="W683" t="inlineStr">
        <is>
          <t>1992-12-15</t>
        </is>
      </c>
      <c r="X683" t="inlineStr">
        <is>
          <t>1992-12-15</t>
        </is>
      </c>
      <c r="Y683" t="n">
        <v>489</v>
      </c>
      <c r="Z683" t="n">
        <v>459</v>
      </c>
      <c r="AA683" t="n">
        <v>466</v>
      </c>
      <c r="AB683" t="n">
        <v>3</v>
      </c>
      <c r="AC683" t="n">
        <v>3</v>
      </c>
      <c r="AD683" t="n">
        <v>13</v>
      </c>
      <c r="AE683" t="n">
        <v>13</v>
      </c>
      <c r="AF683" t="n">
        <v>1</v>
      </c>
      <c r="AG683" t="n">
        <v>1</v>
      </c>
      <c r="AH683" t="n">
        <v>4</v>
      </c>
      <c r="AI683" t="n">
        <v>4</v>
      </c>
      <c r="AJ683" t="n">
        <v>7</v>
      </c>
      <c r="AK683" t="n">
        <v>7</v>
      </c>
      <c r="AL683" t="n">
        <v>2</v>
      </c>
      <c r="AM683" t="n">
        <v>2</v>
      </c>
      <c r="AN683" t="n">
        <v>0</v>
      </c>
      <c r="AO683" t="n">
        <v>0</v>
      </c>
      <c r="AP683" t="inlineStr">
        <is>
          <t>No</t>
        </is>
      </c>
      <c r="AQ683" t="inlineStr">
        <is>
          <t>Yes</t>
        </is>
      </c>
      <c r="AR683">
        <f>HYPERLINK("http://catalog.hathitrust.org/Record/000610822","HathiTrust Record")</f>
        <v/>
      </c>
      <c r="AS683">
        <f>HYPERLINK("https://creighton-primo.hosted.exlibrisgroup.com/primo-explore/search?tab=default_tab&amp;search_scope=EVERYTHING&amp;vid=01CRU&amp;lang=en_US&amp;offset=0&amp;query=any,contains,991002696479702656","Catalog Record")</f>
        <v/>
      </c>
      <c r="AT683">
        <f>HYPERLINK("http://www.worldcat.org/oclc/403797","WorldCat Record")</f>
        <v/>
      </c>
      <c r="AU683" t="inlineStr">
        <is>
          <t>1937972194:eng</t>
        </is>
      </c>
      <c r="AV683" t="inlineStr">
        <is>
          <t>403797</t>
        </is>
      </c>
      <c r="AW683" t="inlineStr">
        <is>
          <t>991002696479702656</t>
        </is>
      </c>
      <c r="AX683" t="inlineStr">
        <is>
          <t>991002696479702656</t>
        </is>
      </c>
      <c r="AY683" t="inlineStr">
        <is>
          <t>2259893710002656</t>
        </is>
      </c>
      <c r="AZ683" t="inlineStr">
        <is>
          <t>BOOK</t>
        </is>
      </c>
      <c r="BC683" t="inlineStr">
        <is>
          <t>32285001442580</t>
        </is>
      </c>
      <c r="BD683" t="inlineStr">
        <is>
          <t>893498435</t>
        </is>
      </c>
    </row>
    <row r="684">
      <c r="A684" t="inlineStr">
        <is>
          <t>No</t>
        </is>
      </c>
      <c r="B684" t="inlineStr">
        <is>
          <t>DF221.C8 S65 2006</t>
        </is>
      </c>
      <c r="C684" t="inlineStr">
        <is>
          <t>0                      DF 0221000C  8                  S  65          2006</t>
        </is>
      </c>
      <c r="D684" t="inlineStr">
        <is>
          <t>Kommos : a Minoan harbor town and Greek sanctuary in southern Crete / Joseph W. Shaw.</t>
        </is>
      </c>
      <c r="F684" t="inlineStr">
        <is>
          <t>No</t>
        </is>
      </c>
      <c r="G684" t="inlineStr">
        <is>
          <t>1</t>
        </is>
      </c>
      <c r="H684" t="inlineStr">
        <is>
          <t>No</t>
        </is>
      </c>
      <c r="I684" t="inlineStr">
        <is>
          <t>No</t>
        </is>
      </c>
      <c r="J684" t="inlineStr">
        <is>
          <t>0</t>
        </is>
      </c>
      <c r="K684" t="inlineStr">
        <is>
          <t>Shaw, Joseph W.</t>
        </is>
      </c>
      <c r="L684" t="inlineStr">
        <is>
          <t>[Princeton, N.J.] : American School of Classical Studies at Athens, c2006.</t>
        </is>
      </c>
      <c r="M684" t="inlineStr">
        <is>
          <t>2006</t>
        </is>
      </c>
      <c r="O684" t="inlineStr">
        <is>
          <t>eng</t>
        </is>
      </c>
      <c r="P684" t="inlineStr">
        <is>
          <t>nju</t>
        </is>
      </c>
      <c r="R684" t="inlineStr">
        <is>
          <t xml:space="preserve">DF </t>
        </is>
      </c>
      <c r="S684" t="n">
        <v>3</v>
      </c>
      <c r="T684" t="n">
        <v>3</v>
      </c>
      <c r="U684" t="inlineStr">
        <is>
          <t>2009-02-02</t>
        </is>
      </c>
      <c r="V684" t="inlineStr">
        <is>
          <t>2009-02-02</t>
        </is>
      </c>
      <c r="W684" t="inlineStr">
        <is>
          <t>2007-05-09</t>
        </is>
      </c>
      <c r="X684" t="inlineStr">
        <is>
          <t>2007-05-09</t>
        </is>
      </c>
      <c r="Y684" t="n">
        <v>238</v>
      </c>
      <c r="Z684" t="n">
        <v>174</v>
      </c>
      <c r="AA684" t="n">
        <v>174</v>
      </c>
      <c r="AB684" t="n">
        <v>2</v>
      </c>
      <c r="AC684" t="n">
        <v>2</v>
      </c>
      <c r="AD684" t="n">
        <v>9</v>
      </c>
      <c r="AE684" t="n">
        <v>9</v>
      </c>
      <c r="AF684" t="n">
        <v>4</v>
      </c>
      <c r="AG684" t="n">
        <v>4</v>
      </c>
      <c r="AH684" t="n">
        <v>1</v>
      </c>
      <c r="AI684" t="n">
        <v>1</v>
      </c>
      <c r="AJ684" t="n">
        <v>7</v>
      </c>
      <c r="AK684" t="n">
        <v>7</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HYPERLINK("https://creighton-primo.hosted.exlibrisgroup.com/primo-explore/search?tab=default_tab&amp;search_scope=EVERYTHING&amp;vid=01CRU&amp;lang=en_US&amp;offset=0&amp;query=any,contains,991005069789702656","Catalog Record")</f>
        <v/>
      </c>
      <c r="AT684">
        <f>HYPERLINK("http://www.worldcat.org/oclc/61529839","WorldCat Record")</f>
        <v/>
      </c>
      <c r="AU684" t="inlineStr">
        <is>
          <t>3698898039:eng</t>
        </is>
      </c>
      <c r="AV684" t="inlineStr">
        <is>
          <t>61529839</t>
        </is>
      </c>
      <c r="AW684" t="inlineStr">
        <is>
          <t>991005069789702656</t>
        </is>
      </c>
      <c r="AX684" t="inlineStr">
        <is>
          <t>991005069789702656</t>
        </is>
      </c>
      <c r="AY684" t="inlineStr">
        <is>
          <t>2268293510002656</t>
        </is>
      </c>
      <c r="AZ684" t="inlineStr">
        <is>
          <t>BOOK</t>
        </is>
      </c>
      <c r="BB684" t="inlineStr">
        <is>
          <t>9780876616598</t>
        </is>
      </c>
      <c r="BC684" t="inlineStr">
        <is>
          <t>32285005311716</t>
        </is>
      </c>
      <c r="BD684" t="inlineStr">
        <is>
          <t>893260490</t>
        </is>
      </c>
    </row>
    <row r="685">
      <c r="A685" t="inlineStr">
        <is>
          <t>No</t>
        </is>
      </c>
      <c r="B685" t="inlineStr">
        <is>
          <t>DF221.C8 V3 1959</t>
        </is>
      </c>
      <c r="C685" t="inlineStr">
        <is>
          <t>0                      DF 0221000C  8                  V  3           1959</t>
        </is>
      </c>
      <c r="D685" t="inlineStr">
        <is>
          <t>The House of the Double Axe : the palace at Knossos / Agnes Carr Vaughan.</t>
        </is>
      </c>
      <c r="F685" t="inlineStr">
        <is>
          <t>No</t>
        </is>
      </c>
      <c r="G685" t="inlineStr">
        <is>
          <t>1</t>
        </is>
      </c>
      <c r="H685" t="inlineStr">
        <is>
          <t>No</t>
        </is>
      </c>
      <c r="I685" t="inlineStr">
        <is>
          <t>No</t>
        </is>
      </c>
      <c r="J685" t="inlineStr">
        <is>
          <t>0</t>
        </is>
      </c>
      <c r="K685" t="inlineStr">
        <is>
          <t>Vaughan, Agnes Carr.</t>
        </is>
      </c>
      <c r="L685" t="inlineStr">
        <is>
          <t>Garden City, N.Y. : Doubleday, c1959.</t>
        </is>
      </c>
      <c r="M685" t="inlineStr">
        <is>
          <t>1959</t>
        </is>
      </c>
      <c r="O685" t="inlineStr">
        <is>
          <t>eng</t>
        </is>
      </c>
      <c r="P685" t="inlineStr">
        <is>
          <t>nyu</t>
        </is>
      </c>
      <c r="R685" t="inlineStr">
        <is>
          <t xml:space="preserve">DF </t>
        </is>
      </c>
      <c r="S685" t="n">
        <v>2</v>
      </c>
      <c r="T685" t="n">
        <v>2</v>
      </c>
      <c r="U685" t="inlineStr">
        <is>
          <t>1992-04-18</t>
        </is>
      </c>
      <c r="V685" t="inlineStr">
        <is>
          <t>1992-04-18</t>
        </is>
      </c>
      <c r="W685" t="inlineStr">
        <is>
          <t>1992-02-21</t>
        </is>
      </c>
      <c r="X685" t="inlineStr">
        <is>
          <t>1992-02-21</t>
        </is>
      </c>
      <c r="Y685" t="n">
        <v>541</v>
      </c>
      <c r="Z685" t="n">
        <v>506</v>
      </c>
      <c r="AA685" t="n">
        <v>559</v>
      </c>
      <c r="AB685" t="n">
        <v>3</v>
      </c>
      <c r="AC685" t="n">
        <v>3</v>
      </c>
      <c r="AD685" t="n">
        <v>13</v>
      </c>
      <c r="AE685" t="n">
        <v>18</v>
      </c>
      <c r="AF685" t="n">
        <v>6</v>
      </c>
      <c r="AG685" t="n">
        <v>7</v>
      </c>
      <c r="AH685" t="n">
        <v>3</v>
      </c>
      <c r="AI685" t="n">
        <v>5</v>
      </c>
      <c r="AJ685" t="n">
        <v>4</v>
      </c>
      <c r="AK685" t="n">
        <v>8</v>
      </c>
      <c r="AL685" t="n">
        <v>2</v>
      </c>
      <c r="AM685" t="n">
        <v>2</v>
      </c>
      <c r="AN685" t="n">
        <v>0</v>
      </c>
      <c r="AO685" t="n">
        <v>0</v>
      </c>
      <c r="AP685" t="inlineStr">
        <is>
          <t>Yes</t>
        </is>
      </c>
      <c r="AQ685" t="inlineStr">
        <is>
          <t>No</t>
        </is>
      </c>
      <c r="AR685">
        <f>HYPERLINK("http://catalog.hathitrust.org/Record/000612358","HathiTrust Record")</f>
        <v/>
      </c>
      <c r="AS685">
        <f>HYPERLINK("https://creighton-primo.hosted.exlibrisgroup.com/primo-explore/search?tab=default_tab&amp;search_scope=EVERYTHING&amp;vid=01CRU&amp;lang=en_US&amp;offset=0&amp;query=any,contains,991003089379702656","Catalog Record")</f>
        <v/>
      </c>
      <c r="AT685">
        <f>HYPERLINK("http://www.worldcat.org/oclc/639848","WorldCat Record")</f>
        <v/>
      </c>
      <c r="AU685" t="inlineStr">
        <is>
          <t>1784369:eng</t>
        </is>
      </c>
      <c r="AV685" t="inlineStr">
        <is>
          <t>639848</t>
        </is>
      </c>
      <c r="AW685" t="inlineStr">
        <is>
          <t>991003089379702656</t>
        </is>
      </c>
      <c r="AX685" t="inlineStr">
        <is>
          <t>991003089379702656</t>
        </is>
      </c>
      <c r="AY685" t="inlineStr">
        <is>
          <t>2258189700002656</t>
        </is>
      </c>
      <c r="AZ685" t="inlineStr">
        <is>
          <t>BOOK</t>
        </is>
      </c>
      <c r="BC685" t="inlineStr">
        <is>
          <t>32285000909480</t>
        </is>
      </c>
      <c r="BD685" t="inlineStr">
        <is>
          <t>893530840</t>
        </is>
      </c>
    </row>
    <row r="686">
      <c r="A686" t="inlineStr">
        <is>
          <t>No</t>
        </is>
      </c>
      <c r="B686" t="inlineStr">
        <is>
          <t>DF221.M9 M93</t>
        </is>
      </c>
      <c r="C686" t="inlineStr">
        <is>
          <t>0                      DF 0221000M  9                  M  93</t>
        </is>
      </c>
      <c r="D686" t="inlineStr">
        <is>
          <t>Mycenae and the Mycenaean Age, by George E. Mylonas.</t>
        </is>
      </c>
      <c r="F686" t="inlineStr">
        <is>
          <t>No</t>
        </is>
      </c>
      <c r="G686" t="inlineStr">
        <is>
          <t>1</t>
        </is>
      </c>
      <c r="H686" t="inlineStr">
        <is>
          <t>No</t>
        </is>
      </c>
      <c r="I686" t="inlineStr">
        <is>
          <t>No</t>
        </is>
      </c>
      <c r="J686" t="inlineStr">
        <is>
          <t>0</t>
        </is>
      </c>
      <c r="K686" t="inlineStr">
        <is>
          <t>Mylonas, George E. (George Emmanuel), 1898-1988.</t>
        </is>
      </c>
      <c r="L686" t="inlineStr">
        <is>
          <t>Princeton, N.J., Princeton University Press, 1966.</t>
        </is>
      </c>
      <c r="M686" t="inlineStr">
        <is>
          <t>1966</t>
        </is>
      </c>
      <c r="O686" t="inlineStr">
        <is>
          <t>eng</t>
        </is>
      </c>
      <c r="P686" t="inlineStr">
        <is>
          <t>nju</t>
        </is>
      </c>
      <c r="R686" t="inlineStr">
        <is>
          <t xml:space="preserve">DF </t>
        </is>
      </c>
      <c r="S686" t="n">
        <v>6</v>
      </c>
      <c r="T686" t="n">
        <v>6</v>
      </c>
      <c r="U686" t="inlineStr">
        <is>
          <t>2005-03-10</t>
        </is>
      </c>
      <c r="V686" t="inlineStr">
        <is>
          <t>2005-03-10</t>
        </is>
      </c>
      <c r="W686" t="inlineStr">
        <is>
          <t>1997-01-30</t>
        </is>
      </c>
      <c r="X686" t="inlineStr">
        <is>
          <t>1997-01-30</t>
        </is>
      </c>
      <c r="Y686" t="n">
        <v>1196</v>
      </c>
      <c r="Z686" t="n">
        <v>1038</v>
      </c>
      <c r="AA686" t="n">
        <v>1063</v>
      </c>
      <c r="AB686" t="n">
        <v>10</v>
      </c>
      <c r="AC686" t="n">
        <v>10</v>
      </c>
      <c r="AD686" t="n">
        <v>47</v>
      </c>
      <c r="AE686" t="n">
        <v>47</v>
      </c>
      <c r="AF686" t="n">
        <v>20</v>
      </c>
      <c r="AG686" t="n">
        <v>20</v>
      </c>
      <c r="AH686" t="n">
        <v>10</v>
      </c>
      <c r="AI686" t="n">
        <v>10</v>
      </c>
      <c r="AJ686" t="n">
        <v>18</v>
      </c>
      <c r="AK686" t="n">
        <v>18</v>
      </c>
      <c r="AL686" t="n">
        <v>8</v>
      </c>
      <c r="AM686" t="n">
        <v>8</v>
      </c>
      <c r="AN686" t="n">
        <v>1</v>
      </c>
      <c r="AO686" t="n">
        <v>1</v>
      </c>
      <c r="AP686" t="inlineStr">
        <is>
          <t>No</t>
        </is>
      </c>
      <c r="AQ686" t="inlineStr">
        <is>
          <t>Yes</t>
        </is>
      </c>
      <c r="AR686">
        <f>HYPERLINK("http://catalog.hathitrust.org/Record/000611374","HathiTrust Record")</f>
        <v/>
      </c>
      <c r="AS686">
        <f>HYPERLINK("https://creighton-primo.hosted.exlibrisgroup.com/primo-explore/search?tab=default_tab&amp;search_scope=EVERYTHING&amp;vid=01CRU&amp;lang=en_US&amp;offset=0&amp;query=any,contains,991002697009702656","Catalog Record")</f>
        <v/>
      </c>
      <c r="AT686">
        <f>HYPERLINK("http://www.worldcat.org/oclc/403945","WorldCat Record")</f>
        <v/>
      </c>
      <c r="AU686" t="inlineStr">
        <is>
          <t>141269537:eng</t>
        </is>
      </c>
      <c r="AV686" t="inlineStr">
        <is>
          <t>403945</t>
        </is>
      </c>
      <c r="AW686" t="inlineStr">
        <is>
          <t>991002697009702656</t>
        </is>
      </c>
      <c r="AX686" t="inlineStr">
        <is>
          <t>991002697009702656</t>
        </is>
      </c>
      <c r="AY686" t="inlineStr">
        <is>
          <t>2259912350002656</t>
        </is>
      </c>
      <c r="AZ686" t="inlineStr">
        <is>
          <t>BOOK</t>
        </is>
      </c>
      <c r="BC686" t="inlineStr">
        <is>
          <t>32285002418555</t>
        </is>
      </c>
      <c r="BD686" t="inlineStr">
        <is>
          <t>893685662</t>
        </is>
      </c>
    </row>
    <row r="687">
      <c r="A687" t="inlineStr">
        <is>
          <t>No</t>
        </is>
      </c>
      <c r="B687" t="inlineStr">
        <is>
          <t>DF221.M9 M935 1983</t>
        </is>
      </c>
      <c r="C687" t="inlineStr">
        <is>
          <t>0                      DF 0221000M  9                  M  935         1983</t>
        </is>
      </c>
      <c r="D687" t="inlineStr">
        <is>
          <t>The cult centre of Mycenae / by G. E. Mylonas.</t>
        </is>
      </c>
      <c r="F687" t="inlineStr">
        <is>
          <t>No</t>
        </is>
      </c>
      <c r="G687" t="inlineStr">
        <is>
          <t>1</t>
        </is>
      </c>
      <c r="H687" t="inlineStr">
        <is>
          <t>No</t>
        </is>
      </c>
      <c r="I687" t="inlineStr">
        <is>
          <t>No</t>
        </is>
      </c>
      <c r="J687" t="inlineStr">
        <is>
          <t>0</t>
        </is>
      </c>
      <c r="K687" t="inlineStr">
        <is>
          <t>Mylonas, George E. (George Emmanuel), 1898-1988.</t>
        </is>
      </c>
      <c r="L687" t="inlineStr">
        <is>
          <t>London : British Academy, c1983.</t>
        </is>
      </c>
      <c r="M687" t="inlineStr">
        <is>
          <t>1983</t>
        </is>
      </c>
      <c r="O687" t="inlineStr">
        <is>
          <t>eng</t>
        </is>
      </c>
      <c r="P687" t="inlineStr">
        <is>
          <t>enk</t>
        </is>
      </c>
      <c r="R687" t="inlineStr">
        <is>
          <t xml:space="preserve">DF </t>
        </is>
      </c>
      <c r="S687" t="n">
        <v>1</v>
      </c>
      <c r="T687" t="n">
        <v>1</v>
      </c>
      <c r="U687" t="inlineStr">
        <is>
          <t>2003-11-10</t>
        </is>
      </c>
      <c r="V687" t="inlineStr">
        <is>
          <t>2003-11-10</t>
        </is>
      </c>
      <c r="W687" t="inlineStr">
        <is>
          <t>1991-02-15</t>
        </is>
      </c>
      <c r="X687" t="inlineStr">
        <is>
          <t>1991-02-15</t>
        </is>
      </c>
      <c r="Y687" t="n">
        <v>11</v>
      </c>
      <c r="Z687" t="n">
        <v>7</v>
      </c>
      <c r="AA687" t="n">
        <v>7</v>
      </c>
      <c r="AB687" t="n">
        <v>1</v>
      </c>
      <c r="AC687" t="n">
        <v>1</v>
      </c>
      <c r="AD687" t="n">
        <v>0</v>
      </c>
      <c r="AE687" t="n">
        <v>0</v>
      </c>
      <c r="AF687" t="n">
        <v>0</v>
      </c>
      <c r="AG687" t="n">
        <v>0</v>
      </c>
      <c r="AH687" t="n">
        <v>0</v>
      </c>
      <c r="AI687" t="n">
        <v>0</v>
      </c>
      <c r="AJ687" t="n">
        <v>0</v>
      </c>
      <c r="AK687" t="n">
        <v>0</v>
      </c>
      <c r="AL687" t="n">
        <v>0</v>
      </c>
      <c r="AM687" t="n">
        <v>0</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HYPERLINK("https://creighton-primo.hosted.exlibrisgroup.com/primo-explore/search?tab=default_tab&amp;search_scope=EVERYTHING&amp;vid=01CRU&amp;lang=en_US&amp;offset=0&amp;query=any,contains,991001414269702656","Catalog Record")</f>
        <v/>
      </c>
      <c r="AT687">
        <f>HYPERLINK("http://www.worldcat.org/oclc/18938701","WorldCat Record")</f>
        <v/>
      </c>
      <c r="AU687" t="inlineStr">
        <is>
          <t>141269551:eng</t>
        </is>
      </c>
      <c r="AV687" t="inlineStr">
        <is>
          <t>18938701</t>
        </is>
      </c>
      <c r="AW687" t="inlineStr">
        <is>
          <t>991001414269702656</t>
        </is>
      </c>
      <c r="AX687" t="inlineStr">
        <is>
          <t>991001414269702656</t>
        </is>
      </c>
      <c r="AY687" t="inlineStr">
        <is>
          <t>2268990040002656</t>
        </is>
      </c>
      <c r="AZ687" t="inlineStr">
        <is>
          <t>BOOK</t>
        </is>
      </c>
      <c r="BB687" t="inlineStr">
        <is>
          <t>9780856722691</t>
        </is>
      </c>
      <c r="BC687" t="inlineStr">
        <is>
          <t>32285000459262</t>
        </is>
      </c>
      <c r="BD687" t="inlineStr">
        <is>
          <t>893690603</t>
        </is>
      </c>
    </row>
    <row r="688">
      <c r="A688" t="inlineStr">
        <is>
          <t>No</t>
        </is>
      </c>
      <c r="B688" t="inlineStr">
        <is>
          <t>DF221.M9 S54 1987</t>
        </is>
      </c>
      <c r="C688" t="inlineStr">
        <is>
          <t>0                      DF 0221000M  9                  S  54          1987</t>
        </is>
      </c>
      <c r="D688" t="inlineStr">
        <is>
          <t>The Panagia Houses at Mycenae / Ione Mylonas Shear.</t>
        </is>
      </c>
      <c r="F688" t="inlineStr">
        <is>
          <t>No</t>
        </is>
      </c>
      <c r="G688" t="inlineStr">
        <is>
          <t>1</t>
        </is>
      </c>
      <c r="H688" t="inlineStr">
        <is>
          <t>No</t>
        </is>
      </c>
      <c r="I688" t="inlineStr">
        <is>
          <t>No</t>
        </is>
      </c>
      <c r="J688" t="inlineStr">
        <is>
          <t>0</t>
        </is>
      </c>
      <c r="K688" t="inlineStr">
        <is>
          <t>Shear, Ione Mylonas, 1936-</t>
        </is>
      </c>
      <c r="L688" t="inlineStr">
        <is>
          <t>Philadelphia : University Museum, University of Pennsylvania, 1987.</t>
        </is>
      </c>
      <c r="M688" t="inlineStr">
        <is>
          <t>1987</t>
        </is>
      </c>
      <c r="O688" t="inlineStr">
        <is>
          <t>eng</t>
        </is>
      </c>
      <c r="P688" t="inlineStr">
        <is>
          <t>pau</t>
        </is>
      </c>
      <c r="Q688" t="inlineStr">
        <is>
          <t>University Museum monograph ; 68</t>
        </is>
      </c>
      <c r="R688" t="inlineStr">
        <is>
          <t xml:space="preserve">DF </t>
        </is>
      </c>
      <c r="S688" t="n">
        <v>1</v>
      </c>
      <c r="T688" t="n">
        <v>1</v>
      </c>
      <c r="U688" t="inlineStr">
        <is>
          <t>2003-11-10</t>
        </is>
      </c>
      <c r="V688" t="inlineStr">
        <is>
          <t>2003-11-10</t>
        </is>
      </c>
      <c r="W688" t="inlineStr">
        <is>
          <t>1991-11-08</t>
        </is>
      </c>
      <c r="X688" t="inlineStr">
        <is>
          <t>1991-11-08</t>
        </is>
      </c>
      <c r="Y688" t="n">
        <v>160</v>
      </c>
      <c r="Z688" t="n">
        <v>109</v>
      </c>
      <c r="AA688" t="n">
        <v>109</v>
      </c>
      <c r="AB688" t="n">
        <v>2</v>
      </c>
      <c r="AC688" t="n">
        <v>2</v>
      </c>
      <c r="AD688" t="n">
        <v>4</v>
      </c>
      <c r="AE688" t="n">
        <v>4</v>
      </c>
      <c r="AF688" t="n">
        <v>2</v>
      </c>
      <c r="AG688" t="n">
        <v>2</v>
      </c>
      <c r="AH688" t="n">
        <v>0</v>
      </c>
      <c r="AI688" t="n">
        <v>0</v>
      </c>
      <c r="AJ688" t="n">
        <v>1</v>
      </c>
      <c r="AK688" t="n">
        <v>1</v>
      </c>
      <c r="AL688" t="n">
        <v>1</v>
      </c>
      <c r="AM688" t="n">
        <v>1</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HYPERLINK("https://creighton-primo.hosted.exlibrisgroup.com/primo-explore/search?tab=default_tab&amp;search_scope=EVERYTHING&amp;vid=01CRU&amp;lang=en_US&amp;offset=0&amp;query=any,contains,991001114539702656","Catalog Record")</f>
        <v/>
      </c>
      <c r="AT688">
        <f>HYPERLINK("http://www.worldcat.org/oclc/16524438","WorldCat Record")</f>
        <v/>
      </c>
      <c r="AU688" t="inlineStr">
        <is>
          <t>12426122:eng</t>
        </is>
      </c>
      <c r="AV688" t="inlineStr">
        <is>
          <t>16524438</t>
        </is>
      </c>
      <c r="AW688" t="inlineStr">
        <is>
          <t>991001114539702656</t>
        </is>
      </c>
      <c r="AX688" t="inlineStr">
        <is>
          <t>991001114539702656</t>
        </is>
      </c>
      <c r="AY688" t="inlineStr">
        <is>
          <t>2259292750002656</t>
        </is>
      </c>
      <c r="AZ688" t="inlineStr">
        <is>
          <t>BOOK</t>
        </is>
      </c>
      <c r="BB688" t="inlineStr">
        <is>
          <t>9780934718844</t>
        </is>
      </c>
      <c r="BC688" t="inlineStr">
        <is>
          <t>32285000654326</t>
        </is>
      </c>
      <c r="BD688" t="inlineStr">
        <is>
          <t>893534438</t>
        </is>
      </c>
    </row>
    <row r="689">
      <c r="A689" t="inlineStr">
        <is>
          <t>No</t>
        </is>
      </c>
      <c r="B689" t="inlineStr">
        <is>
          <t>DF221.M9 T3</t>
        </is>
      </c>
      <c r="C689" t="inlineStr">
        <is>
          <t>0                      DF 0221000M  9                  T  3</t>
        </is>
      </c>
      <c r="D689" t="inlineStr">
        <is>
          <t>The Mycenaeans.</t>
        </is>
      </c>
      <c r="F689" t="inlineStr">
        <is>
          <t>No</t>
        </is>
      </c>
      <c r="G689" t="inlineStr">
        <is>
          <t>1</t>
        </is>
      </c>
      <c r="H689" t="inlineStr">
        <is>
          <t>No</t>
        </is>
      </c>
      <c r="I689" t="inlineStr">
        <is>
          <t>No</t>
        </is>
      </c>
      <c r="J689" t="inlineStr">
        <is>
          <t>0</t>
        </is>
      </c>
      <c r="K689" t="inlineStr">
        <is>
          <t>Taylour, William, Lord, 1904-1989.</t>
        </is>
      </c>
      <c r="L689" t="inlineStr">
        <is>
          <t>New York, Praeger [1964]</t>
        </is>
      </c>
      <c r="M689" t="inlineStr">
        <is>
          <t>1964</t>
        </is>
      </c>
      <c r="O689" t="inlineStr">
        <is>
          <t>eng</t>
        </is>
      </c>
      <c r="P689" t="inlineStr">
        <is>
          <t>nyu</t>
        </is>
      </c>
      <c r="Q689" t="inlineStr">
        <is>
          <t>Ancient peoples and places ; v. 39</t>
        </is>
      </c>
      <c r="R689" t="inlineStr">
        <is>
          <t xml:space="preserve">DF </t>
        </is>
      </c>
      <c r="S689" t="n">
        <v>2</v>
      </c>
      <c r="T689" t="n">
        <v>2</v>
      </c>
      <c r="U689" t="inlineStr">
        <is>
          <t>2003-09-15</t>
        </is>
      </c>
      <c r="V689" t="inlineStr">
        <is>
          <t>2003-09-15</t>
        </is>
      </c>
      <c r="W689" t="inlineStr">
        <is>
          <t>1997-01-30</t>
        </is>
      </c>
      <c r="X689" t="inlineStr">
        <is>
          <t>1997-01-30</t>
        </is>
      </c>
      <c r="Y689" t="n">
        <v>806</v>
      </c>
      <c r="Z689" t="n">
        <v>780</v>
      </c>
      <c r="AA689" t="n">
        <v>1367</v>
      </c>
      <c r="AB689" t="n">
        <v>4</v>
      </c>
      <c r="AC689" t="n">
        <v>6</v>
      </c>
      <c r="AD689" t="n">
        <v>22</v>
      </c>
      <c r="AE689" t="n">
        <v>39</v>
      </c>
      <c r="AF689" t="n">
        <v>7</v>
      </c>
      <c r="AG689" t="n">
        <v>17</v>
      </c>
      <c r="AH689" t="n">
        <v>6</v>
      </c>
      <c r="AI689" t="n">
        <v>10</v>
      </c>
      <c r="AJ689" t="n">
        <v>12</v>
      </c>
      <c r="AK689" t="n">
        <v>18</v>
      </c>
      <c r="AL689" t="n">
        <v>3</v>
      </c>
      <c r="AM689" t="n">
        <v>5</v>
      </c>
      <c r="AN689" t="n">
        <v>0</v>
      </c>
      <c r="AO689" t="n">
        <v>0</v>
      </c>
      <c r="AP689" t="inlineStr">
        <is>
          <t>No</t>
        </is>
      </c>
      <c r="AQ689" t="inlineStr">
        <is>
          <t>Yes</t>
        </is>
      </c>
      <c r="AR689">
        <f>HYPERLINK("http://catalog.hathitrust.org/Record/000611533","HathiTrust Record")</f>
        <v/>
      </c>
      <c r="AS689">
        <f>HYPERLINK("https://creighton-primo.hosted.exlibrisgroup.com/primo-explore/search?tab=default_tab&amp;search_scope=EVERYTHING&amp;vid=01CRU&amp;lang=en_US&amp;offset=0&amp;query=any,contains,991001086459702656","Catalog Record")</f>
        <v/>
      </c>
      <c r="AT689">
        <f>HYPERLINK("http://www.worldcat.org/oclc/180521","WorldCat Record")</f>
        <v/>
      </c>
      <c r="AU689" t="inlineStr">
        <is>
          <t>4820383908:eng</t>
        </is>
      </c>
      <c r="AV689" t="inlineStr">
        <is>
          <t>180521</t>
        </is>
      </c>
      <c r="AW689" t="inlineStr">
        <is>
          <t>991001086459702656</t>
        </is>
      </c>
      <c r="AX689" t="inlineStr">
        <is>
          <t>991001086459702656</t>
        </is>
      </c>
      <c r="AY689" t="inlineStr">
        <is>
          <t>2271871140002656</t>
        </is>
      </c>
      <c r="AZ689" t="inlineStr">
        <is>
          <t>BOOK</t>
        </is>
      </c>
      <c r="BC689" t="inlineStr">
        <is>
          <t>32285002418563</t>
        </is>
      </c>
      <c r="BD689" t="inlineStr">
        <is>
          <t>893438862</t>
        </is>
      </c>
    </row>
    <row r="690">
      <c r="A690" t="inlineStr">
        <is>
          <t>No</t>
        </is>
      </c>
      <c r="B690" t="inlineStr">
        <is>
          <t>DF221.T5 S3 1976</t>
        </is>
      </c>
      <c r="C690" t="inlineStr">
        <is>
          <t>0                      DF 0221000T  5                  S  3           1976</t>
        </is>
      </c>
      <c r="D690" t="inlineStr">
        <is>
          <t>Tiryns : the prehistoric palace of the kings of Tiryns / Heinrich Schliemann. --</t>
        </is>
      </c>
      <c r="F690" t="inlineStr">
        <is>
          <t>No</t>
        </is>
      </c>
      <c r="G690" t="inlineStr">
        <is>
          <t>1</t>
        </is>
      </c>
      <c r="H690" t="inlineStr">
        <is>
          <t>No</t>
        </is>
      </c>
      <c r="I690" t="inlineStr">
        <is>
          <t>No</t>
        </is>
      </c>
      <c r="J690" t="inlineStr">
        <is>
          <t>0</t>
        </is>
      </c>
      <c r="K690" t="inlineStr">
        <is>
          <t>Schliemann, Heinrich, 1822-1890.</t>
        </is>
      </c>
      <c r="L690" t="inlineStr">
        <is>
          <t>New York : Arno Press, 1976.</t>
        </is>
      </c>
      <c r="M690" t="inlineStr">
        <is>
          <t>1976</t>
        </is>
      </c>
      <c r="O690" t="inlineStr">
        <is>
          <t>eng</t>
        </is>
      </c>
      <c r="P690" t="inlineStr">
        <is>
          <t>nyu</t>
        </is>
      </c>
      <c r="R690" t="inlineStr">
        <is>
          <t xml:space="preserve">DF </t>
        </is>
      </c>
      <c r="S690" t="n">
        <v>2</v>
      </c>
      <c r="T690" t="n">
        <v>2</v>
      </c>
      <c r="U690" t="inlineStr">
        <is>
          <t>1992-04-18</t>
        </is>
      </c>
      <c r="V690" t="inlineStr">
        <is>
          <t>1992-04-18</t>
        </is>
      </c>
      <c r="W690" t="inlineStr">
        <is>
          <t>1991-02-15</t>
        </is>
      </c>
      <c r="X690" t="inlineStr">
        <is>
          <t>1991-02-15</t>
        </is>
      </c>
      <c r="Y690" t="n">
        <v>198</v>
      </c>
      <c r="Z690" t="n">
        <v>175</v>
      </c>
      <c r="AA690" t="n">
        <v>509</v>
      </c>
      <c r="AB690" t="n">
        <v>3</v>
      </c>
      <c r="AC690" t="n">
        <v>7</v>
      </c>
      <c r="AD690" t="n">
        <v>8</v>
      </c>
      <c r="AE690" t="n">
        <v>26</v>
      </c>
      <c r="AF690" t="n">
        <v>3</v>
      </c>
      <c r="AG690" t="n">
        <v>9</v>
      </c>
      <c r="AH690" t="n">
        <v>2</v>
      </c>
      <c r="AI690" t="n">
        <v>4</v>
      </c>
      <c r="AJ690" t="n">
        <v>1</v>
      </c>
      <c r="AK690" t="n">
        <v>10</v>
      </c>
      <c r="AL690" t="n">
        <v>2</v>
      </c>
      <c r="AM690" t="n">
        <v>6</v>
      </c>
      <c r="AN690" t="n">
        <v>0</v>
      </c>
      <c r="AO690" t="n">
        <v>0</v>
      </c>
      <c r="AP690" t="inlineStr">
        <is>
          <t>No</t>
        </is>
      </c>
      <c r="AQ690" t="inlineStr">
        <is>
          <t>Yes</t>
        </is>
      </c>
      <c r="AR690">
        <f>HYPERLINK("http://catalog.hathitrust.org/Record/007479991","HathiTrust Record")</f>
        <v/>
      </c>
      <c r="AS690">
        <f>HYPERLINK("https://creighton-primo.hosted.exlibrisgroup.com/primo-explore/search?tab=default_tab&amp;search_scope=EVERYTHING&amp;vid=01CRU&amp;lang=en_US&amp;offset=0&amp;query=any,contains,991004457089702656","Catalog Record")</f>
        <v/>
      </c>
      <c r="AT690">
        <f>HYPERLINK("http://www.worldcat.org/oclc/3533123","WorldCat Record")</f>
        <v/>
      </c>
      <c r="AU690" t="inlineStr">
        <is>
          <t>1424865:eng</t>
        </is>
      </c>
      <c r="AV690" t="inlineStr">
        <is>
          <t>3533123</t>
        </is>
      </c>
      <c r="AW690" t="inlineStr">
        <is>
          <t>991004457089702656</t>
        </is>
      </c>
      <c r="AX690" t="inlineStr">
        <is>
          <t>991004457089702656</t>
        </is>
      </c>
      <c r="AY690" t="inlineStr">
        <is>
          <t>2260996900002656</t>
        </is>
      </c>
      <c r="AZ690" t="inlineStr">
        <is>
          <t>BOOK</t>
        </is>
      </c>
      <c r="BB690" t="inlineStr">
        <is>
          <t>9780405098536</t>
        </is>
      </c>
      <c r="BC690" t="inlineStr">
        <is>
          <t>32285000459312</t>
        </is>
      </c>
      <c r="BD690" t="inlineStr">
        <is>
          <t>893712624</t>
        </is>
      </c>
    </row>
    <row r="691">
      <c r="A691" t="inlineStr">
        <is>
          <t>No</t>
        </is>
      </c>
      <c r="B691" t="inlineStr">
        <is>
          <t>DF221.T8 F7</t>
        </is>
      </c>
      <c r="C691" t="inlineStr">
        <is>
          <t>0                      DF 0221000T  8                  F  7</t>
        </is>
      </c>
      <c r="D691" t="inlineStr">
        <is>
          <t>The Trojan War; the chronicles of Dictys of Crete and Dares the Phrygian. Translated, with an introd. and notes, by R.M. Frazer, Jr.</t>
        </is>
      </c>
      <c r="F691" t="inlineStr">
        <is>
          <t>No</t>
        </is>
      </c>
      <c r="G691" t="inlineStr">
        <is>
          <t>1</t>
        </is>
      </c>
      <c r="H691" t="inlineStr">
        <is>
          <t>No</t>
        </is>
      </c>
      <c r="I691" t="inlineStr">
        <is>
          <t>No</t>
        </is>
      </c>
      <c r="J691" t="inlineStr">
        <is>
          <t>0</t>
        </is>
      </c>
      <c r="K691" t="inlineStr">
        <is>
          <t>Frazer, R. M. (Richard McIlwaine), 1931- translator.</t>
        </is>
      </c>
      <c r="L691" t="inlineStr">
        <is>
          <t>Bloomington, Indiana University Press [1966]</t>
        </is>
      </c>
      <c r="M691" t="inlineStr">
        <is>
          <t>1966</t>
        </is>
      </c>
      <c r="O691" t="inlineStr">
        <is>
          <t>eng</t>
        </is>
      </c>
      <c r="P691" t="inlineStr">
        <is>
          <t>inu</t>
        </is>
      </c>
      <c r="Q691" t="inlineStr">
        <is>
          <t>Indiana University Greek and Latin classics</t>
        </is>
      </c>
      <c r="R691" t="inlineStr">
        <is>
          <t xml:space="preserve">DF </t>
        </is>
      </c>
      <c r="S691" t="n">
        <v>5</v>
      </c>
      <c r="T691" t="n">
        <v>5</v>
      </c>
      <c r="U691" t="inlineStr">
        <is>
          <t>2007-02-05</t>
        </is>
      </c>
      <c r="V691" t="inlineStr">
        <is>
          <t>2007-02-05</t>
        </is>
      </c>
      <c r="W691" t="inlineStr">
        <is>
          <t>1997-01-30</t>
        </is>
      </c>
      <c r="X691" t="inlineStr">
        <is>
          <t>1997-01-30</t>
        </is>
      </c>
      <c r="Y691" t="n">
        <v>619</v>
      </c>
      <c r="Z691" t="n">
        <v>558</v>
      </c>
      <c r="AA691" t="n">
        <v>565</v>
      </c>
      <c r="AB691" t="n">
        <v>7</v>
      </c>
      <c r="AC691" t="n">
        <v>7</v>
      </c>
      <c r="AD691" t="n">
        <v>34</v>
      </c>
      <c r="AE691" t="n">
        <v>34</v>
      </c>
      <c r="AF691" t="n">
        <v>11</v>
      </c>
      <c r="AG691" t="n">
        <v>11</v>
      </c>
      <c r="AH691" t="n">
        <v>10</v>
      </c>
      <c r="AI691" t="n">
        <v>10</v>
      </c>
      <c r="AJ691" t="n">
        <v>17</v>
      </c>
      <c r="AK691" t="n">
        <v>17</v>
      </c>
      <c r="AL691" t="n">
        <v>6</v>
      </c>
      <c r="AM691" t="n">
        <v>6</v>
      </c>
      <c r="AN691" t="n">
        <v>0</v>
      </c>
      <c r="AO691" t="n">
        <v>0</v>
      </c>
      <c r="AP691" t="inlineStr">
        <is>
          <t>No</t>
        </is>
      </c>
      <c r="AQ691" t="inlineStr">
        <is>
          <t>Yes</t>
        </is>
      </c>
      <c r="AR691">
        <f>HYPERLINK("http://catalog.hathitrust.org/Record/000397116","HathiTrust Record")</f>
        <v/>
      </c>
      <c r="AS691">
        <f>HYPERLINK("https://creighton-primo.hosted.exlibrisgroup.com/primo-explore/search?tab=default_tab&amp;search_scope=EVERYTHING&amp;vid=01CRU&amp;lang=en_US&amp;offset=0&amp;query=any,contains,991003389329702656","Catalog Record")</f>
        <v/>
      </c>
      <c r="AT691">
        <f>HYPERLINK("http://www.worldcat.org/oclc/926435","WorldCat Record")</f>
        <v/>
      </c>
      <c r="AU691" t="inlineStr">
        <is>
          <t>3855448478:eng</t>
        </is>
      </c>
      <c r="AV691" t="inlineStr">
        <is>
          <t>926435</t>
        </is>
      </c>
      <c r="AW691" t="inlineStr">
        <is>
          <t>991003389329702656</t>
        </is>
      </c>
      <c r="AX691" t="inlineStr">
        <is>
          <t>991003389329702656</t>
        </is>
      </c>
      <c r="AY691" t="inlineStr">
        <is>
          <t>2263048470002656</t>
        </is>
      </c>
      <c r="AZ691" t="inlineStr">
        <is>
          <t>BOOK</t>
        </is>
      </c>
      <c r="BC691" t="inlineStr">
        <is>
          <t>32285002418597</t>
        </is>
      </c>
      <c r="BD691" t="inlineStr">
        <is>
          <t>893518443</t>
        </is>
      </c>
    </row>
    <row r="692">
      <c r="A692" t="inlineStr">
        <is>
          <t>No</t>
        </is>
      </c>
      <c r="B692" t="inlineStr">
        <is>
          <t>DF221.T8 L83 1998</t>
        </is>
      </c>
      <c r="C692" t="inlineStr">
        <is>
          <t>0                      DF 0221000T  8                  L  83          1998</t>
        </is>
      </c>
      <c r="D692" t="inlineStr">
        <is>
          <t>Celebrating Homer's landscapes : Troy and Ithaca revisited / J.V. Luce.</t>
        </is>
      </c>
      <c r="F692" t="inlineStr">
        <is>
          <t>No</t>
        </is>
      </c>
      <c r="G692" t="inlineStr">
        <is>
          <t>1</t>
        </is>
      </c>
      <c r="H692" t="inlineStr">
        <is>
          <t>No</t>
        </is>
      </c>
      <c r="I692" t="inlineStr">
        <is>
          <t>No</t>
        </is>
      </c>
      <c r="J692" t="inlineStr">
        <is>
          <t>0</t>
        </is>
      </c>
      <c r="K692" t="inlineStr">
        <is>
          <t>Luce, John Victor, 1920-</t>
        </is>
      </c>
      <c r="L692" t="inlineStr">
        <is>
          <t>New Haven : Yale University Press, c1998.</t>
        </is>
      </c>
      <c r="M692" t="inlineStr">
        <is>
          <t>1998</t>
        </is>
      </c>
      <c r="O692" t="inlineStr">
        <is>
          <t>eng</t>
        </is>
      </c>
      <c r="P692" t="inlineStr">
        <is>
          <t>ctu</t>
        </is>
      </c>
      <c r="R692" t="inlineStr">
        <is>
          <t xml:space="preserve">DF </t>
        </is>
      </c>
      <c r="S692" t="n">
        <v>2</v>
      </c>
      <c r="T692" t="n">
        <v>2</v>
      </c>
      <c r="U692" t="inlineStr">
        <is>
          <t>2003-03-25</t>
        </is>
      </c>
      <c r="V692" t="inlineStr">
        <is>
          <t>2003-03-25</t>
        </is>
      </c>
      <c r="W692" t="inlineStr">
        <is>
          <t>1999-02-24</t>
        </is>
      </c>
      <c r="X692" t="inlineStr">
        <is>
          <t>1999-02-24</t>
        </is>
      </c>
      <c r="Y692" t="n">
        <v>515</v>
      </c>
      <c r="Z692" t="n">
        <v>400</v>
      </c>
      <c r="AA692" t="n">
        <v>570</v>
      </c>
      <c r="AB692" t="n">
        <v>4</v>
      </c>
      <c r="AC692" t="n">
        <v>4</v>
      </c>
      <c r="AD692" t="n">
        <v>25</v>
      </c>
      <c r="AE692" t="n">
        <v>33</v>
      </c>
      <c r="AF692" t="n">
        <v>11</v>
      </c>
      <c r="AG692" t="n">
        <v>17</v>
      </c>
      <c r="AH692" t="n">
        <v>7</v>
      </c>
      <c r="AI692" t="n">
        <v>8</v>
      </c>
      <c r="AJ692" t="n">
        <v>13</v>
      </c>
      <c r="AK692" t="n">
        <v>16</v>
      </c>
      <c r="AL692" t="n">
        <v>3</v>
      </c>
      <c r="AM692" t="n">
        <v>3</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HYPERLINK("https://creighton-primo.hosted.exlibrisgroup.com/primo-explore/search?tab=default_tab&amp;search_scope=EVERYTHING&amp;vid=01CRU&amp;lang=en_US&amp;offset=0&amp;query=any,contains,991002921409702656","Catalog Record")</f>
        <v/>
      </c>
      <c r="AT692">
        <f>HYPERLINK("http://www.worldcat.org/oclc/38764997","WorldCat Record")</f>
        <v/>
      </c>
      <c r="AU692" t="inlineStr">
        <is>
          <t>23434285:eng</t>
        </is>
      </c>
      <c r="AV692" t="inlineStr">
        <is>
          <t>38764997</t>
        </is>
      </c>
      <c r="AW692" t="inlineStr">
        <is>
          <t>991002921409702656</t>
        </is>
      </c>
      <c r="AX692" t="inlineStr">
        <is>
          <t>991002921409702656</t>
        </is>
      </c>
      <c r="AY692" t="inlineStr">
        <is>
          <t>2271264730002656</t>
        </is>
      </c>
      <c r="AZ692" t="inlineStr">
        <is>
          <t>BOOK</t>
        </is>
      </c>
      <c r="BB692" t="inlineStr">
        <is>
          <t>9780300074116</t>
        </is>
      </c>
      <c r="BC692" t="inlineStr">
        <is>
          <t>32285003526505</t>
        </is>
      </c>
      <c r="BD692" t="inlineStr">
        <is>
          <t>893348100</t>
        </is>
      </c>
    </row>
    <row r="693">
      <c r="A693" t="inlineStr">
        <is>
          <t>No</t>
        </is>
      </c>
      <c r="B693" t="inlineStr">
        <is>
          <t>DF221.T8 S35 1976</t>
        </is>
      </c>
      <c r="C693" t="inlineStr">
        <is>
          <t>0                      DF 0221000T  8                  S  35          1976</t>
        </is>
      </c>
      <c r="D693" t="inlineStr">
        <is>
          <t>Troja : results of the latest researches and discoveries on the site of Homer's Troy, 1882 / Heinrich Schliemann. --</t>
        </is>
      </c>
      <c r="F693" t="inlineStr">
        <is>
          <t>No</t>
        </is>
      </c>
      <c r="G693" t="inlineStr">
        <is>
          <t>1</t>
        </is>
      </c>
      <c r="H693" t="inlineStr">
        <is>
          <t>No</t>
        </is>
      </c>
      <c r="I693" t="inlineStr">
        <is>
          <t>No</t>
        </is>
      </c>
      <c r="J693" t="inlineStr">
        <is>
          <t>0</t>
        </is>
      </c>
      <c r="K693" t="inlineStr">
        <is>
          <t>Schliemann, Heinrich, 1822-1890.</t>
        </is>
      </c>
      <c r="L693" t="inlineStr">
        <is>
          <t>New York : Arno Press, 1976.</t>
        </is>
      </c>
      <c r="M693" t="inlineStr">
        <is>
          <t>1976</t>
        </is>
      </c>
      <c r="O693" t="inlineStr">
        <is>
          <t>eng</t>
        </is>
      </c>
      <c r="P693" t="inlineStr">
        <is>
          <t>nyu</t>
        </is>
      </c>
      <c r="R693" t="inlineStr">
        <is>
          <t xml:space="preserve">DF </t>
        </is>
      </c>
      <c r="S693" t="n">
        <v>2</v>
      </c>
      <c r="T693" t="n">
        <v>2</v>
      </c>
      <c r="U693" t="inlineStr">
        <is>
          <t>2003-02-13</t>
        </is>
      </c>
      <c r="V693" t="inlineStr">
        <is>
          <t>2003-02-13</t>
        </is>
      </c>
      <c r="W693" t="inlineStr">
        <is>
          <t>1991-02-15</t>
        </is>
      </c>
      <c r="X693" t="inlineStr">
        <is>
          <t>1991-02-15</t>
        </is>
      </c>
      <c r="Y693" t="n">
        <v>209</v>
      </c>
      <c r="Z693" t="n">
        <v>185</v>
      </c>
      <c r="AA693" t="n">
        <v>569</v>
      </c>
      <c r="AB693" t="n">
        <v>3</v>
      </c>
      <c r="AC693" t="n">
        <v>6</v>
      </c>
      <c r="AD693" t="n">
        <v>8</v>
      </c>
      <c r="AE693" t="n">
        <v>24</v>
      </c>
      <c r="AF693" t="n">
        <v>4</v>
      </c>
      <c r="AG693" t="n">
        <v>12</v>
      </c>
      <c r="AH693" t="n">
        <v>0</v>
      </c>
      <c r="AI693" t="n">
        <v>3</v>
      </c>
      <c r="AJ693" t="n">
        <v>3</v>
      </c>
      <c r="AK693" t="n">
        <v>9</v>
      </c>
      <c r="AL693" t="n">
        <v>2</v>
      </c>
      <c r="AM693" t="n">
        <v>5</v>
      </c>
      <c r="AN693" t="n">
        <v>0</v>
      </c>
      <c r="AO693" t="n">
        <v>0</v>
      </c>
      <c r="AP693" t="inlineStr">
        <is>
          <t>No</t>
        </is>
      </c>
      <c r="AQ693" t="inlineStr">
        <is>
          <t>Yes</t>
        </is>
      </c>
      <c r="AR693">
        <f>HYPERLINK("http://catalog.hathitrust.org/Record/007479994","HathiTrust Record")</f>
        <v/>
      </c>
      <c r="AS693">
        <f>HYPERLINK("https://creighton-primo.hosted.exlibrisgroup.com/primo-explore/search?tab=default_tab&amp;search_scope=EVERYTHING&amp;vid=01CRU&amp;lang=en_US&amp;offset=0&amp;query=any,contains,991004225809702656","Catalog Record")</f>
        <v/>
      </c>
      <c r="AT693">
        <f>HYPERLINK("http://www.worldcat.org/oclc/2730033","WorldCat Record")</f>
        <v/>
      </c>
      <c r="AU693" t="inlineStr">
        <is>
          <t>10862950:eng</t>
        </is>
      </c>
      <c r="AV693" t="inlineStr">
        <is>
          <t>2730033</t>
        </is>
      </c>
      <c r="AW693" t="inlineStr">
        <is>
          <t>991004225809702656</t>
        </is>
      </c>
      <c r="AX693" t="inlineStr">
        <is>
          <t>991004225809702656</t>
        </is>
      </c>
      <c r="AY693" t="inlineStr">
        <is>
          <t>2263381300002656</t>
        </is>
      </c>
      <c r="AZ693" t="inlineStr">
        <is>
          <t>BOOK</t>
        </is>
      </c>
      <c r="BB693" t="inlineStr">
        <is>
          <t>9780405098529</t>
        </is>
      </c>
      <c r="BC693" t="inlineStr">
        <is>
          <t>32285000459304</t>
        </is>
      </c>
      <c r="BD693" t="inlineStr">
        <is>
          <t>893599583</t>
        </is>
      </c>
    </row>
    <row r="694">
      <c r="A694" t="inlineStr">
        <is>
          <t>No</t>
        </is>
      </c>
      <c r="B694" t="inlineStr">
        <is>
          <t>DF221.T8 T6</t>
        </is>
      </c>
      <c r="C694" t="inlineStr">
        <is>
          <t>0                      DF 0221000T  8                  T  6</t>
        </is>
      </c>
      <c r="D694" t="inlineStr">
        <is>
          <t>Mycenaean Troy, based on Dörpfeld's excavations in the sixth of the nine buried cities at Hissarlik, by Herbert Cushing Tolman and Gilbert Campbell Scoggin.</t>
        </is>
      </c>
      <c r="F694" t="inlineStr">
        <is>
          <t>No</t>
        </is>
      </c>
      <c r="G694" t="inlineStr">
        <is>
          <t>1</t>
        </is>
      </c>
      <c r="H694" t="inlineStr">
        <is>
          <t>No</t>
        </is>
      </c>
      <c r="I694" t="inlineStr">
        <is>
          <t>No</t>
        </is>
      </c>
      <c r="J694" t="inlineStr">
        <is>
          <t>0</t>
        </is>
      </c>
      <c r="K694" t="inlineStr">
        <is>
          <t>Tolman, Herbert Cushing, 1865-1923.</t>
        </is>
      </c>
      <c r="L694" t="inlineStr">
        <is>
          <t>New York, American Book Co. [c1903]</t>
        </is>
      </c>
      <c r="M694" t="inlineStr">
        <is>
          <t>1903</t>
        </is>
      </c>
      <c r="O694" t="inlineStr">
        <is>
          <t>eng</t>
        </is>
      </c>
      <c r="P694" t="inlineStr">
        <is>
          <t>nyu</t>
        </is>
      </c>
      <c r="Q694" t="inlineStr">
        <is>
          <t>The Vanderbilt oriental series</t>
        </is>
      </c>
      <c r="R694" t="inlineStr">
        <is>
          <t xml:space="preserve">DF </t>
        </is>
      </c>
      <c r="S694" t="n">
        <v>1</v>
      </c>
      <c r="T694" t="n">
        <v>1</v>
      </c>
      <c r="U694" t="inlineStr">
        <is>
          <t>2007-01-26</t>
        </is>
      </c>
      <c r="V694" t="inlineStr">
        <is>
          <t>2007-01-26</t>
        </is>
      </c>
      <c r="W694" t="inlineStr">
        <is>
          <t>1997-01-30</t>
        </is>
      </c>
      <c r="X694" t="inlineStr">
        <is>
          <t>1997-01-30</t>
        </is>
      </c>
      <c r="Y694" t="n">
        <v>147</v>
      </c>
      <c r="Z694" t="n">
        <v>139</v>
      </c>
      <c r="AA694" t="n">
        <v>155</v>
      </c>
      <c r="AB694" t="n">
        <v>4</v>
      </c>
      <c r="AC694" t="n">
        <v>4</v>
      </c>
      <c r="AD694" t="n">
        <v>9</v>
      </c>
      <c r="AE694" t="n">
        <v>9</v>
      </c>
      <c r="AF694" t="n">
        <v>2</v>
      </c>
      <c r="AG694" t="n">
        <v>2</v>
      </c>
      <c r="AH694" t="n">
        <v>1</v>
      </c>
      <c r="AI694" t="n">
        <v>1</v>
      </c>
      <c r="AJ694" t="n">
        <v>4</v>
      </c>
      <c r="AK694" t="n">
        <v>4</v>
      </c>
      <c r="AL694" t="n">
        <v>3</v>
      </c>
      <c r="AM694" t="n">
        <v>3</v>
      </c>
      <c r="AN694" t="n">
        <v>0</v>
      </c>
      <c r="AO694" t="n">
        <v>0</v>
      </c>
      <c r="AP694" t="inlineStr">
        <is>
          <t>Yes</t>
        </is>
      </c>
      <c r="AQ694" t="inlineStr">
        <is>
          <t>No</t>
        </is>
      </c>
      <c r="AR694">
        <f>HYPERLINK("http://catalog.hathitrust.org/Record/000430401","HathiTrust Record")</f>
        <v/>
      </c>
      <c r="AS694">
        <f>HYPERLINK("https://creighton-primo.hosted.exlibrisgroup.com/primo-explore/search?tab=default_tab&amp;search_scope=EVERYTHING&amp;vid=01CRU&amp;lang=en_US&amp;offset=0&amp;query=any,contains,991004390659702656","Catalog Record")</f>
        <v/>
      </c>
      <c r="AT694">
        <f>HYPERLINK("http://www.worldcat.org/oclc/3262037","WorldCat Record")</f>
        <v/>
      </c>
      <c r="AU694" t="inlineStr">
        <is>
          <t>897807146:eng</t>
        </is>
      </c>
      <c r="AV694" t="inlineStr">
        <is>
          <t>3262037</t>
        </is>
      </c>
      <c r="AW694" t="inlineStr">
        <is>
          <t>991004390659702656</t>
        </is>
      </c>
      <c r="AX694" t="inlineStr">
        <is>
          <t>991004390659702656</t>
        </is>
      </c>
      <c r="AY694" t="inlineStr">
        <is>
          <t>2256127300002656</t>
        </is>
      </c>
      <c r="AZ694" t="inlineStr">
        <is>
          <t>BOOK</t>
        </is>
      </c>
      <c r="BC694" t="inlineStr">
        <is>
          <t>32285002418605</t>
        </is>
      </c>
      <c r="BD694" t="inlineStr">
        <is>
          <t>893782183</t>
        </is>
      </c>
    </row>
    <row r="695">
      <c r="A695" t="inlineStr">
        <is>
          <t>No</t>
        </is>
      </c>
      <c r="B695" t="inlineStr">
        <is>
          <t>DF221.T8 T76 1986</t>
        </is>
      </c>
      <c r="C695" t="inlineStr">
        <is>
          <t>0                      DF 0221000T  8                  T  76          1986</t>
        </is>
      </c>
      <c r="D695" t="inlineStr">
        <is>
          <t>Troy and the Trojan War : a symposium held at Bryn Mawr College, October 1984 / papers by J. Lawrence Angel ... [et al.] ; edited by Machteld J. Mellink.</t>
        </is>
      </c>
      <c r="F695" t="inlineStr">
        <is>
          <t>No</t>
        </is>
      </c>
      <c r="G695" t="inlineStr">
        <is>
          <t>1</t>
        </is>
      </c>
      <c r="H695" t="inlineStr">
        <is>
          <t>No</t>
        </is>
      </c>
      <c r="I695" t="inlineStr">
        <is>
          <t>No</t>
        </is>
      </c>
      <c r="J695" t="inlineStr">
        <is>
          <t>0</t>
        </is>
      </c>
      <c r="L695" t="inlineStr">
        <is>
          <t>Bryn Mawr, Pa. : Bryn Mawr College, 1986.</t>
        </is>
      </c>
      <c r="M695" t="inlineStr">
        <is>
          <t>1986</t>
        </is>
      </c>
      <c r="O695" t="inlineStr">
        <is>
          <t>eng</t>
        </is>
      </c>
      <c r="P695" t="inlineStr">
        <is>
          <t>pau</t>
        </is>
      </c>
      <c r="R695" t="inlineStr">
        <is>
          <t xml:space="preserve">DF </t>
        </is>
      </c>
      <c r="S695" t="n">
        <v>6</v>
      </c>
      <c r="T695" t="n">
        <v>6</v>
      </c>
      <c r="U695" t="inlineStr">
        <is>
          <t>1997-09-28</t>
        </is>
      </c>
      <c r="V695" t="inlineStr">
        <is>
          <t>1997-09-28</t>
        </is>
      </c>
      <c r="W695" t="inlineStr">
        <is>
          <t>1991-02-15</t>
        </is>
      </c>
      <c r="X695" t="inlineStr">
        <is>
          <t>1991-02-15</t>
        </is>
      </c>
      <c r="Y695" t="n">
        <v>167</v>
      </c>
      <c r="Z695" t="n">
        <v>117</v>
      </c>
      <c r="AA695" t="n">
        <v>121</v>
      </c>
      <c r="AB695" t="n">
        <v>1</v>
      </c>
      <c r="AC695" t="n">
        <v>1</v>
      </c>
      <c r="AD695" t="n">
        <v>4</v>
      </c>
      <c r="AE695" t="n">
        <v>4</v>
      </c>
      <c r="AF695" t="n">
        <v>1</v>
      </c>
      <c r="AG695" t="n">
        <v>1</v>
      </c>
      <c r="AH695" t="n">
        <v>1</v>
      </c>
      <c r="AI695" t="n">
        <v>1</v>
      </c>
      <c r="AJ695" t="n">
        <v>2</v>
      </c>
      <c r="AK695" t="n">
        <v>2</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HYPERLINK("https://creighton-primo.hosted.exlibrisgroup.com/primo-explore/search?tab=default_tab&amp;search_scope=EVERYTHING&amp;vid=01CRU&amp;lang=en_US&amp;offset=0&amp;query=any,contains,991000986259702656","Catalog Record")</f>
        <v/>
      </c>
      <c r="AT695">
        <f>HYPERLINK("http://www.worldcat.org/oclc/15082118","WorldCat Record")</f>
        <v/>
      </c>
      <c r="AU695" t="inlineStr">
        <is>
          <t>889921190:eng</t>
        </is>
      </c>
      <c r="AV695" t="inlineStr">
        <is>
          <t>15082118</t>
        </is>
      </c>
      <c r="AW695" t="inlineStr">
        <is>
          <t>991000986259702656</t>
        </is>
      </c>
      <c r="AX695" t="inlineStr">
        <is>
          <t>991000986259702656</t>
        </is>
      </c>
      <c r="AY695" t="inlineStr">
        <is>
          <t>2257411940002656</t>
        </is>
      </c>
      <c r="AZ695" t="inlineStr">
        <is>
          <t>BOOK</t>
        </is>
      </c>
      <c r="BC695" t="inlineStr">
        <is>
          <t>32285000459320</t>
        </is>
      </c>
      <c r="BD695" t="inlineStr">
        <is>
          <t>893797196</t>
        </is>
      </c>
    </row>
    <row r="696">
      <c r="A696" t="inlineStr">
        <is>
          <t>No</t>
        </is>
      </c>
      <c r="B696" t="inlineStr">
        <is>
          <t>DF221.T8 T86 1984</t>
        </is>
      </c>
      <c r="C696" t="inlineStr">
        <is>
          <t>0                      DF 0221000T  8                  T  86          1984</t>
        </is>
      </c>
      <c r="D696" t="inlineStr">
        <is>
          <t>The Trojan War : its historicity and context : papers of the first Greenbank Colloquium, Liverpool, 1981 / edited by Lin Foxhall &amp; John K. Davies.</t>
        </is>
      </c>
      <c r="F696" t="inlineStr">
        <is>
          <t>No</t>
        </is>
      </c>
      <c r="G696" t="inlineStr">
        <is>
          <t>1</t>
        </is>
      </c>
      <c r="H696" t="inlineStr">
        <is>
          <t>No</t>
        </is>
      </c>
      <c r="I696" t="inlineStr">
        <is>
          <t>No</t>
        </is>
      </c>
      <c r="J696" t="inlineStr">
        <is>
          <t>0</t>
        </is>
      </c>
      <c r="L696" t="inlineStr">
        <is>
          <t>Bristol, England : Bristol Classical Press, 1984.</t>
        </is>
      </c>
      <c r="M696" t="inlineStr">
        <is>
          <t>1984</t>
        </is>
      </c>
      <c r="O696" t="inlineStr">
        <is>
          <t>eng</t>
        </is>
      </c>
      <c r="P696" t="inlineStr">
        <is>
          <t>enk</t>
        </is>
      </c>
      <c r="R696" t="inlineStr">
        <is>
          <t xml:space="preserve">DF </t>
        </is>
      </c>
      <c r="S696" t="n">
        <v>6</v>
      </c>
      <c r="T696" t="n">
        <v>6</v>
      </c>
      <c r="U696" t="inlineStr">
        <is>
          <t>2001-03-26</t>
        </is>
      </c>
      <c r="V696" t="inlineStr">
        <is>
          <t>2001-03-26</t>
        </is>
      </c>
      <c r="W696" t="inlineStr">
        <is>
          <t>1991-02-15</t>
        </is>
      </c>
      <c r="X696" t="inlineStr">
        <is>
          <t>1991-02-15</t>
        </is>
      </c>
      <c r="Y696" t="n">
        <v>162</v>
      </c>
      <c r="Z696" t="n">
        <v>92</v>
      </c>
      <c r="AA696" t="n">
        <v>94</v>
      </c>
      <c r="AB696" t="n">
        <v>1</v>
      </c>
      <c r="AC696" t="n">
        <v>1</v>
      </c>
      <c r="AD696" t="n">
        <v>6</v>
      </c>
      <c r="AE696" t="n">
        <v>6</v>
      </c>
      <c r="AF696" t="n">
        <v>1</v>
      </c>
      <c r="AG696" t="n">
        <v>1</v>
      </c>
      <c r="AH696" t="n">
        <v>2</v>
      </c>
      <c r="AI696" t="n">
        <v>2</v>
      </c>
      <c r="AJ696" t="n">
        <v>6</v>
      </c>
      <c r="AK696" t="n">
        <v>6</v>
      </c>
      <c r="AL696" t="n">
        <v>0</v>
      </c>
      <c r="AM696" t="n">
        <v>0</v>
      </c>
      <c r="AN696" t="n">
        <v>0</v>
      </c>
      <c r="AO696" t="n">
        <v>0</v>
      </c>
      <c r="AP696" t="inlineStr">
        <is>
          <t>No</t>
        </is>
      </c>
      <c r="AQ696" t="inlineStr">
        <is>
          <t>Yes</t>
        </is>
      </c>
      <c r="AR696">
        <f>HYPERLINK("http://catalog.hathitrust.org/Record/000813539","HathiTrust Record")</f>
        <v/>
      </c>
      <c r="AS696">
        <f>HYPERLINK("https://creighton-primo.hosted.exlibrisgroup.com/primo-explore/search?tab=default_tab&amp;search_scope=EVERYTHING&amp;vid=01CRU&amp;lang=en_US&amp;offset=0&amp;query=any,contains,991000691849702656","Catalog Record")</f>
        <v/>
      </c>
      <c r="AT696">
        <f>HYPERLINK("http://www.worldcat.org/oclc/12490118","WorldCat Record")</f>
        <v/>
      </c>
      <c r="AU696" t="inlineStr">
        <is>
          <t>479453776:eng</t>
        </is>
      </c>
      <c r="AV696" t="inlineStr">
        <is>
          <t>12490118</t>
        </is>
      </c>
      <c r="AW696" t="inlineStr">
        <is>
          <t>991000691849702656</t>
        </is>
      </c>
      <c r="AX696" t="inlineStr">
        <is>
          <t>991000691849702656</t>
        </is>
      </c>
      <c r="AY696" t="inlineStr">
        <is>
          <t>2267447190002656</t>
        </is>
      </c>
      <c r="AZ696" t="inlineStr">
        <is>
          <t>BOOK</t>
        </is>
      </c>
      <c r="BB696" t="inlineStr">
        <is>
          <t>9780862920968</t>
        </is>
      </c>
      <c r="BC696" t="inlineStr">
        <is>
          <t>32285000459338</t>
        </is>
      </c>
      <c r="BD696" t="inlineStr">
        <is>
          <t>893796914</t>
        </is>
      </c>
    </row>
    <row r="697">
      <c r="A697" t="inlineStr">
        <is>
          <t>No</t>
        </is>
      </c>
      <c r="B697" t="inlineStr">
        <is>
          <t>DF222 .A7</t>
        </is>
      </c>
      <c r="C697" t="inlineStr">
        <is>
          <t>0                      DF 0222000A  7</t>
        </is>
      </c>
      <c r="D697" t="inlineStr">
        <is>
          <t>Archaic times to the end of the Peloponnesian War / edited and translated by Charles W. Fornara.</t>
        </is>
      </c>
      <c r="F697" t="inlineStr">
        <is>
          <t>No</t>
        </is>
      </c>
      <c r="G697" t="inlineStr">
        <is>
          <t>1</t>
        </is>
      </c>
      <c r="H697" t="inlineStr">
        <is>
          <t>No</t>
        </is>
      </c>
      <c r="I697" t="inlineStr">
        <is>
          <t>No</t>
        </is>
      </c>
      <c r="J697" t="inlineStr">
        <is>
          <t>0</t>
        </is>
      </c>
      <c r="L697" t="inlineStr">
        <is>
          <t>Baltimore : Johns Hopkins University Press, c1977.</t>
        </is>
      </c>
      <c r="M697" t="inlineStr">
        <is>
          <t>1977</t>
        </is>
      </c>
      <c r="O697" t="inlineStr">
        <is>
          <t>eng</t>
        </is>
      </c>
      <c r="P697" t="inlineStr">
        <is>
          <t>mdu</t>
        </is>
      </c>
      <c r="Q697" t="inlineStr">
        <is>
          <t>Translated documents of Greece and Rome ; v. 1</t>
        </is>
      </c>
      <c r="R697" t="inlineStr">
        <is>
          <t xml:space="preserve">DF </t>
        </is>
      </c>
      <c r="S697" t="n">
        <v>3</v>
      </c>
      <c r="T697" t="n">
        <v>3</v>
      </c>
      <c r="U697" t="inlineStr">
        <is>
          <t>2005-08-19</t>
        </is>
      </c>
      <c r="V697" t="inlineStr">
        <is>
          <t>2005-08-19</t>
        </is>
      </c>
      <c r="W697" t="inlineStr">
        <is>
          <t>1990-03-06</t>
        </is>
      </c>
      <c r="X697" t="inlineStr">
        <is>
          <t>1990-03-06</t>
        </is>
      </c>
      <c r="Y697" t="n">
        <v>591</v>
      </c>
      <c r="Z697" t="n">
        <v>473</v>
      </c>
      <c r="AA697" t="n">
        <v>620</v>
      </c>
      <c r="AB697" t="n">
        <v>6</v>
      </c>
      <c r="AC697" t="n">
        <v>8</v>
      </c>
      <c r="AD697" t="n">
        <v>27</v>
      </c>
      <c r="AE697" t="n">
        <v>39</v>
      </c>
      <c r="AF697" t="n">
        <v>9</v>
      </c>
      <c r="AG697" t="n">
        <v>16</v>
      </c>
      <c r="AH697" t="n">
        <v>8</v>
      </c>
      <c r="AI697" t="n">
        <v>9</v>
      </c>
      <c r="AJ697" t="n">
        <v>12</v>
      </c>
      <c r="AK697" t="n">
        <v>18</v>
      </c>
      <c r="AL697" t="n">
        <v>5</v>
      </c>
      <c r="AM697" t="n">
        <v>7</v>
      </c>
      <c r="AN697" t="n">
        <v>0</v>
      </c>
      <c r="AO697" t="n">
        <v>0</v>
      </c>
      <c r="AP697" t="inlineStr">
        <is>
          <t>No</t>
        </is>
      </c>
      <c r="AQ697" t="inlineStr">
        <is>
          <t>Yes</t>
        </is>
      </c>
      <c r="AR697">
        <f>HYPERLINK("http://catalog.hathitrust.org/Record/000713972","HathiTrust Record")</f>
        <v/>
      </c>
      <c r="AS697">
        <f>HYPERLINK("https://creighton-primo.hosted.exlibrisgroup.com/primo-explore/search?tab=default_tab&amp;search_scope=EVERYTHING&amp;vid=01CRU&amp;lang=en_US&amp;offset=0&amp;query=any,contains,991004060219702656","Catalog Record")</f>
        <v/>
      </c>
      <c r="AT697">
        <f>HYPERLINK("http://www.worldcat.org/oclc/2238214","WorldCat Record")</f>
        <v/>
      </c>
      <c r="AU697" t="inlineStr">
        <is>
          <t>54118098:eng</t>
        </is>
      </c>
      <c r="AV697" t="inlineStr">
        <is>
          <t>2238214</t>
        </is>
      </c>
      <c r="AW697" t="inlineStr">
        <is>
          <t>991004060219702656</t>
        </is>
      </c>
      <c r="AX697" t="inlineStr">
        <is>
          <t>991004060219702656</t>
        </is>
      </c>
      <c r="AY697" t="inlineStr">
        <is>
          <t>2257519670002656</t>
        </is>
      </c>
      <c r="AZ697" t="inlineStr">
        <is>
          <t>BOOK</t>
        </is>
      </c>
      <c r="BB697" t="inlineStr">
        <is>
          <t>9780801818103</t>
        </is>
      </c>
      <c r="BC697" t="inlineStr">
        <is>
          <t>32285000077338</t>
        </is>
      </c>
      <c r="BD697" t="inlineStr">
        <is>
          <t>893800536</t>
        </is>
      </c>
    </row>
    <row r="698">
      <c r="A698" t="inlineStr">
        <is>
          <t>No</t>
        </is>
      </c>
      <c r="B698" t="inlineStr">
        <is>
          <t>DF225 .B8 1962b</t>
        </is>
      </c>
      <c r="C698" t="inlineStr">
        <is>
          <t>0                      DF 0225000B  8           1962b</t>
        </is>
      </c>
      <c r="D698" t="inlineStr">
        <is>
          <t>Persia and the Greeks: the defence of the West, c.546-478 B.C.</t>
        </is>
      </c>
      <c r="F698" t="inlineStr">
        <is>
          <t>No</t>
        </is>
      </c>
      <c r="G698" t="inlineStr">
        <is>
          <t>1</t>
        </is>
      </c>
      <c r="H698" t="inlineStr">
        <is>
          <t>No</t>
        </is>
      </c>
      <c r="I698" t="inlineStr">
        <is>
          <t>No</t>
        </is>
      </c>
      <c r="J698" t="inlineStr">
        <is>
          <t>0</t>
        </is>
      </c>
      <c r="K698" t="inlineStr">
        <is>
          <t>Burn, A. R. (Andrew Robert), 1902-1991.</t>
        </is>
      </c>
      <c r="L698" t="inlineStr">
        <is>
          <t>London, Arnold [c1962]</t>
        </is>
      </c>
      <c r="M698" t="inlineStr">
        <is>
          <t>1962</t>
        </is>
      </c>
      <c r="O698" t="inlineStr">
        <is>
          <t>eng</t>
        </is>
      </c>
      <c r="P698" t="inlineStr">
        <is>
          <t>enk</t>
        </is>
      </c>
      <c r="R698" t="inlineStr">
        <is>
          <t xml:space="preserve">DF </t>
        </is>
      </c>
      <c r="S698" t="n">
        <v>14</v>
      </c>
      <c r="T698" t="n">
        <v>14</v>
      </c>
      <c r="U698" t="inlineStr">
        <is>
          <t>2008-12-09</t>
        </is>
      </c>
      <c r="V698" t="inlineStr">
        <is>
          <t>2008-12-09</t>
        </is>
      </c>
      <c r="W698" t="inlineStr">
        <is>
          <t>1997-01-30</t>
        </is>
      </c>
      <c r="X698" t="inlineStr">
        <is>
          <t>1997-01-30</t>
        </is>
      </c>
      <c r="Y698" t="n">
        <v>438</v>
      </c>
      <c r="Z698" t="n">
        <v>297</v>
      </c>
      <c r="AA698" t="n">
        <v>919</v>
      </c>
      <c r="AB698" t="n">
        <v>1</v>
      </c>
      <c r="AC698" t="n">
        <v>1</v>
      </c>
      <c r="AD698" t="n">
        <v>12</v>
      </c>
      <c r="AE698" t="n">
        <v>36</v>
      </c>
      <c r="AF698" t="n">
        <v>5</v>
      </c>
      <c r="AG698" t="n">
        <v>19</v>
      </c>
      <c r="AH698" t="n">
        <v>3</v>
      </c>
      <c r="AI698" t="n">
        <v>10</v>
      </c>
      <c r="AJ698" t="n">
        <v>6</v>
      </c>
      <c r="AK698" t="n">
        <v>20</v>
      </c>
      <c r="AL698" t="n">
        <v>0</v>
      </c>
      <c r="AM698" t="n">
        <v>0</v>
      </c>
      <c r="AN698" t="n">
        <v>0</v>
      </c>
      <c r="AO698" t="n">
        <v>0</v>
      </c>
      <c r="AP698" t="inlineStr">
        <is>
          <t>No</t>
        </is>
      </c>
      <c r="AQ698" t="inlineStr">
        <is>
          <t>Yes</t>
        </is>
      </c>
      <c r="AR698">
        <f>HYPERLINK("http://catalog.hathitrust.org/Record/000612158","HathiTrust Record")</f>
        <v/>
      </c>
      <c r="AS698">
        <f>HYPERLINK("https://creighton-primo.hosted.exlibrisgroup.com/primo-explore/search?tab=default_tab&amp;search_scope=EVERYTHING&amp;vid=01CRU&amp;lang=en_US&amp;offset=0&amp;query=any,contains,991003147979702656","Catalog Record")</f>
        <v/>
      </c>
      <c r="AT698">
        <f>HYPERLINK("http://www.worldcat.org/oclc/688152","WorldCat Record")</f>
        <v/>
      </c>
      <c r="AU698" t="inlineStr">
        <is>
          <t>796508234:eng</t>
        </is>
      </c>
      <c r="AV698" t="inlineStr">
        <is>
          <t>688152</t>
        </is>
      </c>
      <c r="AW698" t="inlineStr">
        <is>
          <t>991003147979702656</t>
        </is>
      </c>
      <c r="AX698" t="inlineStr">
        <is>
          <t>991003147979702656</t>
        </is>
      </c>
      <c r="AY698" t="inlineStr">
        <is>
          <t>2272220670002656</t>
        </is>
      </c>
      <c r="AZ698" t="inlineStr">
        <is>
          <t>BOOK</t>
        </is>
      </c>
      <c r="BC698" t="inlineStr">
        <is>
          <t>32285002418639</t>
        </is>
      </c>
      <c r="BD698" t="inlineStr">
        <is>
          <t>893348378</t>
        </is>
      </c>
    </row>
    <row r="699">
      <c r="A699" t="inlineStr">
        <is>
          <t>No</t>
        </is>
      </c>
      <c r="B699" t="inlineStr">
        <is>
          <t>DF225 .G88 1969</t>
        </is>
      </c>
      <c r="C699" t="inlineStr">
        <is>
          <t>0                      DF 0225000G  88          1969</t>
        </is>
      </c>
      <c r="D699" t="inlineStr">
        <is>
          <t>The great Persian War and its preliminaries; a study of the evidence, literary and topographical.</t>
        </is>
      </c>
      <c r="F699" t="inlineStr">
        <is>
          <t>No</t>
        </is>
      </c>
      <c r="G699" t="inlineStr">
        <is>
          <t>1</t>
        </is>
      </c>
      <c r="H699" t="inlineStr">
        <is>
          <t>No</t>
        </is>
      </c>
      <c r="I699" t="inlineStr">
        <is>
          <t>No</t>
        </is>
      </c>
      <c r="J699" t="inlineStr">
        <is>
          <t>0</t>
        </is>
      </c>
      <c r="K699" t="inlineStr">
        <is>
          <t>Grundy, G. B. (George Beardoe), 1861-1948.</t>
        </is>
      </c>
      <c r="L699" t="inlineStr">
        <is>
          <t>New York, AMS Press [1969]</t>
        </is>
      </c>
      <c r="M699" t="inlineStr">
        <is>
          <t>1969</t>
        </is>
      </c>
      <c r="O699" t="inlineStr">
        <is>
          <t>eng</t>
        </is>
      </c>
      <c r="P699" t="inlineStr">
        <is>
          <t>nyu</t>
        </is>
      </c>
      <c r="R699" t="inlineStr">
        <is>
          <t xml:space="preserve">DF </t>
        </is>
      </c>
      <c r="S699" t="n">
        <v>14</v>
      </c>
      <c r="T699" t="n">
        <v>14</v>
      </c>
      <c r="U699" t="inlineStr">
        <is>
          <t>2008-12-09</t>
        </is>
      </c>
      <c r="V699" t="inlineStr">
        <is>
          <t>2008-12-09</t>
        </is>
      </c>
      <c r="W699" t="inlineStr">
        <is>
          <t>1997-01-30</t>
        </is>
      </c>
      <c r="X699" t="inlineStr">
        <is>
          <t>1997-01-30</t>
        </is>
      </c>
      <c r="Y699" t="n">
        <v>195</v>
      </c>
      <c r="Z699" t="n">
        <v>174</v>
      </c>
      <c r="AA699" t="n">
        <v>327</v>
      </c>
      <c r="AB699" t="n">
        <v>3</v>
      </c>
      <c r="AC699" t="n">
        <v>3</v>
      </c>
      <c r="AD699" t="n">
        <v>9</v>
      </c>
      <c r="AE699" t="n">
        <v>13</v>
      </c>
      <c r="AF699" t="n">
        <v>3</v>
      </c>
      <c r="AG699" t="n">
        <v>4</v>
      </c>
      <c r="AH699" t="n">
        <v>3</v>
      </c>
      <c r="AI699" t="n">
        <v>3</v>
      </c>
      <c r="AJ699" t="n">
        <v>3</v>
      </c>
      <c r="AK699" t="n">
        <v>7</v>
      </c>
      <c r="AL699" t="n">
        <v>2</v>
      </c>
      <c r="AM699" t="n">
        <v>2</v>
      </c>
      <c r="AN699" t="n">
        <v>0</v>
      </c>
      <c r="AO699" t="n">
        <v>0</v>
      </c>
      <c r="AP699" t="inlineStr">
        <is>
          <t>No</t>
        </is>
      </c>
      <c r="AQ699" t="inlineStr">
        <is>
          <t>Yes</t>
        </is>
      </c>
      <c r="AR699">
        <f>HYPERLINK("http://catalog.hathitrust.org/Record/006734252","HathiTrust Record")</f>
        <v/>
      </c>
      <c r="AS699">
        <f>HYPERLINK("https://creighton-primo.hosted.exlibrisgroup.com/primo-explore/search?tab=default_tab&amp;search_scope=EVERYTHING&amp;vid=01CRU&amp;lang=en_US&amp;offset=0&amp;query=any,contains,991003938219702656","Catalog Record")</f>
        <v/>
      </c>
      <c r="AT699">
        <f>HYPERLINK("http://www.worldcat.org/oclc/1921317","WorldCat Record")</f>
        <v/>
      </c>
      <c r="AU699" t="inlineStr">
        <is>
          <t>2694220:eng</t>
        </is>
      </c>
      <c r="AV699" t="inlineStr">
        <is>
          <t>1921317</t>
        </is>
      </c>
      <c r="AW699" t="inlineStr">
        <is>
          <t>991003938219702656</t>
        </is>
      </c>
      <c r="AX699" t="inlineStr">
        <is>
          <t>991003938219702656</t>
        </is>
      </c>
      <c r="AY699" t="inlineStr">
        <is>
          <t>2258466970002656</t>
        </is>
      </c>
      <c r="AZ699" t="inlineStr">
        <is>
          <t>BOOK</t>
        </is>
      </c>
      <c r="BC699" t="inlineStr">
        <is>
          <t>32285002418647</t>
        </is>
      </c>
      <c r="BD699" t="inlineStr">
        <is>
          <t>893410925</t>
        </is>
      </c>
    </row>
    <row r="700">
      <c r="A700" t="inlineStr">
        <is>
          <t>No</t>
        </is>
      </c>
      <c r="B700" t="inlineStr">
        <is>
          <t>DF225.6 .G7 1970</t>
        </is>
      </c>
      <c r="C700" t="inlineStr">
        <is>
          <t>0                      DF 0225600G  7           1970</t>
        </is>
      </c>
      <c r="D700" t="inlineStr">
        <is>
          <t>Xerxes at Salamis.</t>
        </is>
      </c>
      <c r="F700" t="inlineStr">
        <is>
          <t>No</t>
        </is>
      </c>
      <c r="G700" t="inlineStr">
        <is>
          <t>1</t>
        </is>
      </c>
      <c r="H700" t="inlineStr">
        <is>
          <t>No</t>
        </is>
      </c>
      <c r="I700" t="inlineStr">
        <is>
          <t>No</t>
        </is>
      </c>
      <c r="J700" t="inlineStr">
        <is>
          <t>0</t>
        </is>
      </c>
      <c r="K700" t="inlineStr">
        <is>
          <t>Green, Peter, 1924-</t>
        </is>
      </c>
      <c r="L700" t="inlineStr">
        <is>
          <t>New York, Praeger [1970]</t>
        </is>
      </c>
      <c r="M700" t="inlineStr">
        <is>
          <t>1970</t>
        </is>
      </c>
      <c r="O700" t="inlineStr">
        <is>
          <t>eng</t>
        </is>
      </c>
      <c r="P700" t="inlineStr">
        <is>
          <t>nyu</t>
        </is>
      </c>
      <c r="R700" t="inlineStr">
        <is>
          <t xml:space="preserve">DF </t>
        </is>
      </c>
      <c r="S700" t="n">
        <v>7</v>
      </c>
      <c r="T700" t="n">
        <v>7</v>
      </c>
      <c r="U700" t="inlineStr">
        <is>
          <t>2008-07-02</t>
        </is>
      </c>
      <c r="V700" t="inlineStr">
        <is>
          <t>2008-07-02</t>
        </is>
      </c>
      <c r="W700" t="inlineStr">
        <is>
          <t>1997-01-30</t>
        </is>
      </c>
      <c r="X700" t="inlineStr">
        <is>
          <t>1997-01-30</t>
        </is>
      </c>
      <c r="Y700" t="n">
        <v>526</v>
      </c>
      <c r="Z700" t="n">
        <v>495</v>
      </c>
      <c r="AA700" t="n">
        <v>502</v>
      </c>
      <c r="AB700" t="n">
        <v>7</v>
      </c>
      <c r="AC700" t="n">
        <v>7</v>
      </c>
      <c r="AD700" t="n">
        <v>20</v>
      </c>
      <c r="AE700" t="n">
        <v>20</v>
      </c>
      <c r="AF700" t="n">
        <v>7</v>
      </c>
      <c r="AG700" t="n">
        <v>7</v>
      </c>
      <c r="AH700" t="n">
        <v>4</v>
      </c>
      <c r="AI700" t="n">
        <v>4</v>
      </c>
      <c r="AJ700" t="n">
        <v>7</v>
      </c>
      <c r="AK700" t="n">
        <v>7</v>
      </c>
      <c r="AL700" t="n">
        <v>5</v>
      </c>
      <c r="AM700" t="n">
        <v>5</v>
      </c>
      <c r="AN700" t="n">
        <v>0</v>
      </c>
      <c r="AO700" t="n">
        <v>0</v>
      </c>
      <c r="AP700" t="inlineStr">
        <is>
          <t>No</t>
        </is>
      </c>
      <c r="AQ700" t="inlineStr">
        <is>
          <t>Yes</t>
        </is>
      </c>
      <c r="AR700">
        <f>HYPERLINK("http://catalog.hathitrust.org/Record/000572821","HathiTrust Record")</f>
        <v/>
      </c>
      <c r="AS700">
        <f>HYPERLINK("https://creighton-primo.hosted.exlibrisgroup.com/primo-explore/search?tab=default_tab&amp;search_scope=EVERYTHING&amp;vid=01CRU&amp;lang=en_US&amp;offset=0&amp;query=any,contains,991000577749702656","Catalog Record")</f>
        <v/>
      </c>
      <c r="AT700">
        <f>HYPERLINK("http://www.worldcat.org/oclc/95048","WorldCat Record")</f>
        <v/>
      </c>
      <c r="AU700" t="inlineStr">
        <is>
          <t>5624047545:eng</t>
        </is>
      </c>
      <c r="AV700" t="inlineStr">
        <is>
          <t>95048</t>
        </is>
      </c>
      <c r="AW700" t="inlineStr">
        <is>
          <t>991000577749702656</t>
        </is>
      </c>
      <c r="AX700" t="inlineStr">
        <is>
          <t>991000577749702656</t>
        </is>
      </c>
      <c r="AY700" t="inlineStr">
        <is>
          <t>2272560790002656</t>
        </is>
      </c>
      <c r="AZ700" t="inlineStr">
        <is>
          <t>BOOK</t>
        </is>
      </c>
      <c r="BC700" t="inlineStr">
        <is>
          <t>32285002418654</t>
        </is>
      </c>
      <c r="BD700" t="inlineStr">
        <is>
          <t>893261523</t>
        </is>
      </c>
    </row>
    <row r="701">
      <c r="A701" t="inlineStr">
        <is>
          <t>No</t>
        </is>
      </c>
      <c r="B701" t="inlineStr">
        <is>
          <t>DF227 .I58 2009</t>
        </is>
      </c>
      <c r="C701" t="inlineStr">
        <is>
          <t>0                      DF 0227000I  58          2009</t>
        </is>
      </c>
      <c r="D701" t="inlineStr">
        <is>
          <t>Interpreting the Athenian empire / edited by John Ma, Nikolaos Papazarkadas, Robert Parker.</t>
        </is>
      </c>
      <c r="F701" t="inlineStr">
        <is>
          <t>No</t>
        </is>
      </c>
      <c r="G701" t="inlineStr">
        <is>
          <t>1</t>
        </is>
      </c>
      <c r="H701" t="inlineStr">
        <is>
          <t>No</t>
        </is>
      </c>
      <c r="I701" t="inlineStr">
        <is>
          <t>No</t>
        </is>
      </c>
      <c r="J701" t="inlineStr">
        <is>
          <t>0</t>
        </is>
      </c>
      <c r="L701" t="inlineStr">
        <is>
          <t>London : Duckworth, 2009.</t>
        </is>
      </c>
      <c r="M701" t="inlineStr">
        <is>
          <t>2009</t>
        </is>
      </c>
      <c r="O701" t="inlineStr">
        <is>
          <t>eng</t>
        </is>
      </c>
      <c r="P701" t="inlineStr">
        <is>
          <t>enk</t>
        </is>
      </c>
      <c r="R701" t="inlineStr">
        <is>
          <t xml:space="preserve">DF </t>
        </is>
      </c>
      <c r="S701" t="n">
        <v>2</v>
      </c>
      <c r="T701" t="n">
        <v>2</v>
      </c>
      <c r="U701" t="inlineStr">
        <is>
          <t>2009-04-27</t>
        </is>
      </c>
      <c r="V701" t="inlineStr">
        <is>
          <t>2009-04-27</t>
        </is>
      </c>
      <c r="W701" t="inlineStr">
        <is>
          <t>2009-04-27</t>
        </is>
      </c>
      <c r="X701" t="inlineStr">
        <is>
          <t>2009-04-27</t>
        </is>
      </c>
      <c r="Y701" t="n">
        <v>333</v>
      </c>
      <c r="Z701" t="n">
        <v>232</v>
      </c>
      <c r="AA701" t="n">
        <v>239</v>
      </c>
      <c r="AB701" t="n">
        <v>3</v>
      </c>
      <c r="AC701" t="n">
        <v>3</v>
      </c>
      <c r="AD701" t="n">
        <v>17</v>
      </c>
      <c r="AE701" t="n">
        <v>17</v>
      </c>
      <c r="AF701" t="n">
        <v>6</v>
      </c>
      <c r="AG701" t="n">
        <v>6</v>
      </c>
      <c r="AH701" t="n">
        <v>5</v>
      </c>
      <c r="AI701" t="n">
        <v>5</v>
      </c>
      <c r="AJ701" t="n">
        <v>12</v>
      </c>
      <c r="AK701" t="n">
        <v>12</v>
      </c>
      <c r="AL701" t="n">
        <v>2</v>
      </c>
      <c r="AM701" t="n">
        <v>2</v>
      </c>
      <c r="AN701" t="n">
        <v>0</v>
      </c>
      <c r="AO701" t="n">
        <v>0</v>
      </c>
      <c r="AP701" t="inlineStr">
        <is>
          <t>No</t>
        </is>
      </c>
      <c r="AQ701" t="inlineStr">
        <is>
          <t>Yes</t>
        </is>
      </c>
      <c r="AR701">
        <f>HYPERLINK("http://catalog.hathitrust.org/Record/006769405","HathiTrust Record")</f>
        <v/>
      </c>
      <c r="AS701">
        <f>HYPERLINK("https://creighton-primo.hosted.exlibrisgroup.com/primo-explore/search?tab=default_tab&amp;search_scope=EVERYTHING&amp;vid=01CRU&amp;lang=en_US&amp;offset=0&amp;query=any,contains,991005308019702656","Catalog Record")</f>
        <v/>
      </c>
      <c r="AT701">
        <f>HYPERLINK("http://www.worldcat.org/oclc/220330564","WorldCat Record")</f>
        <v/>
      </c>
      <c r="AU701" t="inlineStr">
        <is>
          <t>369272002:eng</t>
        </is>
      </c>
      <c r="AV701" t="inlineStr">
        <is>
          <t>220330564</t>
        </is>
      </c>
      <c r="AW701" t="inlineStr">
        <is>
          <t>991005308019702656</t>
        </is>
      </c>
      <c r="AX701" t="inlineStr">
        <is>
          <t>991005308019702656</t>
        </is>
      </c>
      <c r="AY701" t="inlineStr">
        <is>
          <t>2258434050002656</t>
        </is>
      </c>
      <c r="AZ701" t="inlineStr">
        <is>
          <t>BOOK</t>
        </is>
      </c>
      <c r="BB701" t="inlineStr">
        <is>
          <t>9780715637845</t>
        </is>
      </c>
      <c r="BC701" t="inlineStr">
        <is>
          <t>32285005518575</t>
        </is>
      </c>
      <c r="BD701" t="inlineStr">
        <is>
          <t>893338899</t>
        </is>
      </c>
    </row>
    <row r="702">
      <c r="A702" t="inlineStr">
        <is>
          <t>No</t>
        </is>
      </c>
      <c r="B702" t="inlineStr">
        <is>
          <t>DF227 .M33 1987</t>
        </is>
      </c>
      <c r="C702" t="inlineStr">
        <is>
          <t>0                      DF 0227000M  33          1987</t>
        </is>
      </c>
      <c r="D702" t="inlineStr">
        <is>
          <t>The Athenians and their empire / Malcolm F. McGregor.</t>
        </is>
      </c>
      <c r="F702" t="inlineStr">
        <is>
          <t>No</t>
        </is>
      </c>
      <c r="G702" t="inlineStr">
        <is>
          <t>1</t>
        </is>
      </c>
      <c r="H702" t="inlineStr">
        <is>
          <t>No</t>
        </is>
      </c>
      <c r="I702" t="inlineStr">
        <is>
          <t>No</t>
        </is>
      </c>
      <c r="J702" t="inlineStr">
        <is>
          <t>0</t>
        </is>
      </c>
      <c r="K702" t="inlineStr">
        <is>
          <t>McGregor, Malcolm Francis, 1910-1989.</t>
        </is>
      </c>
      <c r="L702" t="inlineStr">
        <is>
          <t>Vancouver : University of British Columbia Press, 1987.</t>
        </is>
      </c>
      <c r="M702" t="inlineStr">
        <is>
          <t>1987</t>
        </is>
      </c>
      <c r="O702" t="inlineStr">
        <is>
          <t>eng</t>
        </is>
      </c>
      <c r="P702" t="inlineStr">
        <is>
          <t>bcu</t>
        </is>
      </c>
      <c r="R702" t="inlineStr">
        <is>
          <t xml:space="preserve">DF </t>
        </is>
      </c>
      <c r="S702" t="n">
        <v>5</v>
      </c>
      <c r="T702" t="n">
        <v>5</v>
      </c>
      <c r="U702" t="inlineStr">
        <is>
          <t>2004-04-24</t>
        </is>
      </c>
      <c r="V702" t="inlineStr">
        <is>
          <t>2004-04-24</t>
        </is>
      </c>
      <c r="W702" t="inlineStr">
        <is>
          <t>1991-02-15</t>
        </is>
      </c>
      <c r="X702" t="inlineStr">
        <is>
          <t>1991-02-15</t>
        </is>
      </c>
      <c r="Y702" t="n">
        <v>638</v>
      </c>
      <c r="Z702" t="n">
        <v>496</v>
      </c>
      <c r="AA702" t="n">
        <v>806</v>
      </c>
      <c r="AB702" t="n">
        <v>3</v>
      </c>
      <c r="AC702" t="n">
        <v>6</v>
      </c>
      <c r="AD702" t="n">
        <v>30</v>
      </c>
      <c r="AE702" t="n">
        <v>40</v>
      </c>
      <c r="AF702" t="n">
        <v>12</v>
      </c>
      <c r="AG702" t="n">
        <v>15</v>
      </c>
      <c r="AH702" t="n">
        <v>7</v>
      </c>
      <c r="AI702" t="n">
        <v>9</v>
      </c>
      <c r="AJ702" t="n">
        <v>18</v>
      </c>
      <c r="AK702" t="n">
        <v>20</v>
      </c>
      <c r="AL702" t="n">
        <v>2</v>
      </c>
      <c r="AM702" t="n">
        <v>5</v>
      </c>
      <c r="AN702" t="n">
        <v>0</v>
      </c>
      <c r="AO702" t="n">
        <v>1</v>
      </c>
      <c r="AP702" t="inlineStr">
        <is>
          <t>No</t>
        </is>
      </c>
      <c r="AQ702" t="inlineStr">
        <is>
          <t>No</t>
        </is>
      </c>
      <c r="AS702">
        <f>HYPERLINK("https://creighton-primo.hosted.exlibrisgroup.com/primo-explore/search?tab=default_tab&amp;search_scope=EVERYTHING&amp;vid=01CRU&amp;lang=en_US&amp;offset=0&amp;query=any,contains,991001076039702656","Catalog Record")</f>
        <v/>
      </c>
      <c r="AT702">
        <f>HYPERLINK("http://www.worldcat.org/oclc/16014121","WorldCat Record")</f>
        <v/>
      </c>
      <c r="AU702" t="inlineStr">
        <is>
          <t>11145570:eng</t>
        </is>
      </c>
      <c r="AV702" t="inlineStr">
        <is>
          <t>16014121</t>
        </is>
      </c>
      <c r="AW702" t="inlineStr">
        <is>
          <t>991001076039702656</t>
        </is>
      </c>
      <c r="AX702" t="inlineStr">
        <is>
          <t>991001076039702656</t>
        </is>
      </c>
      <c r="AY702" t="inlineStr">
        <is>
          <t>2256921160002656</t>
        </is>
      </c>
      <c r="AZ702" t="inlineStr">
        <is>
          <t>BOOK</t>
        </is>
      </c>
      <c r="BB702" t="inlineStr">
        <is>
          <t>9780774802697</t>
        </is>
      </c>
      <c r="BC702" t="inlineStr">
        <is>
          <t>32285000459387</t>
        </is>
      </c>
      <c r="BD702" t="inlineStr">
        <is>
          <t>893522265</t>
        </is>
      </c>
    </row>
    <row r="703">
      <c r="A703" t="inlineStr">
        <is>
          <t>No</t>
        </is>
      </c>
      <c r="B703" t="inlineStr">
        <is>
          <t>DF227 .R6</t>
        </is>
      </c>
      <c r="C703" t="inlineStr">
        <is>
          <t>0                      DF 0227000R  6</t>
        </is>
      </c>
      <c r="D703" t="inlineStr">
        <is>
          <t>Athens in the age of Pericles / by Charles Alexander Robinson, Jr.</t>
        </is>
      </c>
      <c r="F703" t="inlineStr">
        <is>
          <t>No</t>
        </is>
      </c>
      <c r="G703" t="inlineStr">
        <is>
          <t>1</t>
        </is>
      </c>
      <c r="H703" t="inlineStr">
        <is>
          <t>No</t>
        </is>
      </c>
      <c r="I703" t="inlineStr">
        <is>
          <t>No</t>
        </is>
      </c>
      <c r="J703" t="inlineStr">
        <is>
          <t>0</t>
        </is>
      </c>
      <c r="K703" t="inlineStr">
        <is>
          <t>Robinson, Charles Alexander, 1900-1965.</t>
        </is>
      </c>
      <c r="L703" t="inlineStr">
        <is>
          <t>Norman : University of Oklahoma Press, c1959, 1977 printing.</t>
        </is>
      </c>
      <c r="M703" t="inlineStr">
        <is>
          <t>1959</t>
        </is>
      </c>
      <c r="N703" t="inlineStr">
        <is>
          <t>1st ed.</t>
        </is>
      </c>
      <c r="O703" t="inlineStr">
        <is>
          <t>eng</t>
        </is>
      </c>
      <c r="P703" t="inlineStr">
        <is>
          <t>oku</t>
        </is>
      </c>
      <c r="Q703" t="inlineStr">
        <is>
          <t>The Centers of civilization series ; v. 1</t>
        </is>
      </c>
      <c r="R703" t="inlineStr">
        <is>
          <t xml:space="preserve">DF </t>
        </is>
      </c>
      <c r="S703" t="n">
        <v>3</v>
      </c>
      <c r="T703" t="n">
        <v>3</v>
      </c>
      <c r="U703" t="inlineStr">
        <is>
          <t>2004-03-22</t>
        </is>
      </c>
      <c r="V703" t="inlineStr">
        <is>
          <t>2004-03-22</t>
        </is>
      </c>
      <c r="W703" t="inlineStr">
        <is>
          <t>1996-05-29</t>
        </is>
      </c>
      <c r="X703" t="inlineStr">
        <is>
          <t>1996-05-29</t>
        </is>
      </c>
      <c r="Y703" t="n">
        <v>1074</v>
      </c>
      <c r="Z703" t="n">
        <v>981</v>
      </c>
      <c r="AA703" t="n">
        <v>1008</v>
      </c>
      <c r="AB703" t="n">
        <v>5</v>
      </c>
      <c r="AC703" t="n">
        <v>5</v>
      </c>
      <c r="AD703" t="n">
        <v>38</v>
      </c>
      <c r="AE703" t="n">
        <v>38</v>
      </c>
      <c r="AF703" t="n">
        <v>19</v>
      </c>
      <c r="AG703" t="n">
        <v>19</v>
      </c>
      <c r="AH703" t="n">
        <v>7</v>
      </c>
      <c r="AI703" t="n">
        <v>7</v>
      </c>
      <c r="AJ703" t="n">
        <v>18</v>
      </c>
      <c r="AK703" t="n">
        <v>18</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HYPERLINK("https://creighton-primo.hosted.exlibrisgroup.com/primo-explore/search?tab=default_tab&amp;search_scope=EVERYTHING&amp;vid=01CRU&amp;lang=en_US&amp;offset=0&amp;query=any,contains,991002705769702656","Catalog Record")</f>
        <v/>
      </c>
      <c r="AT703">
        <f>HYPERLINK("http://www.worldcat.org/oclc/406953","WorldCat Record")</f>
        <v/>
      </c>
      <c r="AU703" t="inlineStr">
        <is>
          <t>461850:eng</t>
        </is>
      </c>
      <c r="AV703" t="inlineStr">
        <is>
          <t>406953</t>
        </is>
      </c>
      <c r="AW703" t="inlineStr">
        <is>
          <t>991002705769702656</t>
        </is>
      </c>
      <c r="AX703" t="inlineStr">
        <is>
          <t>991002705769702656</t>
        </is>
      </c>
      <c r="AY703" t="inlineStr">
        <is>
          <t>2261107660002656</t>
        </is>
      </c>
      <c r="AZ703" t="inlineStr">
        <is>
          <t>BOOK</t>
        </is>
      </c>
      <c r="BB703" t="inlineStr">
        <is>
          <t>9780806109350</t>
        </is>
      </c>
      <c r="BC703" t="inlineStr">
        <is>
          <t>32285002164472</t>
        </is>
      </c>
      <c r="BD703" t="inlineStr">
        <is>
          <t>893335622</t>
        </is>
      </c>
    </row>
    <row r="704">
      <c r="A704" t="inlineStr">
        <is>
          <t>No</t>
        </is>
      </c>
      <c r="B704" t="inlineStr">
        <is>
          <t>DF227.5 .M37 1996</t>
        </is>
      </c>
      <c r="C704" t="inlineStr">
        <is>
          <t>0                      DF 0227500M  37          1996</t>
        </is>
      </c>
      <c r="D704" t="inlineStr">
        <is>
          <t>The Athenian empire restored : epigraphic and historical studies / Harold B. Mattingly.</t>
        </is>
      </c>
      <c r="F704" t="inlineStr">
        <is>
          <t>No</t>
        </is>
      </c>
      <c r="G704" t="inlineStr">
        <is>
          <t>1</t>
        </is>
      </c>
      <c r="H704" t="inlineStr">
        <is>
          <t>No</t>
        </is>
      </c>
      <c r="I704" t="inlineStr">
        <is>
          <t>No</t>
        </is>
      </c>
      <c r="J704" t="inlineStr">
        <is>
          <t>0</t>
        </is>
      </c>
      <c r="K704" t="inlineStr">
        <is>
          <t>Mattingly, Harold B., 1923-</t>
        </is>
      </c>
      <c r="L704" t="inlineStr">
        <is>
          <t>Ann Arbor : University of Michigan Press, c1996.</t>
        </is>
      </c>
      <c r="M704" t="inlineStr">
        <is>
          <t>1996</t>
        </is>
      </c>
      <c r="O704" t="inlineStr">
        <is>
          <t>eng</t>
        </is>
      </c>
      <c r="P704" t="inlineStr">
        <is>
          <t>miu</t>
        </is>
      </c>
      <c r="R704" t="inlineStr">
        <is>
          <t xml:space="preserve">DF </t>
        </is>
      </c>
      <c r="S704" t="n">
        <v>2</v>
      </c>
      <c r="T704" t="n">
        <v>2</v>
      </c>
      <c r="U704" t="inlineStr">
        <is>
          <t>2000-03-28</t>
        </is>
      </c>
      <c r="V704" t="inlineStr">
        <is>
          <t>2000-03-28</t>
        </is>
      </c>
      <c r="W704" t="inlineStr">
        <is>
          <t>1997-05-06</t>
        </is>
      </c>
      <c r="X704" t="inlineStr">
        <is>
          <t>1997-05-06</t>
        </is>
      </c>
      <c r="Y704" t="n">
        <v>311</v>
      </c>
      <c r="Z704" t="n">
        <v>228</v>
      </c>
      <c r="AA704" t="n">
        <v>236</v>
      </c>
      <c r="AB704" t="n">
        <v>3</v>
      </c>
      <c r="AC704" t="n">
        <v>3</v>
      </c>
      <c r="AD704" t="n">
        <v>16</v>
      </c>
      <c r="AE704" t="n">
        <v>16</v>
      </c>
      <c r="AF704" t="n">
        <v>3</v>
      </c>
      <c r="AG704" t="n">
        <v>3</v>
      </c>
      <c r="AH704" t="n">
        <v>5</v>
      </c>
      <c r="AI704" t="n">
        <v>5</v>
      </c>
      <c r="AJ704" t="n">
        <v>10</v>
      </c>
      <c r="AK704" t="n">
        <v>10</v>
      </c>
      <c r="AL704" t="n">
        <v>2</v>
      </c>
      <c r="AM704" t="n">
        <v>2</v>
      </c>
      <c r="AN704" t="n">
        <v>0</v>
      </c>
      <c r="AO704" t="n">
        <v>0</v>
      </c>
      <c r="AP704" t="inlineStr">
        <is>
          <t>Yes</t>
        </is>
      </c>
      <c r="AQ704" t="inlineStr">
        <is>
          <t>Yes</t>
        </is>
      </c>
      <c r="AR704">
        <f>HYPERLINK("http://catalog.hathitrust.org/Record/003124320","HathiTrust Record")</f>
        <v/>
      </c>
      <c r="AS704">
        <f>HYPERLINK("https://creighton-primo.hosted.exlibrisgroup.com/primo-explore/search?tab=default_tab&amp;search_scope=EVERYTHING&amp;vid=01CRU&amp;lang=en_US&amp;offset=0&amp;query=any,contains,991005422549702656","Catalog Record")</f>
        <v/>
      </c>
      <c r="AT704">
        <f>HYPERLINK("http://www.worldcat.org/oclc/33403141","WorldCat Record")</f>
        <v/>
      </c>
      <c r="AU704" t="inlineStr">
        <is>
          <t>20827800:eng</t>
        </is>
      </c>
      <c r="AV704" t="inlineStr">
        <is>
          <t>33403141</t>
        </is>
      </c>
      <c r="AW704" t="inlineStr">
        <is>
          <t>991005422549702656</t>
        </is>
      </c>
      <c r="AX704" t="inlineStr">
        <is>
          <t>991005422549702656</t>
        </is>
      </c>
      <c r="AY704" t="inlineStr">
        <is>
          <t>2270139540002656</t>
        </is>
      </c>
      <c r="AZ704" t="inlineStr">
        <is>
          <t>BOOK</t>
        </is>
      </c>
      <c r="BB704" t="inlineStr">
        <is>
          <t>9780472106561</t>
        </is>
      </c>
      <c r="BC704" t="inlineStr">
        <is>
          <t>32285002605052</t>
        </is>
      </c>
      <c r="BD704" t="inlineStr">
        <is>
          <t>893808435</t>
        </is>
      </c>
    </row>
    <row r="705">
      <c r="A705" t="inlineStr">
        <is>
          <t>No</t>
        </is>
      </c>
      <c r="B705" t="inlineStr">
        <is>
          <t>DF229 .T47</t>
        </is>
      </c>
      <c r="C705" t="inlineStr">
        <is>
          <t>0                      DF 0229000T  47</t>
        </is>
      </c>
      <c r="D705" t="inlineStr">
        <is>
          <t>The history of the Grecian war / written by Thucydides ; translated by Thomas Hobbes ...</t>
        </is>
      </c>
      <c r="F705" t="inlineStr">
        <is>
          <t>No</t>
        </is>
      </c>
      <c r="G705" t="inlineStr">
        <is>
          <t>1</t>
        </is>
      </c>
      <c r="H705" t="inlineStr">
        <is>
          <t>No</t>
        </is>
      </c>
      <c r="I705" t="inlineStr">
        <is>
          <t>No</t>
        </is>
      </c>
      <c r="J705" t="inlineStr">
        <is>
          <t>0</t>
        </is>
      </c>
      <c r="K705" t="inlineStr">
        <is>
          <t>Thucydides.</t>
        </is>
      </c>
      <c r="L705" t="inlineStr">
        <is>
          <t>London : Printed for G. &amp; W. B. Whittaker, J. Parker, and R. Bliss, 1823.</t>
        </is>
      </c>
      <c r="M705" t="inlineStr">
        <is>
          <t>1823</t>
        </is>
      </c>
      <c r="N705" t="inlineStr">
        <is>
          <t>New ed.</t>
        </is>
      </c>
      <c r="O705" t="inlineStr">
        <is>
          <t>eng</t>
        </is>
      </c>
      <c r="P705" t="inlineStr">
        <is>
          <t>enk</t>
        </is>
      </c>
      <c r="R705" t="inlineStr">
        <is>
          <t xml:space="preserve">DF </t>
        </is>
      </c>
      <c r="S705" t="n">
        <v>1</v>
      </c>
      <c r="T705" t="n">
        <v>1</v>
      </c>
      <c r="U705" t="inlineStr">
        <is>
          <t>2009-01-29</t>
        </is>
      </c>
      <c r="V705" t="inlineStr">
        <is>
          <t>2009-01-29</t>
        </is>
      </c>
      <c r="W705" t="inlineStr">
        <is>
          <t>1997-01-30</t>
        </is>
      </c>
      <c r="X705" t="inlineStr">
        <is>
          <t>1997-01-30</t>
        </is>
      </c>
      <c r="Y705" t="n">
        <v>10</v>
      </c>
      <c r="Z705" t="n">
        <v>6</v>
      </c>
      <c r="AA705" t="n">
        <v>32</v>
      </c>
      <c r="AB705" t="n">
        <v>1</v>
      </c>
      <c r="AC705" t="n">
        <v>1</v>
      </c>
      <c r="AD705" t="n">
        <v>0</v>
      </c>
      <c r="AE705" t="n">
        <v>1</v>
      </c>
      <c r="AF705" t="n">
        <v>0</v>
      </c>
      <c r="AG705" t="n">
        <v>0</v>
      </c>
      <c r="AH705" t="n">
        <v>0</v>
      </c>
      <c r="AI705" t="n">
        <v>0</v>
      </c>
      <c r="AJ705" t="n">
        <v>0</v>
      </c>
      <c r="AK705" t="n">
        <v>1</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HYPERLINK("https://creighton-primo.hosted.exlibrisgroup.com/primo-explore/search?tab=default_tab&amp;search_scope=EVERYTHING&amp;vid=01CRU&amp;lang=en_US&amp;offset=0&amp;query=any,contains,991000959079702656","Catalog Record")</f>
        <v/>
      </c>
      <c r="AT705">
        <f>HYPERLINK("http://www.worldcat.org/oclc/14769510","WorldCat Record")</f>
        <v/>
      </c>
      <c r="AU705" t="inlineStr">
        <is>
          <t>10567582311:eng</t>
        </is>
      </c>
      <c r="AV705" t="inlineStr">
        <is>
          <t>14769510</t>
        </is>
      </c>
      <c r="AW705" t="inlineStr">
        <is>
          <t>991000959079702656</t>
        </is>
      </c>
      <c r="AX705" t="inlineStr">
        <is>
          <t>991000959079702656</t>
        </is>
      </c>
      <c r="AY705" t="inlineStr">
        <is>
          <t>2258964820002656</t>
        </is>
      </c>
      <c r="AZ705" t="inlineStr">
        <is>
          <t>BOOK</t>
        </is>
      </c>
      <c r="BC705" t="inlineStr">
        <is>
          <t>32285002418712</t>
        </is>
      </c>
      <c r="BD705" t="inlineStr">
        <is>
          <t>893778428</t>
        </is>
      </c>
    </row>
    <row r="706">
      <c r="A706" t="inlineStr">
        <is>
          <t>No</t>
        </is>
      </c>
      <c r="B706" t="inlineStr">
        <is>
          <t>DF229.2 .D46 1972</t>
        </is>
      </c>
      <c r="C706" t="inlineStr">
        <is>
          <t>0                      DF 0229200D  46          1972</t>
        </is>
      </c>
      <c r="D706" t="inlineStr">
        <is>
          <t>The origins of the Peloponnesian War, [by] G. E. M. de Ste. Croix.</t>
        </is>
      </c>
      <c r="F706" t="inlineStr">
        <is>
          <t>No</t>
        </is>
      </c>
      <c r="G706" t="inlineStr">
        <is>
          <t>1</t>
        </is>
      </c>
      <c r="H706" t="inlineStr">
        <is>
          <t>No</t>
        </is>
      </c>
      <c r="I706" t="inlineStr">
        <is>
          <t>No</t>
        </is>
      </c>
      <c r="J706" t="inlineStr">
        <is>
          <t>0</t>
        </is>
      </c>
      <c r="K706" t="inlineStr">
        <is>
          <t>De Ste. Croix, G. E. M. (Geoffrey Ernest Maurice)</t>
        </is>
      </c>
      <c r="L706" t="inlineStr">
        <is>
          <t>Ithaca, N.Y., Cornell University Press [1972]</t>
        </is>
      </c>
      <c r="M706" t="inlineStr">
        <is>
          <t>1972</t>
        </is>
      </c>
      <c r="O706" t="inlineStr">
        <is>
          <t>eng</t>
        </is>
      </c>
      <c r="P706" t="inlineStr">
        <is>
          <t>nyu</t>
        </is>
      </c>
      <c r="R706" t="inlineStr">
        <is>
          <t xml:space="preserve">DF </t>
        </is>
      </c>
      <c r="S706" t="n">
        <v>2</v>
      </c>
      <c r="T706" t="n">
        <v>2</v>
      </c>
      <c r="U706" t="inlineStr">
        <is>
          <t>2004-10-30</t>
        </is>
      </c>
      <c r="V706" t="inlineStr">
        <is>
          <t>2004-10-30</t>
        </is>
      </c>
      <c r="W706" t="inlineStr">
        <is>
          <t>1997-01-30</t>
        </is>
      </c>
      <c r="X706" t="inlineStr">
        <is>
          <t>1997-01-30</t>
        </is>
      </c>
      <c r="Y706" t="n">
        <v>652</v>
      </c>
      <c r="Z706" t="n">
        <v>596</v>
      </c>
      <c r="AA706" t="n">
        <v>670</v>
      </c>
      <c r="AB706" t="n">
        <v>4</v>
      </c>
      <c r="AC706" t="n">
        <v>5</v>
      </c>
      <c r="AD706" t="n">
        <v>28</v>
      </c>
      <c r="AE706" t="n">
        <v>35</v>
      </c>
      <c r="AF706" t="n">
        <v>11</v>
      </c>
      <c r="AG706" t="n">
        <v>13</v>
      </c>
      <c r="AH706" t="n">
        <v>7</v>
      </c>
      <c r="AI706" t="n">
        <v>9</v>
      </c>
      <c r="AJ706" t="n">
        <v>14</v>
      </c>
      <c r="AK706" t="n">
        <v>19</v>
      </c>
      <c r="AL706" t="n">
        <v>3</v>
      </c>
      <c r="AM706" t="n">
        <v>4</v>
      </c>
      <c r="AN706" t="n">
        <v>0</v>
      </c>
      <c r="AO706" t="n">
        <v>0</v>
      </c>
      <c r="AP706" t="inlineStr">
        <is>
          <t>No</t>
        </is>
      </c>
      <c r="AQ706" t="inlineStr">
        <is>
          <t>Yes</t>
        </is>
      </c>
      <c r="AR706">
        <f>HYPERLINK("http://catalog.hathitrust.org/Record/000572908","HathiTrust Record")</f>
        <v/>
      </c>
      <c r="AS706">
        <f>HYPERLINK("https://creighton-primo.hosted.exlibrisgroup.com/primo-explore/search?tab=default_tab&amp;search_scope=EVERYTHING&amp;vid=01CRU&amp;lang=en_US&amp;offset=0&amp;query=any,contains,991002177259702656","Catalog Record")</f>
        <v/>
      </c>
      <c r="AT706">
        <f>HYPERLINK("http://www.worldcat.org/oclc/278301","WorldCat Record")</f>
        <v/>
      </c>
      <c r="AU706" t="inlineStr">
        <is>
          <t>730495:eng</t>
        </is>
      </c>
      <c r="AV706" t="inlineStr">
        <is>
          <t>278301</t>
        </is>
      </c>
      <c r="AW706" t="inlineStr">
        <is>
          <t>991002177259702656</t>
        </is>
      </c>
      <c r="AX706" t="inlineStr">
        <is>
          <t>991002177259702656</t>
        </is>
      </c>
      <c r="AY706" t="inlineStr">
        <is>
          <t>2261199110002656</t>
        </is>
      </c>
      <c r="AZ706" t="inlineStr">
        <is>
          <t>BOOK</t>
        </is>
      </c>
      <c r="BB706" t="inlineStr">
        <is>
          <t>9780801407192</t>
        </is>
      </c>
      <c r="BC706" t="inlineStr">
        <is>
          <t>32285002418829</t>
        </is>
      </c>
      <c r="BD706" t="inlineStr">
        <is>
          <t>893609548</t>
        </is>
      </c>
    </row>
    <row r="707">
      <c r="A707" t="inlineStr">
        <is>
          <t>No</t>
        </is>
      </c>
      <c r="B707" t="inlineStr">
        <is>
          <t>DF229.2 .K3</t>
        </is>
      </c>
      <c r="C707" t="inlineStr">
        <is>
          <t>0                      DF 0229200K  3</t>
        </is>
      </c>
      <c r="D707" t="inlineStr">
        <is>
          <t>The outbreak of the Peloponnesian War.</t>
        </is>
      </c>
      <c r="F707" t="inlineStr">
        <is>
          <t>No</t>
        </is>
      </c>
      <c r="G707" t="inlineStr">
        <is>
          <t>1</t>
        </is>
      </c>
      <c r="H707" t="inlineStr">
        <is>
          <t>No</t>
        </is>
      </c>
      <c r="I707" t="inlineStr">
        <is>
          <t>Yes</t>
        </is>
      </c>
      <c r="J707" t="inlineStr">
        <is>
          <t>0</t>
        </is>
      </c>
      <c r="K707" t="inlineStr">
        <is>
          <t>Kagan, Donald.</t>
        </is>
      </c>
      <c r="L707" t="inlineStr">
        <is>
          <t>Ithaca [N.Y.] Cornell University Press [1969]</t>
        </is>
      </c>
      <c r="M707" t="inlineStr">
        <is>
          <t>1969</t>
        </is>
      </c>
      <c r="O707" t="inlineStr">
        <is>
          <t>eng</t>
        </is>
      </c>
      <c r="P707" t="inlineStr">
        <is>
          <t>nyu</t>
        </is>
      </c>
      <c r="R707" t="inlineStr">
        <is>
          <t xml:space="preserve">DF </t>
        </is>
      </c>
      <c r="S707" t="n">
        <v>3</v>
      </c>
      <c r="T707" t="n">
        <v>3</v>
      </c>
      <c r="U707" t="inlineStr">
        <is>
          <t>2004-11-12</t>
        </is>
      </c>
      <c r="V707" t="inlineStr">
        <is>
          <t>2004-11-12</t>
        </is>
      </c>
      <c r="W707" t="inlineStr">
        <is>
          <t>1997-01-30</t>
        </is>
      </c>
      <c r="X707" t="inlineStr">
        <is>
          <t>1997-01-30</t>
        </is>
      </c>
      <c r="Y707" t="n">
        <v>1183</v>
      </c>
      <c r="Z707" t="n">
        <v>987</v>
      </c>
      <c r="AA707" t="n">
        <v>1374</v>
      </c>
      <c r="AB707" t="n">
        <v>8</v>
      </c>
      <c r="AC707" t="n">
        <v>13</v>
      </c>
      <c r="AD707" t="n">
        <v>51</v>
      </c>
      <c r="AE707" t="n">
        <v>62</v>
      </c>
      <c r="AF707" t="n">
        <v>23</v>
      </c>
      <c r="AG707" t="n">
        <v>27</v>
      </c>
      <c r="AH707" t="n">
        <v>10</v>
      </c>
      <c r="AI707" t="n">
        <v>11</v>
      </c>
      <c r="AJ707" t="n">
        <v>26</v>
      </c>
      <c r="AK707" t="n">
        <v>27</v>
      </c>
      <c r="AL707" t="n">
        <v>6</v>
      </c>
      <c r="AM707" t="n">
        <v>10</v>
      </c>
      <c r="AN707" t="n">
        <v>0</v>
      </c>
      <c r="AO707" t="n">
        <v>1</v>
      </c>
      <c r="AP707" t="inlineStr">
        <is>
          <t>No</t>
        </is>
      </c>
      <c r="AQ707" t="inlineStr">
        <is>
          <t>No</t>
        </is>
      </c>
      <c r="AS707">
        <f>HYPERLINK("https://creighton-primo.hosted.exlibrisgroup.com/primo-explore/search?tab=default_tab&amp;search_scope=EVERYTHING&amp;vid=01CRU&amp;lang=en_US&amp;offset=0&amp;query=any,contains,991000055599702656","Catalog Record")</f>
        <v/>
      </c>
      <c r="AT707">
        <f>HYPERLINK("http://www.worldcat.org/oclc/23453","WorldCat Record")</f>
        <v/>
      </c>
      <c r="AU707" t="inlineStr">
        <is>
          <t>450033:eng</t>
        </is>
      </c>
      <c r="AV707" t="inlineStr">
        <is>
          <t>23453</t>
        </is>
      </c>
      <c r="AW707" t="inlineStr">
        <is>
          <t>991000055599702656</t>
        </is>
      </c>
      <c r="AX707" t="inlineStr">
        <is>
          <t>991000055599702656</t>
        </is>
      </c>
      <c r="AY707" t="inlineStr">
        <is>
          <t>2265514190002656</t>
        </is>
      </c>
      <c r="AZ707" t="inlineStr">
        <is>
          <t>BOOK</t>
        </is>
      </c>
      <c r="BB707" t="inlineStr">
        <is>
          <t>9780801405013</t>
        </is>
      </c>
      <c r="BC707" t="inlineStr">
        <is>
          <t>32285002418837</t>
        </is>
      </c>
      <c r="BD707" t="inlineStr">
        <is>
          <t>893701789</t>
        </is>
      </c>
    </row>
    <row r="708">
      <c r="A708" t="inlineStr">
        <is>
          <t>No</t>
        </is>
      </c>
      <c r="B708" t="inlineStr">
        <is>
          <t>DF229.2 .P65 1997</t>
        </is>
      </c>
      <c r="C708" t="inlineStr">
        <is>
          <t>0                      DF 0229200P  65          1997</t>
        </is>
      </c>
      <c r="D708" t="inlineStr">
        <is>
          <t>Polis and polemos : essays on politics, war, and history in Ancient Greece, in honor of Donald Kagan / edited by Charles D. Hamilton and Peter Krentz.</t>
        </is>
      </c>
      <c r="F708" t="inlineStr">
        <is>
          <t>No</t>
        </is>
      </c>
      <c r="G708" t="inlineStr">
        <is>
          <t>1</t>
        </is>
      </c>
      <c r="H708" t="inlineStr">
        <is>
          <t>No</t>
        </is>
      </c>
      <c r="I708" t="inlineStr">
        <is>
          <t>No</t>
        </is>
      </c>
      <c r="J708" t="inlineStr">
        <is>
          <t>0</t>
        </is>
      </c>
      <c r="L708" t="inlineStr">
        <is>
          <t>Claremont, Calif. : Regina Books, c1997.</t>
        </is>
      </c>
      <c r="M708" t="inlineStr">
        <is>
          <t>1997</t>
        </is>
      </c>
      <c r="O708" t="inlineStr">
        <is>
          <t>eng</t>
        </is>
      </c>
      <c r="P708" t="inlineStr">
        <is>
          <t>cau</t>
        </is>
      </c>
      <c r="R708" t="inlineStr">
        <is>
          <t xml:space="preserve">DF </t>
        </is>
      </c>
      <c r="S708" t="n">
        <v>2</v>
      </c>
      <c r="T708" t="n">
        <v>2</v>
      </c>
      <c r="U708" t="inlineStr">
        <is>
          <t>2004-04-24</t>
        </is>
      </c>
      <c r="V708" t="inlineStr">
        <is>
          <t>2004-04-24</t>
        </is>
      </c>
      <c r="W708" t="inlineStr">
        <is>
          <t>1998-06-17</t>
        </is>
      </c>
      <c r="X708" t="inlineStr">
        <is>
          <t>1998-06-17</t>
        </is>
      </c>
      <c r="Y708" t="n">
        <v>220</v>
      </c>
      <c r="Z708" t="n">
        <v>141</v>
      </c>
      <c r="AA708" t="n">
        <v>145</v>
      </c>
      <c r="AB708" t="n">
        <v>1</v>
      </c>
      <c r="AC708" t="n">
        <v>1</v>
      </c>
      <c r="AD708" t="n">
        <v>9</v>
      </c>
      <c r="AE708" t="n">
        <v>9</v>
      </c>
      <c r="AF708" t="n">
        <v>0</v>
      </c>
      <c r="AG708" t="n">
        <v>0</v>
      </c>
      <c r="AH708" t="n">
        <v>5</v>
      </c>
      <c r="AI708" t="n">
        <v>5</v>
      </c>
      <c r="AJ708" t="n">
        <v>6</v>
      </c>
      <c r="AK708" t="n">
        <v>6</v>
      </c>
      <c r="AL708" t="n">
        <v>0</v>
      </c>
      <c r="AM708" t="n">
        <v>0</v>
      </c>
      <c r="AN708" t="n">
        <v>0</v>
      </c>
      <c r="AO708" t="n">
        <v>0</v>
      </c>
      <c r="AP708" t="inlineStr">
        <is>
          <t>No</t>
        </is>
      </c>
      <c r="AQ708" t="inlineStr">
        <is>
          <t>Yes</t>
        </is>
      </c>
      <c r="AR708">
        <f>HYPERLINK("http://catalog.hathitrust.org/Record/003180632","HathiTrust Record")</f>
        <v/>
      </c>
      <c r="AS708">
        <f>HYPERLINK("https://creighton-primo.hosted.exlibrisgroup.com/primo-explore/search?tab=default_tab&amp;search_scope=EVERYTHING&amp;vid=01CRU&amp;lang=en_US&amp;offset=0&amp;query=any,contains,991002787349702656","Catalog Record")</f>
        <v/>
      </c>
      <c r="AT708">
        <f>HYPERLINK("http://www.worldcat.org/oclc/36597649","WorldCat Record")</f>
        <v/>
      </c>
      <c r="AU708" t="inlineStr">
        <is>
          <t>905610982:eng</t>
        </is>
      </c>
      <c r="AV708" t="inlineStr">
        <is>
          <t>36597649</t>
        </is>
      </c>
      <c r="AW708" t="inlineStr">
        <is>
          <t>991002787349702656</t>
        </is>
      </c>
      <c r="AX708" t="inlineStr">
        <is>
          <t>991002787349702656</t>
        </is>
      </c>
      <c r="AY708" t="inlineStr">
        <is>
          <t>2256957790002656</t>
        </is>
      </c>
      <c r="AZ708" t="inlineStr">
        <is>
          <t>BOOK</t>
        </is>
      </c>
      <c r="BB708" t="inlineStr">
        <is>
          <t>9780941690751</t>
        </is>
      </c>
      <c r="BC708" t="inlineStr">
        <is>
          <t>32285003421566</t>
        </is>
      </c>
      <c r="BD708" t="inlineStr">
        <is>
          <t>893616578</t>
        </is>
      </c>
    </row>
    <row r="709">
      <c r="A709" t="inlineStr">
        <is>
          <t>No</t>
        </is>
      </c>
      <c r="B709" t="inlineStr">
        <is>
          <t>DF229.3 .K33</t>
        </is>
      </c>
      <c r="C709" t="inlineStr">
        <is>
          <t>0                      DF 0229300K  33</t>
        </is>
      </c>
      <c r="D709" t="inlineStr">
        <is>
          <t>The Archidamian War / Donald Kagan.</t>
        </is>
      </c>
      <c r="F709" t="inlineStr">
        <is>
          <t>No</t>
        </is>
      </c>
      <c r="G709" t="inlineStr">
        <is>
          <t>1</t>
        </is>
      </c>
      <c r="H709" t="inlineStr">
        <is>
          <t>No</t>
        </is>
      </c>
      <c r="I709" t="inlineStr">
        <is>
          <t>Yes</t>
        </is>
      </c>
      <c r="J709" t="inlineStr">
        <is>
          <t>0</t>
        </is>
      </c>
      <c r="K709" t="inlineStr">
        <is>
          <t>Kagan, Donald.</t>
        </is>
      </c>
      <c r="L709" t="inlineStr">
        <is>
          <t>Ithaca : Cornell University Press, 1974.</t>
        </is>
      </c>
      <c r="M709" t="inlineStr">
        <is>
          <t>1974</t>
        </is>
      </c>
      <c r="O709" t="inlineStr">
        <is>
          <t>eng</t>
        </is>
      </c>
      <c r="P709" t="inlineStr">
        <is>
          <t>nyu</t>
        </is>
      </c>
      <c r="R709" t="inlineStr">
        <is>
          <t xml:space="preserve">DF </t>
        </is>
      </c>
      <c r="S709" t="n">
        <v>1</v>
      </c>
      <c r="T709" t="n">
        <v>1</v>
      </c>
      <c r="U709" t="inlineStr">
        <is>
          <t>2004-11-12</t>
        </is>
      </c>
      <c r="V709" t="inlineStr">
        <is>
          <t>2004-11-12</t>
        </is>
      </c>
      <c r="W709" t="inlineStr">
        <is>
          <t>1997-01-30</t>
        </is>
      </c>
      <c r="X709" t="inlineStr">
        <is>
          <t>1997-01-30</t>
        </is>
      </c>
      <c r="Y709" t="n">
        <v>686</v>
      </c>
      <c r="Z709" t="n">
        <v>560</v>
      </c>
      <c r="AA709" t="n">
        <v>1140</v>
      </c>
      <c r="AB709" t="n">
        <v>5</v>
      </c>
      <c r="AC709" t="n">
        <v>10</v>
      </c>
      <c r="AD709" t="n">
        <v>32</v>
      </c>
      <c r="AE709" t="n">
        <v>54</v>
      </c>
      <c r="AF709" t="n">
        <v>13</v>
      </c>
      <c r="AG709" t="n">
        <v>24</v>
      </c>
      <c r="AH709" t="n">
        <v>8</v>
      </c>
      <c r="AI709" t="n">
        <v>11</v>
      </c>
      <c r="AJ709" t="n">
        <v>18</v>
      </c>
      <c r="AK709" t="n">
        <v>24</v>
      </c>
      <c r="AL709" t="n">
        <v>4</v>
      </c>
      <c r="AM709" t="n">
        <v>8</v>
      </c>
      <c r="AN709" t="n">
        <v>0</v>
      </c>
      <c r="AO709" t="n">
        <v>1</v>
      </c>
      <c r="AP709" t="inlineStr">
        <is>
          <t>No</t>
        </is>
      </c>
      <c r="AQ709" t="inlineStr">
        <is>
          <t>Yes</t>
        </is>
      </c>
      <c r="AR709">
        <f>HYPERLINK("http://catalog.hathitrust.org/Record/000572913","HathiTrust Record")</f>
        <v/>
      </c>
      <c r="AS709">
        <f>HYPERLINK("https://creighton-primo.hosted.exlibrisgroup.com/primo-explore/search?tab=default_tab&amp;search_scope=EVERYTHING&amp;vid=01CRU&amp;lang=en_US&amp;offset=0&amp;query=any,contains,991003559829702656","Catalog Record")</f>
        <v/>
      </c>
      <c r="AT709">
        <f>HYPERLINK("http://www.worldcat.org/oclc/1129967","WorldCat Record")</f>
        <v/>
      </c>
      <c r="AU709" t="inlineStr">
        <is>
          <t>1056030:eng</t>
        </is>
      </c>
      <c r="AV709" t="inlineStr">
        <is>
          <t>1129967</t>
        </is>
      </c>
      <c r="AW709" t="inlineStr">
        <is>
          <t>991003559829702656</t>
        </is>
      </c>
      <c r="AX709" t="inlineStr">
        <is>
          <t>991003559829702656</t>
        </is>
      </c>
      <c r="AY709" t="inlineStr">
        <is>
          <t>2272435020002656</t>
        </is>
      </c>
      <c r="AZ709" t="inlineStr">
        <is>
          <t>BOOK</t>
        </is>
      </c>
      <c r="BB709" t="inlineStr">
        <is>
          <t>9780801408892</t>
        </is>
      </c>
      <c r="BC709" t="inlineStr">
        <is>
          <t>32285002418845</t>
        </is>
      </c>
      <c r="BD709" t="inlineStr">
        <is>
          <t>893234291</t>
        </is>
      </c>
    </row>
    <row r="710">
      <c r="A710" t="inlineStr">
        <is>
          <t>No</t>
        </is>
      </c>
      <c r="B710" t="inlineStr">
        <is>
          <t>DF229.57 .K33 1981</t>
        </is>
      </c>
      <c r="C710" t="inlineStr">
        <is>
          <t>0                      DF 0229570K  33          1981</t>
        </is>
      </c>
      <c r="D710" t="inlineStr">
        <is>
          <t>The Peace of Nicias and the Sicilian Expedition / Donald Kagan.</t>
        </is>
      </c>
      <c r="F710" t="inlineStr">
        <is>
          <t>No</t>
        </is>
      </c>
      <c r="G710" t="inlineStr">
        <is>
          <t>1</t>
        </is>
      </c>
      <c r="H710" t="inlineStr">
        <is>
          <t>No</t>
        </is>
      </c>
      <c r="I710" t="inlineStr">
        <is>
          <t>No</t>
        </is>
      </c>
      <c r="J710" t="inlineStr">
        <is>
          <t>0</t>
        </is>
      </c>
      <c r="K710" t="inlineStr">
        <is>
          <t>Kagan, Donald.</t>
        </is>
      </c>
      <c r="L710" t="inlineStr">
        <is>
          <t>Ithaca : Cornell University Press, 1981.</t>
        </is>
      </c>
      <c r="M710" t="inlineStr">
        <is>
          <t>1981</t>
        </is>
      </c>
      <c r="O710" t="inlineStr">
        <is>
          <t>eng</t>
        </is>
      </c>
      <c r="P710" t="inlineStr">
        <is>
          <t>nyu</t>
        </is>
      </c>
      <c r="R710" t="inlineStr">
        <is>
          <t xml:space="preserve">DF </t>
        </is>
      </c>
      <c r="S710" t="n">
        <v>2</v>
      </c>
      <c r="T710" t="n">
        <v>2</v>
      </c>
      <c r="U710" t="inlineStr">
        <is>
          <t>2006-11-02</t>
        </is>
      </c>
      <c r="V710" t="inlineStr">
        <is>
          <t>2006-11-02</t>
        </is>
      </c>
      <c r="W710" t="inlineStr">
        <is>
          <t>1991-02-19</t>
        </is>
      </c>
      <c r="X710" t="inlineStr">
        <is>
          <t>1991-02-19</t>
        </is>
      </c>
      <c r="Y710" t="n">
        <v>771</v>
      </c>
      <c r="Z710" t="n">
        <v>631</v>
      </c>
      <c r="AA710" t="n">
        <v>1071</v>
      </c>
      <c r="AB710" t="n">
        <v>5</v>
      </c>
      <c r="AC710" t="n">
        <v>10</v>
      </c>
      <c r="AD710" t="n">
        <v>38</v>
      </c>
      <c r="AE710" t="n">
        <v>52</v>
      </c>
      <c r="AF710" t="n">
        <v>18</v>
      </c>
      <c r="AG710" t="n">
        <v>23</v>
      </c>
      <c r="AH710" t="n">
        <v>7</v>
      </c>
      <c r="AI710" t="n">
        <v>10</v>
      </c>
      <c r="AJ710" t="n">
        <v>21</v>
      </c>
      <c r="AK710" t="n">
        <v>23</v>
      </c>
      <c r="AL710" t="n">
        <v>4</v>
      </c>
      <c r="AM710" t="n">
        <v>8</v>
      </c>
      <c r="AN710" t="n">
        <v>0</v>
      </c>
      <c r="AO710" t="n">
        <v>1</v>
      </c>
      <c r="AP710" t="inlineStr">
        <is>
          <t>No</t>
        </is>
      </c>
      <c r="AQ710" t="inlineStr">
        <is>
          <t>Yes</t>
        </is>
      </c>
      <c r="AR710">
        <f>HYPERLINK("http://catalog.hathitrust.org/Record/000182620","HathiTrust Record")</f>
        <v/>
      </c>
      <c r="AS710">
        <f>HYPERLINK("https://creighton-primo.hosted.exlibrisgroup.com/primo-explore/search?tab=default_tab&amp;search_scope=EVERYTHING&amp;vid=01CRU&amp;lang=en_US&amp;offset=0&amp;query=any,contains,991005117349702656","Catalog Record")</f>
        <v/>
      </c>
      <c r="AT710">
        <f>HYPERLINK("http://www.worldcat.org/oclc/7464209","WorldCat Record")</f>
        <v/>
      </c>
      <c r="AU710" t="inlineStr">
        <is>
          <t>450644:eng</t>
        </is>
      </c>
      <c r="AV710" t="inlineStr">
        <is>
          <t>7464209</t>
        </is>
      </c>
      <c r="AW710" t="inlineStr">
        <is>
          <t>991005117349702656</t>
        </is>
      </c>
      <c r="AX710" t="inlineStr">
        <is>
          <t>991005117349702656</t>
        </is>
      </c>
      <c r="AY710" t="inlineStr">
        <is>
          <t>2262433780002656</t>
        </is>
      </c>
      <c r="AZ710" t="inlineStr">
        <is>
          <t>BOOK</t>
        </is>
      </c>
      <c r="BB710" t="inlineStr">
        <is>
          <t>9780801413674</t>
        </is>
      </c>
      <c r="BC710" t="inlineStr">
        <is>
          <t>32285000520030</t>
        </is>
      </c>
      <c r="BD710" t="inlineStr">
        <is>
          <t>893870544</t>
        </is>
      </c>
    </row>
    <row r="711">
      <c r="A711" t="inlineStr">
        <is>
          <t>No</t>
        </is>
      </c>
      <c r="B711" t="inlineStr">
        <is>
          <t>DF229.67 .G7</t>
        </is>
      </c>
      <c r="C711" t="inlineStr">
        <is>
          <t>0                      DF 0229670G  7</t>
        </is>
      </c>
      <c r="D711" t="inlineStr">
        <is>
          <t>Armada from Athens / Peter Green.</t>
        </is>
      </c>
      <c r="F711" t="inlineStr">
        <is>
          <t>No</t>
        </is>
      </c>
      <c r="G711" t="inlineStr">
        <is>
          <t>1</t>
        </is>
      </c>
      <c r="H711" t="inlineStr">
        <is>
          <t>No</t>
        </is>
      </c>
      <c r="I711" t="inlineStr">
        <is>
          <t>No</t>
        </is>
      </c>
      <c r="J711" t="inlineStr">
        <is>
          <t>0</t>
        </is>
      </c>
      <c r="K711" t="inlineStr">
        <is>
          <t>Green, Peter, 1924-</t>
        </is>
      </c>
      <c r="L711" t="inlineStr">
        <is>
          <t>Garden City, N.Y. : Doubleday, 1970.</t>
        </is>
      </c>
      <c r="M711" t="inlineStr">
        <is>
          <t>1970</t>
        </is>
      </c>
      <c r="N711" t="inlineStr">
        <is>
          <t>[1st ed.]</t>
        </is>
      </c>
      <c r="O711" t="inlineStr">
        <is>
          <t>eng</t>
        </is>
      </c>
      <c r="P711" t="inlineStr">
        <is>
          <t>nyu</t>
        </is>
      </c>
      <c r="Q711" t="inlineStr">
        <is>
          <t>Crossroads of world history series</t>
        </is>
      </c>
      <c r="R711" t="inlineStr">
        <is>
          <t xml:space="preserve">DF </t>
        </is>
      </c>
      <c r="S711" t="n">
        <v>1</v>
      </c>
      <c r="T711" t="n">
        <v>1</v>
      </c>
      <c r="U711" t="inlineStr">
        <is>
          <t>2006-04-02</t>
        </is>
      </c>
      <c r="V711" t="inlineStr">
        <is>
          <t>2006-04-02</t>
        </is>
      </c>
      <c r="W711" t="inlineStr">
        <is>
          <t>1991-02-19</t>
        </is>
      </c>
      <c r="X711" t="inlineStr">
        <is>
          <t>1991-02-19</t>
        </is>
      </c>
      <c r="Y711" t="n">
        <v>526</v>
      </c>
      <c r="Z711" t="n">
        <v>489</v>
      </c>
      <c r="AA711" t="n">
        <v>573</v>
      </c>
      <c r="AB711" t="n">
        <v>3</v>
      </c>
      <c r="AC711" t="n">
        <v>3</v>
      </c>
      <c r="AD711" t="n">
        <v>16</v>
      </c>
      <c r="AE711" t="n">
        <v>23</v>
      </c>
      <c r="AF711" t="n">
        <v>6</v>
      </c>
      <c r="AG711" t="n">
        <v>9</v>
      </c>
      <c r="AH711" t="n">
        <v>3</v>
      </c>
      <c r="AI711" t="n">
        <v>6</v>
      </c>
      <c r="AJ711" t="n">
        <v>7</v>
      </c>
      <c r="AK711" t="n">
        <v>11</v>
      </c>
      <c r="AL711" t="n">
        <v>2</v>
      </c>
      <c r="AM711" t="n">
        <v>2</v>
      </c>
      <c r="AN711" t="n">
        <v>0</v>
      </c>
      <c r="AO711" t="n">
        <v>0</v>
      </c>
      <c r="AP711" t="inlineStr">
        <is>
          <t>No</t>
        </is>
      </c>
      <c r="AQ711" t="inlineStr">
        <is>
          <t>Yes</t>
        </is>
      </c>
      <c r="AR711">
        <f>HYPERLINK("http://catalog.hathitrust.org/Record/000572916","HathiTrust Record")</f>
        <v/>
      </c>
      <c r="AS711">
        <f>HYPERLINK("https://creighton-primo.hosted.exlibrisgroup.com/primo-explore/search?tab=default_tab&amp;search_scope=EVERYTHING&amp;vid=01CRU&amp;lang=en_US&amp;offset=0&amp;query=any,contains,991000461079702656","Catalog Record")</f>
        <v/>
      </c>
      <c r="AT711">
        <f>HYPERLINK("http://www.worldcat.org/oclc/78534","WorldCat Record")</f>
        <v/>
      </c>
      <c r="AU711" t="inlineStr">
        <is>
          <t>1255502:eng</t>
        </is>
      </c>
      <c r="AV711" t="inlineStr">
        <is>
          <t>78534</t>
        </is>
      </c>
      <c r="AW711" t="inlineStr">
        <is>
          <t>991000461079702656</t>
        </is>
      </c>
      <c r="AX711" t="inlineStr">
        <is>
          <t>991000461079702656</t>
        </is>
      </c>
      <c r="AY711" t="inlineStr">
        <is>
          <t>2255322230002656</t>
        </is>
      </c>
      <c r="AZ711" t="inlineStr">
        <is>
          <t>BOOK</t>
        </is>
      </c>
      <c r="BC711" t="inlineStr">
        <is>
          <t>32285000520048</t>
        </is>
      </c>
      <c r="BD711" t="inlineStr">
        <is>
          <t>893314945</t>
        </is>
      </c>
    </row>
    <row r="712">
      <c r="A712" t="inlineStr">
        <is>
          <t>No</t>
        </is>
      </c>
      <c r="B712" t="inlineStr">
        <is>
          <t>DF229.T5 C7 1934</t>
        </is>
      </c>
      <c r="C712" t="inlineStr">
        <is>
          <t>0                      DF 0229000T  5                  C  7           1934</t>
        </is>
      </c>
      <c r="D712" t="inlineStr">
        <is>
          <t>The complete writings of Thucydides. The Peloponnesian war. The unabridged Crawley translation; with an introduction by Josephy Gavorse ...</t>
        </is>
      </c>
      <c r="F712" t="inlineStr">
        <is>
          <t>No</t>
        </is>
      </c>
      <c r="G712" t="inlineStr">
        <is>
          <t>1</t>
        </is>
      </c>
      <c r="H712" t="inlineStr">
        <is>
          <t>No</t>
        </is>
      </c>
      <c r="I712" t="inlineStr">
        <is>
          <t>No</t>
        </is>
      </c>
      <c r="J712" t="inlineStr">
        <is>
          <t>0</t>
        </is>
      </c>
      <c r="K712" t="inlineStr">
        <is>
          <t>Thucydides.</t>
        </is>
      </c>
      <c r="L712" t="inlineStr">
        <is>
          <t>New York, The Modern Library [c1934]</t>
        </is>
      </c>
      <c r="M712" t="inlineStr">
        <is>
          <t>1934</t>
        </is>
      </c>
      <c r="O712" t="inlineStr">
        <is>
          <t>eng</t>
        </is>
      </c>
      <c r="P712" t="inlineStr">
        <is>
          <t>nyu</t>
        </is>
      </c>
      <c r="Q712" t="inlineStr">
        <is>
          <t>The modern library of the world's best books</t>
        </is>
      </c>
      <c r="R712" t="inlineStr">
        <is>
          <t xml:space="preserve">DF </t>
        </is>
      </c>
      <c r="S712" t="n">
        <v>1</v>
      </c>
      <c r="T712" t="n">
        <v>1</v>
      </c>
      <c r="U712" t="inlineStr">
        <is>
          <t>2010-04-21</t>
        </is>
      </c>
      <c r="V712" t="inlineStr">
        <is>
          <t>2010-04-21</t>
        </is>
      </c>
      <c r="W712" t="inlineStr">
        <is>
          <t>1997-01-30</t>
        </is>
      </c>
      <c r="X712" t="inlineStr">
        <is>
          <t>1997-01-30</t>
        </is>
      </c>
      <c r="Y712" t="n">
        <v>737</v>
      </c>
      <c r="Z712" t="n">
        <v>678</v>
      </c>
      <c r="AA712" t="n">
        <v>991</v>
      </c>
      <c r="AB712" t="n">
        <v>4</v>
      </c>
      <c r="AC712" t="n">
        <v>6</v>
      </c>
      <c r="AD712" t="n">
        <v>37</v>
      </c>
      <c r="AE712" t="n">
        <v>40</v>
      </c>
      <c r="AF712" t="n">
        <v>17</v>
      </c>
      <c r="AG712" t="n">
        <v>19</v>
      </c>
      <c r="AH712" t="n">
        <v>6</v>
      </c>
      <c r="AI712" t="n">
        <v>7</v>
      </c>
      <c r="AJ712" t="n">
        <v>19</v>
      </c>
      <c r="AK712" t="n">
        <v>19</v>
      </c>
      <c r="AL712" t="n">
        <v>3</v>
      </c>
      <c r="AM712" t="n">
        <v>3</v>
      </c>
      <c r="AN712" t="n">
        <v>0</v>
      </c>
      <c r="AO712" t="n">
        <v>0</v>
      </c>
      <c r="AP712" t="inlineStr">
        <is>
          <t>No</t>
        </is>
      </c>
      <c r="AQ712" t="inlineStr">
        <is>
          <t>Yes</t>
        </is>
      </c>
      <c r="AR712">
        <f>HYPERLINK("http://catalog.hathitrust.org/Record/102106247","HathiTrust Record")</f>
        <v/>
      </c>
      <c r="AS712">
        <f>HYPERLINK("https://creighton-primo.hosted.exlibrisgroup.com/primo-explore/search?tab=default_tab&amp;search_scope=EVERYTHING&amp;vid=01CRU&amp;lang=en_US&amp;offset=0&amp;query=any,contains,991002698059702656","Catalog Record")</f>
        <v/>
      </c>
      <c r="AT712">
        <f>HYPERLINK("http://www.worldcat.org/oclc/404396","WorldCat Record")</f>
        <v/>
      </c>
      <c r="AU712" t="inlineStr">
        <is>
          <t>10568211454:eng</t>
        </is>
      </c>
      <c r="AV712" t="inlineStr">
        <is>
          <t>404396</t>
        </is>
      </c>
      <c r="AW712" t="inlineStr">
        <is>
          <t>991002698059702656</t>
        </is>
      </c>
      <c r="AX712" t="inlineStr">
        <is>
          <t>991002698059702656</t>
        </is>
      </c>
      <c r="AY712" t="inlineStr">
        <is>
          <t>2260049340002656</t>
        </is>
      </c>
      <c r="AZ712" t="inlineStr">
        <is>
          <t>BOOK</t>
        </is>
      </c>
      <c r="BC712" t="inlineStr">
        <is>
          <t>32285002418746</t>
        </is>
      </c>
      <c r="BD712" t="inlineStr">
        <is>
          <t>893780109</t>
        </is>
      </c>
    </row>
    <row r="713">
      <c r="A713" t="inlineStr">
        <is>
          <t>No</t>
        </is>
      </c>
      <c r="B713" t="inlineStr">
        <is>
          <t>DF229.T5 D3 1851</t>
        </is>
      </c>
      <c r="C713" t="inlineStr">
        <is>
          <t>0                      DF 0229000T  5                  D  3           1851</t>
        </is>
      </c>
      <c r="D713" t="inlineStr">
        <is>
          <t>The history of the Peloponnesian War / by Thucydides ; a new and literal version, from the text of Arnold, collated with Bekker, Göller, and Poppo by the Rev. Henry Dale.</t>
        </is>
      </c>
      <c r="E713" t="inlineStr">
        <is>
          <t>V.1</t>
        </is>
      </c>
      <c r="F713" t="inlineStr">
        <is>
          <t>Yes</t>
        </is>
      </c>
      <c r="G713" t="inlineStr">
        <is>
          <t>1</t>
        </is>
      </c>
      <c r="H713" t="inlineStr">
        <is>
          <t>No</t>
        </is>
      </c>
      <c r="I713" t="inlineStr">
        <is>
          <t>No</t>
        </is>
      </c>
      <c r="J713" t="inlineStr">
        <is>
          <t>0</t>
        </is>
      </c>
      <c r="K713" t="inlineStr">
        <is>
          <t>Thucydides.</t>
        </is>
      </c>
      <c r="L713" t="inlineStr">
        <is>
          <t>London : H.G. Bohn, 1851-1852.</t>
        </is>
      </c>
      <c r="M713" t="inlineStr">
        <is>
          <t>1851</t>
        </is>
      </c>
      <c r="O713" t="inlineStr">
        <is>
          <t>eng</t>
        </is>
      </c>
      <c r="P713" t="inlineStr">
        <is>
          <t>enk</t>
        </is>
      </c>
      <c r="R713" t="inlineStr">
        <is>
          <t xml:space="preserve">DF </t>
        </is>
      </c>
      <c r="S713" t="n">
        <v>0</v>
      </c>
      <c r="T713" t="n">
        <v>1</v>
      </c>
      <c r="V713" t="inlineStr">
        <is>
          <t>2006-03-16</t>
        </is>
      </c>
      <c r="W713" t="inlineStr">
        <is>
          <t>1997-01-30</t>
        </is>
      </c>
      <c r="X713" t="inlineStr">
        <is>
          <t>1997-01-30</t>
        </is>
      </c>
      <c r="Y713" t="n">
        <v>13</v>
      </c>
      <c r="Z713" t="n">
        <v>10</v>
      </c>
      <c r="AA713" t="n">
        <v>11</v>
      </c>
      <c r="AB713" t="n">
        <v>1</v>
      </c>
      <c r="AC713" t="n">
        <v>1</v>
      </c>
      <c r="AD713" t="n">
        <v>1</v>
      </c>
      <c r="AE713" t="n">
        <v>1</v>
      </c>
      <c r="AF713" t="n">
        <v>0</v>
      </c>
      <c r="AG713" t="n">
        <v>0</v>
      </c>
      <c r="AH713" t="n">
        <v>0</v>
      </c>
      <c r="AI713" t="n">
        <v>0</v>
      </c>
      <c r="AJ713" t="n">
        <v>1</v>
      </c>
      <c r="AK713" t="n">
        <v>1</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HYPERLINK("https://creighton-primo.hosted.exlibrisgroup.com/primo-explore/search?tab=default_tab&amp;search_scope=EVERYTHING&amp;vid=01CRU&amp;lang=en_US&amp;offset=0&amp;query=any,contains,991005238889702656","Catalog Record")</f>
        <v/>
      </c>
      <c r="AT713">
        <f>HYPERLINK("http://www.worldcat.org/oclc/8400864","WorldCat Record")</f>
        <v/>
      </c>
      <c r="AU713" t="inlineStr">
        <is>
          <t>10628004762:eng</t>
        </is>
      </c>
      <c r="AV713" t="inlineStr">
        <is>
          <t>8400864</t>
        </is>
      </c>
      <c r="AW713" t="inlineStr">
        <is>
          <t>991005238889702656</t>
        </is>
      </c>
      <c r="AX713" t="inlineStr">
        <is>
          <t>991005238889702656</t>
        </is>
      </c>
      <c r="AY713" t="inlineStr">
        <is>
          <t>2266814640002656</t>
        </is>
      </c>
      <c r="AZ713" t="inlineStr">
        <is>
          <t>BOOK</t>
        </is>
      </c>
      <c r="BC713" t="inlineStr">
        <is>
          <t>32285002418753</t>
        </is>
      </c>
      <c r="BD713" t="inlineStr">
        <is>
          <t>893795841</t>
        </is>
      </c>
    </row>
    <row r="714">
      <c r="A714" t="inlineStr">
        <is>
          <t>No</t>
        </is>
      </c>
      <c r="B714" t="inlineStr">
        <is>
          <t>DF229.T5 D3 1851</t>
        </is>
      </c>
      <c r="C714" t="inlineStr">
        <is>
          <t>0                      DF 0229000T  5                  D  3           1851</t>
        </is>
      </c>
      <c r="D714" t="inlineStr">
        <is>
          <t>The history of the Peloponnesian War / by Thucydides ; a new and literal version, from the text of Arnold, collated with Bekker, Göller, and Poppo by the Rev. Henry Dale.</t>
        </is>
      </c>
      <c r="E714" t="inlineStr">
        <is>
          <t>V.2</t>
        </is>
      </c>
      <c r="F714" t="inlineStr">
        <is>
          <t>Yes</t>
        </is>
      </c>
      <c r="G714" t="inlineStr">
        <is>
          <t>1</t>
        </is>
      </c>
      <c r="H714" t="inlineStr">
        <is>
          <t>No</t>
        </is>
      </c>
      <c r="I714" t="inlineStr">
        <is>
          <t>No</t>
        </is>
      </c>
      <c r="J714" t="inlineStr">
        <is>
          <t>0</t>
        </is>
      </c>
      <c r="K714" t="inlineStr">
        <is>
          <t>Thucydides.</t>
        </is>
      </c>
      <c r="L714" t="inlineStr">
        <is>
          <t>London : H.G. Bohn, 1851-1852.</t>
        </is>
      </c>
      <c r="M714" t="inlineStr">
        <is>
          <t>1851</t>
        </is>
      </c>
      <c r="O714" t="inlineStr">
        <is>
          <t>eng</t>
        </is>
      </c>
      <c r="P714" t="inlineStr">
        <is>
          <t>enk</t>
        </is>
      </c>
      <c r="R714" t="inlineStr">
        <is>
          <t xml:space="preserve">DF </t>
        </is>
      </c>
      <c r="S714" t="n">
        <v>1</v>
      </c>
      <c r="T714" t="n">
        <v>1</v>
      </c>
      <c r="U714" t="inlineStr">
        <is>
          <t>2006-03-16</t>
        </is>
      </c>
      <c r="V714" t="inlineStr">
        <is>
          <t>2006-03-16</t>
        </is>
      </c>
      <c r="W714" t="inlineStr">
        <is>
          <t>1997-01-30</t>
        </is>
      </c>
      <c r="X714" t="inlineStr">
        <is>
          <t>1997-01-30</t>
        </is>
      </c>
      <c r="Y714" t="n">
        <v>13</v>
      </c>
      <c r="Z714" t="n">
        <v>10</v>
      </c>
      <c r="AA714" t="n">
        <v>11</v>
      </c>
      <c r="AB714" t="n">
        <v>1</v>
      </c>
      <c r="AC714" t="n">
        <v>1</v>
      </c>
      <c r="AD714" t="n">
        <v>1</v>
      </c>
      <c r="AE714" t="n">
        <v>1</v>
      </c>
      <c r="AF714" t="n">
        <v>0</v>
      </c>
      <c r="AG714" t="n">
        <v>0</v>
      </c>
      <c r="AH714" t="n">
        <v>0</v>
      </c>
      <c r="AI714" t="n">
        <v>0</v>
      </c>
      <c r="AJ714" t="n">
        <v>1</v>
      </c>
      <c r="AK714" t="n">
        <v>1</v>
      </c>
      <c r="AL714" t="n">
        <v>0</v>
      </c>
      <c r="AM714" t="n">
        <v>0</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HYPERLINK("https://creighton-primo.hosted.exlibrisgroup.com/primo-explore/search?tab=default_tab&amp;search_scope=EVERYTHING&amp;vid=01CRU&amp;lang=en_US&amp;offset=0&amp;query=any,contains,991005238889702656","Catalog Record")</f>
        <v/>
      </c>
      <c r="AT714">
        <f>HYPERLINK("http://www.worldcat.org/oclc/8400864","WorldCat Record")</f>
        <v/>
      </c>
      <c r="AU714" t="inlineStr">
        <is>
          <t>10628004762:eng</t>
        </is>
      </c>
      <c r="AV714" t="inlineStr">
        <is>
          <t>8400864</t>
        </is>
      </c>
      <c r="AW714" t="inlineStr">
        <is>
          <t>991005238889702656</t>
        </is>
      </c>
      <c r="AX714" t="inlineStr">
        <is>
          <t>991005238889702656</t>
        </is>
      </c>
      <c r="AY714" t="inlineStr">
        <is>
          <t>2266814640002656</t>
        </is>
      </c>
      <c r="AZ714" t="inlineStr">
        <is>
          <t>BOOK</t>
        </is>
      </c>
      <c r="BC714" t="inlineStr">
        <is>
          <t>32285002418761</t>
        </is>
      </c>
      <c r="BD714" t="inlineStr">
        <is>
          <t>893789663</t>
        </is>
      </c>
    </row>
    <row r="715">
      <c r="A715" t="inlineStr">
        <is>
          <t>No</t>
        </is>
      </c>
      <c r="B715" t="inlineStr">
        <is>
          <t>DF229.T5 W54 1985</t>
        </is>
      </c>
      <c r="C715" t="inlineStr">
        <is>
          <t>0                      DF 0229000T  5                  W  54          1985</t>
        </is>
      </c>
      <c r="D715" t="inlineStr">
        <is>
          <t>Thucydides The Peloponnesian war, book I-book II, ch. 65 : a companion to the English translation by Rex Warner, with introduction &amp; commentary / by Thomas Wiedemann.</t>
        </is>
      </c>
      <c r="F715" t="inlineStr">
        <is>
          <t>No</t>
        </is>
      </c>
      <c r="G715" t="inlineStr">
        <is>
          <t>1</t>
        </is>
      </c>
      <c r="H715" t="inlineStr">
        <is>
          <t>No</t>
        </is>
      </c>
      <c r="I715" t="inlineStr">
        <is>
          <t>No</t>
        </is>
      </c>
      <c r="J715" t="inlineStr">
        <is>
          <t>0</t>
        </is>
      </c>
      <c r="K715" t="inlineStr">
        <is>
          <t>Thucydides.</t>
        </is>
      </c>
      <c r="L715" t="inlineStr">
        <is>
          <t>Bristol : Bristol Classical Press, 1985.</t>
        </is>
      </c>
      <c r="M715" t="inlineStr">
        <is>
          <t>1985</t>
        </is>
      </c>
      <c r="O715" t="inlineStr">
        <is>
          <t>eng</t>
        </is>
      </c>
      <c r="P715" t="inlineStr">
        <is>
          <t>enk</t>
        </is>
      </c>
      <c r="Q715" t="inlineStr">
        <is>
          <t>Classical studies series</t>
        </is>
      </c>
      <c r="R715" t="inlineStr">
        <is>
          <t xml:space="preserve">DF </t>
        </is>
      </c>
      <c r="S715" t="n">
        <v>4</v>
      </c>
      <c r="T715" t="n">
        <v>4</v>
      </c>
      <c r="U715" t="inlineStr">
        <is>
          <t>1994-03-28</t>
        </is>
      </c>
      <c r="V715" t="inlineStr">
        <is>
          <t>1994-03-28</t>
        </is>
      </c>
      <c r="W715" t="inlineStr">
        <is>
          <t>1991-06-19</t>
        </is>
      </c>
      <c r="X715" t="inlineStr">
        <is>
          <t>1991-06-19</t>
        </is>
      </c>
      <c r="Y715" t="n">
        <v>123</v>
      </c>
      <c r="Z715" t="n">
        <v>77</v>
      </c>
      <c r="AA715" t="n">
        <v>82</v>
      </c>
      <c r="AB715" t="n">
        <v>1</v>
      </c>
      <c r="AC715" t="n">
        <v>1</v>
      </c>
      <c r="AD715" t="n">
        <v>5</v>
      </c>
      <c r="AE715" t="n">
        <v>5</v>
      </c>
      <c r="AF715" t="n">
        <v>0</v>
      </c>
      <c r="AG715" t="n">
        <v>0</v>
      </c>
      <c r="AH715" t="n">
        <v>2</v>
      </c>
      <c r="AI715" t="n">
        <v>2</v>
      </c>
      <c r="AJ715" t="n">
        <v>4</v>
      </c>
      <c r="AK715" t="n">
        <v>4</v>
      </c>
      <c r="AL715" t="n">
        <v>0</v>
      </c>
      <c r="AM715" t="n">
        <v>0</v>
      </c>
      <c r="AN715" t="n">
        <v>0</v>
      </c>
      <c r="AO715" t="n">
        <v>0</v>
      </c>
      <c r="AP715" t="inlineStr">
        <is>
          <t>No</t>
        </is>
      </c>
      <c r="AQ715" t="inlineStr">
        <is>
          <t>Yes</t>
        </is>
      </c>
      <c r="AR715">
        <f>HYPERLINK("http://catalog.hathitrust.org/Record/000399054","HathiTrust Record")</f>
        <v/>
      </c>
      <c r="AS715">
        <f>HYPERLINK("https://creighton-primo.hosted.exlibrisgroup.com/primo-explore/search?tab=default_tab&amp;search_scope=EVERYTHING&amp;vid=01CRU&amp;lang=en_US&amp;offset=0&amp;query=any,contains,991000750649702656","Catalog Record")</f>
        <v/>
      </c>
      <c r="AT715">
        <f>HYPERLINK("http://www.worldcat.org/oclc/12911957","WorldCat Record")</f>
        <v/>
      </c>
      <c r="AU715" t="inlineStr">
        <is>
          <t>375327776:eng</t>
        </is>
      </c>
      <c r="AV715" t="inlineStr">
        <is>
          <t>12911957</t>
        </is>
      </c>
      <c r="AW715" t="inlineStr">
        <is>
          <t>991000750649702656</t>
        </is>
      </c>
      <c r="AX715" t="inlineStr">
        <is>
          <t>991000750649702656</t>
        </is>
      </c>
      <c r="AY715" t="inlineStr">
        <is>
          <t>2256415880002656</t>
        </is>
      </c>
      <c r="AZ715" t="inlineStr">
        <is>
          <t>BOOK</t>
        </is>
      </c>
      <c r="BB715" t="inlineStr">
        <is>
          <t>9780862921705</t>
        </is>
      </c>
      <c r="BC715" t="inlineStr">
        <is>
          <t>32285000631100</t>
        </is>
      </c>
      <c r="BD715" t="inlineStr">
        <is>
          <t>893595849</t>
        </is>
      </c>
    </row>
    <row r="716">
      <c r="A716" t="inlineStr">
        <is>
          <t>No</t>
        </is>
      </c>
      <c r="B716" t="inlineStr">
        <is>
          <t>DF229.T55 R52 1998</t>
        </is>
      </c>
      <c r="C716" t="inlineStr">
        <is>
          <t>0                      DF 0229000T  55                 R  52          1998</t>
        </is>
      </c>
      <c r="D716" t="inlineStr">
        <is>
          <t>History IV.1-V.24 / Thucydides ; edited with translation and commentary by P.J. Rhodes.</t>
        </is>
      </c>
      <c r="F716" t="inlineStr">
        <is>
          <t>No</t>
        </is>
      </c>
      <c r="G716" t="inlineStr">
        <is>
          <t>1</t>
        </is>
      </c>
      <c r="H716" t="inlineStr">
        <is>
          <t>No</t>
        </is>
      </c>
      <c r="I716" t="inlineStr">
        <is>
          <t>No</t>
        </is>
      </c>
      <c r="J716" t="inlineStr">
        <is>
          <t>0</t>
        </is>
      </c>
      <c r="K716" t="inlineStr">
        <is>
          <t>Thucydides.</t>
        </is>
      </c>
      <c r="L716" t="inlineStr">
        <is>
          <t>Warminster, Wiltshire, England : Aris &amp; Phillips, c1998.</t>
        </is>
      </c>
      <c r="M716" t="inlineStr">
        <is>
          <t>1998</t>
        </is>
      </c>
      <c r="O716" t="inlineStr">
        <is>
          <t>eng</t>
        </is>
      </c>
      <c r="P716" t="inlineStr">
        <is>
          <t>enk</t>
        </is>
      </c>
      <c r="Q716" t="inlineStr">
        <is>
          <t>Classical texts, 0953-7961</t>
        </is>
      </c>
      <c r="R716" t="inlineStr">
        <is>
          <t xml:space="preserve">DF </t>
        </is>
      </c>
      <c r="S716" t="n">
        <v>1</v>
      </c>
      <c r="T716" t="n">
        <v>1</v>
      </c>
      <c r="U716" t="inlineStr">
        <is>
          <t>2001-02-07</t>
        </is>
      </c>
      <c r="V716" t="inlineStr">
        <is>
          <t>2001-02-07</t>
        </is>
      </c>
      <c r="W716" t="inlineStr">
        <is>
          <t>2001-02-07</t>
        </is>
      </c>
      <c r="X716" t="inlineStr">
        <is>
          <t>2001-02-07</t>
        </is>
      </c>
      <c r="Y716" t="n">
        <v>156</v>
      </c>
      <c r="Z716" t="n">
        <v>106</v>
      </c>
      <c r="AA716" t="n">
        <v>312</v>
      </c>
      <c r="AB716" t="n">
        <v>2</v>
      </c>
      <c r="AC716" t="n">
        <v>2</v>
      </c>
      <c r="AD716" t="n">
        <v>6</v>
      </c>
      <c r="AE716" t="n">
        <v>19</v>
      </c>
      <c r="AF716" t="n">
        <v>1</v>
      </c>
      <c r="AG716" t="n">
        <v>8</v>
      </c>
      <c r="AH716" t="n">
        <v>2</v>
      </c>
      <c r="AI716" t="n">
        <v>6</v>
      </c>
      <c r="AJ716" t="n">
        <v>4</v>
      </c>
      <c r="AK716" t="n">
        <v>11</v>
      </c>
      <c r="AL716" t="n">
        <v>1</v>
      </c>
      <c r="AM716" t="n">
        <v>1</v>
      </c>
      <c r="AN716" t="n">
        <v>0</v>
      </c>
      <c r="AO716" t="n">
        <v>0</v>
      </c>
      <c r="AP716" t="inlineStr">
        <is>
          <t>No</t>
        </is>
      </c>
      <c r="AQ716" t="inlineStr">
        <is>
          <t>Yes</t>
        </is>
      </c>
      <c r="AR716">
        <f>HYPERLINK("http://catalog.hathitrust.org/Record/003479297","HathiTrust Record")</f>
        <v/>
      </c>
      <c r="AS716">
        <f>HYPERLINK("https://creighton-primo.hosted.exlibrisgroup.com/primo-explore/search?tab=default_tab&amp;search_scope=EVERYTHING&amp;vid=01CRU&amp;lang=en_US&amp;offset=0&amp;query=any,contains,991003256569702656","Catalog Record")</f>
        <v/>
      </c>
      <c r="AT716">
        <f>HYPERLINK("http://www.worldcat.org/oclc/50665426","WorldCat Record")</f>
        <v/>
      </c>
      <c r="AU716" t="inlineStr">
        <is>
          <t>479602073:eng</t>
        </is>
      </c>
      <c r="AV716" t="inlineStr">
        <is>
          <t>50665426</t>
        </is>
      </c>
      <c r="AW716" t="inlineStr">
        <is>
          <t>991003256569702656</t>
        </is>
      </c>
      <c r="AX716" t="inlineStr">
        <is>
          <t>991003256569702656</t>
        </is>
      </c>
      <c r="AY716" t="inlineStr">
        <is>
          <t>2257700000002656</t>
        </is>
      </c>
      <c r="AZ716" t="inlineStr">
        <is>
          <t>BOOK</t>
        </is>
      </c>
      <c r="BB716" t="inlineStr">
        <is>
          <t>9780856683978</t>
        </is>
      </c>
      <c r="BC716" t="inlineStr">
        <is>
          <t>32285004294285</t>
        </is>
      </c>
      <c r="BD716" t="inlineStr">
        <is>
          <t>893717473</t>
        </is>
      </c>
    </row>
    <row r="717">
      <c r="A717" t="inlineStr">
        <is>
          <t>No</t>
        </is>
      </c>
      <c r="B717" t="inlineStr">
        <is>
          <t>DF229.T55 W66 1993</t>
        </is>
      </c>
      <c r="C717" t="inlineStr">
        <is>
          <t>0                      DF 0229000T  55                 W  66          1993</t>
        </is>
      </c>
      <c r="D717" t="inlineStr">
        <is>
          <t>On justice, power, and human nature : the essence of Thucydides' History of the Peloponnesian War / Thucydides ; edited and translated by Paul Woodruff.</t>
        </is>
      </c>
      <c r="F717" t="inlineStr">
        <is>
          <t>No</t>
        </is>
      </c>
      <c r="G717" t="inlineStr">
        <is>
          <t>1</t>
        </is>
      </c>
      <c r="H717" t="inlineStr">
        <is>
          <t>No</t>
        </is>
      </c>
      <c r="I717" t="inlineStr">
        <is>
          <t>No</t>
        </is>
      </c>
      <c r="J717" t="inlineStr">
        <is>
          <t>0</t>
        </is>
      </c>
      <c r="K717" t="inlineStr">
        <is>
          <t>Thucydides.</t>
        </is>
      </c>
      <c r="L717" t="inlineStr">
        <is>
          <t>Indianapolis : Hackett, c1993.</t>
        </is>
      </c>
      <c r="M717" t="inlineStr">
        <is>
          <t>1993</t>
        </is>
      </c>
      <c r="O717" t="inlineStr">
        <is>
          <t>eng</t>
        </is>
      </c>
      <c r="P717" t="inlineStr">
        <is>
          <t>inu</t>
        </is>
      </c>
      <c r="R717" t="inlineStr">
        <is>
          <t xml:space="preserve">DF </t>
        </is>
      </c>
      <c r="S717" t="n">
        <v>6</v>
      </c>
      <c r="T717" t="n">
        <v>6</v>
      </c>
      <c r="U717" t="inlineStr">
        <is>
          <t>2006-04-28</t>
        </is>
      </c>
      <c r="V717" t="inlineStr">
        <is>
          <t>2006-04-28</t>
        </is>
      </c>
      <c r="W717" t="inlineStr">
        <is>
          <t>1994-04-21</t>
        </is>
      </c>
      <c r="X717" t="inlineStr">
        <is>
          <t>1994-04-21</t>
        </is>
      </c>
      <c r="Y717" t="n">
        <v>330</v>
      </c>
      <c r="Z717" t="n">
        <v>265</v>
      </c>
      <c r="AA717" t="n">
        <v>287</v>
      </c>
      <c r="AB717" t="n">
        <v>3</v>
      </c>
      <c r="AC717" t="n">
        <v>4</v>
      </c>
      <c r="AD717" t="n">
        <v>13</v>
      </c>
      <c r="AE717" t="n">
        <v>15</v>
      </c>
      <c r="AF717" t="n">
        <v>4</v>
      </c>
      <c r="AG717" t="n">
        <v>5</v>
      </c>
      <c r="AH717" t="n">
        <v>5</v>
      </c>
      <c r="AI717" t="n">
        <v>5</v>
      </c>
      <c r="AJ717" t="n">
        <v>7</v>
      </c>
      <c r="AK717" t="n">
        <v>7</v>
      </c>
      <c r="AL717" t="n">
        <v>2</v>
      </c>
      <c r="AM717" t="n">
        <v>3</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HYPERLINK("https://creighton-primo.hosted.exlibrisgroup.com/primo-explore/search?tab=default_tab&amp;search_scope=EVERYTHING&amp;vid=01CRU&amp;lang=en_US&amp;offset=0&amp;query=any,contains,991002222459702656","Catalog Record")</f>
        <v/>
      </c>
      <c r="AT717">
        <f>HYPERLINK("http://www.worldcat.org/oclc/28632204","WorldCat Record")</f>
        <v/>
      </c>
      <c r="AU717" t="inlineStr">
        <is>
          <t>10596528987:eng</t>
        </is>
      </c>
      <c r="AV717" t="inlineStr">
        <is>
          <t>28632204</t>
        </is>
      </c>
      <c r="AW717" t="inlineStr">
        <is>
          <t>991002222459702656</t>
        </is>
      </c>
      <c r="AX717" t="inlineStr">
        <is>
          <t>991002222459702656</t>
        </is>
      </c>
      <c r="AY717" t="inlineStr">
        <is>
          <t>2269192800002656</t>
        </is>
      </c>
      <c r="AZ717" t="inlineStr">
        <is>
          <t>BOOK</t>
        </is>
      </c>
      <c r="BB717" t="inlineStr">
        <is>
          <t>9780872201682</t>
        </is>
      </c>
      <c r="BC717" t="inlineStr">
        <is>
          <t>32285001876910</t>
        </is>
      </c>
      <c r="BD717" t="inlineStr">
        <is>
          <t>893427353</t>
        </is>
      </c>
    </row>
    <row r="718">
      <c r="A718" t="inlineStr">
        <is>
          <t>No</t>
        </is>
      </c>
      <c r="B718" t="inlineStr">
        <is>
          <t>DF229.T6 A3</t>
        </is>
      </c>
      <c r="C718" t="inlineStr">
        <is>
          <t>0                      DF 0229000T  6                  A  3</t>
        </is>
      </c>
      <c r="D718" t="inlineStr">
        <is>
          <t>Thucydides; a study in historical reality, by G.F. Abbott.</t>
        </is>
      </c>
      <c r="F718" t="inlineStr">
        <is>
          <t>No</t>
        </is>
      </c>
      <c r="G718" t="inlineStr">
        <is>
          <t>1</t>
        </is>
      </c>
      <c r="H718" t="inlineStr">
        <is>
          <t>No</t>
        </is>
      </c>
      <c r="I718" t="inlineStr">
        <is>
          <t>No</t>
        </is>
      </c>
      <c r="J718" t="inlineStr">
        <is>
          <t>0</t>
        </is>
      </c>
      <c r="K718" t="inlineStr">
        <is>
          <t>Abbott, G. F. (George Frederick)</t>
        </is>
      </c>
      <c r="L718" t="inlineStr">
        <is>
          <t>London, G. Routledge &amp; Sons, ltd., 1925.</t>
        </is>
      </c>
      <c r="M718" t="inlineStr">
        <is>
          <t>1925</t>
        </is>
      </c>
      <c r="O718" t="inlineStr">
        <is>
          <t>eng</t>
        </is>
      </c>
      <c r="P718" t="inlineStr">
        <is>
          <t>enk</t>
        </is>
      </c>
      <c r="R718" t="inlineStr">
        <is>
          <t xml:space="preserve">DF </t>
        </is>
      </c>
      <c r="S718" t="n">
        <v>3</v>
      </c>
      <c r="T718" t="n">
        <v>3</v>
      </c>
      <c r="U718" t="inlineStr">
        <is>
          <t>2002-10-25</t>
        </is>
      </c>
      <c r="V718" t="inlineStr">
        <is>
          <t>2002-10-25</t>
        </is>
      </c>
      <c r="W718" t="inlineStr">
        <is>
          <t>1997-01-30</t>
        </is>
      </c>
      <c r="X718" t="inlineStr">
        <is>
          <t>1997-01-30</t>
        </is>
      </c>
      <c r="Y718" t="n">
        <v>197</v>
      </c>
      <c r="Z718" t="n">
        <v>130</v>
      </c>
      <c r="AA718" t="n">
        <v>251</v>
      </c>
      <c r="AB718" t="n">
        <v>1</v>
      </c>
      <c r="AC718" t="n">
        <v>2</v>
      </c>
      <c r="AD718" t="n">
        <v>6</v>
      </c>
      <c r="AE718" t="n">
        <v>14</v>
      </c>
      <c r="AF718" t="n">
        <v>3</v>
      </c>
      <c r="AG718" t="n">
        <v>5</v>
      </c>
      <c r="AH718" t="n">
        <v>0</v>
      </c>
      <c r="AI718" t="n">
        <v>2</v>
      </c>
      <c r="AJ718" t="n">
        <v>5</v>
      </c>
      <c r="AK718" t="n">
        <v>8</v>
      </c>
      <c r="AL718" t="n">
        <v>0</v>
      </c>
      <c r="AM718" t="n">
        <v>1</v>
      </c>
      <c r="AN718" t="n">
        <v>0</v>
      </c>
      <c r="AO718" t="n">
        <v>0</v>
      </c>
      <c r="AP718" t="inlineStr">
        <is>
          <t>No</t>
        </is>
      </c>
      <c r="AQ718" t="inlineStr">
        <is>
          <t>No</t>
        </is>
      </c>
      <c r="AR718">
        <f>HYPERLINK("http://catalog.hathitrust.org/Record/000399114","HathiTrust Record")</f>
        <v/>
      </c>
      <c r="AS718">
        <f>HYPERLINK("https://creighton-primo.hosted.exlibrisgroup.com/primo-explore/search?tab=default_tab&amp;search_scope=EVERYTHING&amp;vid=01CRU&amp;lang=en_US&amp;offset=0&amp;query=any,contains,991003867879702656","Catalog Record")</f>
        <v/>
      </c>
      <c r="AT718">
        <f>HYPERLINK("http://www.worldcat.org/oclc/1683468","WorldCat Record")</f>
        <v/>
      </c>
      <c r="AU718" t="inlineStr">
        <is>
          <t>138444:eng</t>
        </is>
      </c>
      <c r="AV718" t="inlineStr">
        <is>
          <t>1683468</t>
        </is>
      </c>
      <c r="AW718" t="inlineStr">
        <is>
          <t>991003867879702656</t>
        </is>
      </c>
      <c r="AX718" t="inlineStr">
        <is>
          <t>991003867879702656</t>
        </is>
      </c>
      <c r="AY718" t="inlineStr">
        <is>
          <t>2272147050002656</t>
        </is>
      </c>
      <c r="AZ718" t="inlineStr">
        <is>
          <t>BOOK</t>
        </is>
      </c>
      <c r="BC718" t="inlineStr">
        <is>
          <t>32285002418795</t>
        </is>
      </c>
      <c r="BD718" t="inlineStr">
        <is>
          <t>893868973</t>
        </is>
      </c>
    </row>
    <row r="719">
      <c r="A719" t="inlineStr">
        <is>
          <t>No</t>
        </is>
      </c>
      <c r="B719" t="inlineStr">
        <is>
          <t>DF229.T6 C6 1965</t>
        </is>
      </c>
      <c r="C719" t="inlineStr">
        <is>
          <t>0                      DF 0229000T  6                  C  6           1965</t>
        </is>
      </c>
      <c r="D719" t="inlineStr">
        <is>
          <t>Thucydides and the science of history.</t>
        </is>
      </c>
      <c r="F719" t="inlineStr">
        <is>
          <t>No</t>
        </is>
      </c>
      <c r="G719" t="inlineStr">
        <is>
          <t>1</t>
        </is>
      </c>
      <c r="H719" t="inlineStr">
        <is>
          <t>No</t>
        </is>
      </c>
      <c r="I719" t="inlineStr">
        <is>
          <t>No</t>
        </is>
      </c>
      <c r="J719" t="inlineStr">
        <is>
          <t>0</t>
        </is>
      </c>
      <c r="K719" t="inlineStr">
        <is>
          <t>Cochrane, Charles Norris, 1889-1945.</t>
        </is>
      </c>
      <c r="L719" t="inlineStr">
        <is>
          <t>New York : Russell &amp; Russell, 1965.</t>
        </is>
      </c>
      <c r="M719" t="inlineStr">
        <is>
          <t>1965</t>
        </is>
      </c>
      <c r="O719" t="inlineStr">
        <is>
          <t>eng</t>
        </is>
      </c>
      <c r="P719" t="inlineStr">
        <is>
          <t>nyu</t>
        </is>
      </c>
      <c r="R719" t="inlineStr">
        <is>
          <t xml:space="preserve">DF </t>
        </is>
      </c>
      <c r="S719" t="n">
        <v>2</v>
      </c>
      <c r="T719" t="n">
        <v>2</v>
      </c>
      <c r="U719" t="inlineStr">
        <is>
          <t>2002-11-06</t>
        </is>
      </c>
      <c r="V719" t="inlineStr">
        <is>
          <t>2002-11-06</t>
        </is>
      </c>
      <c r="W719" t="inlineStr">
        <is>
          <t>1993-06-17</t>
        </is>
      </c>
      <c r="X719" t="inlineStr">
        <is>
          <t>1993-06-17</t>
        </is>
      </c>
      <c r="Y719" t="n">
        <v>385</v>
      </c>
      <c r="Z719" t="n">
        <v>347</v>
      </c>
      <c r="AA719" t="n">
        <v>531</v>
      </c>
      <c r="AB719" t="n">
        <v>2</v>
      </c>
      <c r="AC719" t="n">
        <v>3</v>
      </c>
      <c r="AD719" t="n">
        <v>18</v>
      </c>
      <c r="AE719" t="n">
        <v>33</v>
      </c>
      <c r="AF719" t="n">
        <v>8</v>
      </c>
      <c r="AG719" t="n">
        <v>12</v>
      </c>
      <c r="AH719" t="n">
        <v>3</v>
      </c>
      <c r="AI719" t="n">
        <v>8</v>
      </c>
      <c r="AJ719" t="n">
        <v>12</v>
      </c>
      <c r="AK719" t="n">
        <v>20</v>
      </c>
      <c r="AL719" t="n">
        <v>1</v>
      </c>
      <c r="AM719" t="n">
        <v>2</v>
      </c>
      <c r="AN719" t="n">
        <v>0</v>
      </c>
      <c r="AO719" t="n">
        <v>0</v>
      </c>
      <c r="AP719" t="inlineStr">
        <is>
          <t>No</t>
        </is>
      </c>
      <c r="AQ719" t="inlineStr">
        <is>
          <t>Yes</t>
        </is>
      </c>
      <c r="AR719">
        <f>HYPERLINK("http://catalog.hathitrust.org/Record/001058465","HathiTrust Record")</f>
        <v/>
      </c>
      <c r="AS719">
        <f>HYPERLINK("https://creighton-primo.hosted.exlibrisgroup.com/primo-explore/search?tab=default_tab&amp;search_scope=EVERYTHING&amp;vid=01CRU&amp;lang=en_US&amp;offset=0&amp;query=any,contains,991002699879702656","Catalog Record")</f>
        <v/>
      </c>
      <c r="AT719">
        <f>HYPERLINK("http://www.worldcat.org/oclc/405159","WorldCat Record")</f>
        <v/>
      </c>
      <c r="AU719" t="inlineStr">
        <is>
          <t>1429595:eng</t>
        </is>
      </c>
      <c r="AV719" t="inlineStr">
        <is>
          <t>405159</t>
        </is>
      </c>
      <c r="AW719" t="inlineStr">
        <is>
          <t>991002699879702656</t>
        </is>
      </c>
      <c r="AX719" t="inlineStr">
        <is>
          <t>991002699879702656</t>
        </is>
      </c>
      <c r="AY719" t="inlineStr">
        <is>
          <t>2260513910002656</t>
        </is>
      </c>
      <c r="AZ719" t="inlineStr">
        <is>
          <t>BOOK</t>
        </is>
      </c>
      <c r="BC719" t="inlineStr">
        <is>
          <t>32285001696797</t>
        </is>
      </c>
      <c r="BD719" t="inlineStr">
        <is>
          <t>893233305</t>
        </is>
      </c>
    </row>
    <row r="720">
      <c r="A720" t="inlineStr">
        <is>
          <t>No</t>
        </is>
      </c>
      <c r="B720" t="inlineStr">
        <is>
          <t>DF229.T6 C63 1981</t>
        </is>
      </c>
      <c r="C720" t="inlineStr">
        <is>
          <t>0                      DF 0229000T  6                  C  63          1981</t>
        </is>
      </c>
      <c r="D720" t="inlineStr">
        <is>
          <t>The human thing : the speeches and principles of Thucydides' History / Marc Cogan.</t>
        </is>
      </c>
      <c r="F720" t="inlineStr">
        <is>
          <t>No</t>
        </is>
      </c>
      <c r="G720" t="inlineStr">
        <is>
          <t>1</t>
        </is>
      </c>
      <c r="H720" t="inlineStr">
        <is>
          <t>No</t>
        </is>
      </c>
      <c r="I720" t="inlineStr">
        <is>
          <t>No</t>
        </is>
      </c>
      <c r="J720" t="inlineStr">
        <is>
          <t>0</t>
        </is>
      </c>
      <c r="K720" t="inlineStr">
        <is>
          <t>Cogan, Marc.</t>
        </is>
      </c>
      <c r="L720" t="inlineStr">
        <is>
          <t>Chicago : University of Chicago Press, c1981.</t>
        </is>
      </c>
      <c r="M720" t="inlineStr">
        <is>
          <t>1981</t>
        </is>
      </c>
      <c r="O720" t="inlineStr">
        <is>
          <t>eng</t>
        </is>
      </c>
      <c r="P720" t="inlineStr">
        <is>
          <t>ilu</t>
        </is>
      </c>
      <c r="R720" t="inlineStr">
        <is>
          <t xml:space="preserve">DF </t>
        </is>
      </c>
      <c r="S720" t="n">
        <v>6</v>
      </c>
      <c r="T720" t="n">
        <v>6</v>
      </c>
      <c r="U720" t="inlineStr">
        <is>
          <t>2006-04-04</t>
        </is>
      </c>
      <c r="V720" t="inlineStr">
        <is>
          <t>2006-04-04</t>
        </is>
      </c>
      <c r="W720" t="inlineStr">
        <is>
          <t>1991-02-15</t>
        </is>
      </c>
      <c r="X720" t="inlineStr">
        <is>
          <t>1991-02-15</t>
        </is>
      </c>
      <c r="Y720" t="n">
        <v>554</v>
      </c>
      <c r="Z720" t="n">
        <v>422</v>
      </c>
      <c r="AA720" t="n">
        <v>422</v>
      </c>
      <c r="AB720" t="n">
        <v>3</v>
      </c>
      <c r="AC720" t="n">
        <v>3</v>
      </c>
      <c r="AD720" t="n">
        <v>24</v>
      </c>
      <c r="AE720" t="n">
        <v>24</v>
      </c>
      <c r="AF720" t="n">
        <v>7</v>
      </c>
      <c r="AG720" t="n">
        <v>7</v>
      </c>
      <c r="AH720" t="n">
        <v>7</v>
      </c>
      <c r="AI720" t="n">
        <v>7</v>
      </c>
      <c r="AJ720" t="n">
        <v>14</v>
      </c>
      <c r="AK720" t="n">
        <v>14</v>
      </c>
      <c r="AL720" t="n">
        <v>2</v>
      </c>
      <c r="AM720" t="n">
        <v>2</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HYPERLINK("https://creighton-primo.hosted.exlibrisgroup.com/primo-explore/search?tab=default_tab&amp;search_scope=EVERYTHING&amp;vid=01CRU&amp;lang=en_US&amp;offset=0&amp;query=any,contains,991005044829702656","Catalog Record")</f>
        <v/>
      </c>
      <c r="AT720">
        <f>HYPERLINK("http://www.worldcat.org/oclc/6816071","WorldCat Record")</f>
        <v/>
      </c>
      <c r="AU720" t="inlineStr">
        <is>
          <t>288524008:eng</t>
        </is>
      </c>
      <c r="AV720" t="inlineStr">
        <is>
          <t>6816071</t>
        </is>
      </c>
      <c r="AW720" t="inlineStr">
        <is>
          <t>991005044829702656</t>
        </is>
      </c>
      <c r="AX720" t="inlineStr">
        <is>
          <t>991005044829702656</t>
        </is>
      </c>
      <c r="AY720" t="inlineStr">
        <is>
          <t>2258440150002656</t>
        </is>
      </c>
      <c r="AZ720" t="inlineStr">
        <is>
          <t>BOOK</t>
        </is>
      </c>
      <c r="BB720" t="inlineStr">
        <is>
          <t>9780226111940</t>
        </is>
      </c>
      <c r="BC720" t="inlineStr">
        <is>
          <t>32285000459437</t>
        </is>
      </c>
      <c r="BD720" t="inlineStr">
        <is>
          <t>893412230</t>
        </is>
      </c>
    </row>
    <row r="721">
      <c r="A721" t="inlineStr">
        <is>
          <t>No</t>
        </is>
      </c>
      <c r="B721" t="inlineStr">
        <is>
          <t>DF229.T6 E35 1975</t>
        </is>
      </c>
      <c r="C721" t="inlineStr">
        <is>
          <t>0                      DF 0229000T  6                  E  35          1975</t>
        </is>
      </c>
      <c r="D721" t="inlineStr">
        <is>
          <t>Chance and intelligence in Thucydides / Lowell Edmunds.</t>
        </is>
      </c>
      <c r="F721" t="inlineStr">
        <is>
          <t>No</t>
        </is>
      </c>
      <c r="G721" t="inlineStr">
        <is>
          <t>1</t>
        </is>
      </c>
      <c r="H721" t="inlineStr">
        <is>
          <t>No</t>
        </is>
      </c>
      <c r="I721" t="inlineStr">
        <is>
          <t>No</t>
        </is>
      </c>
      <c r="J721" t="inlineStr">
        <is>
          <t>0</t>
        </is>
      </c>
      <c r="K721" t="inlineStr">
        <is>
          <t>Edmunds, Lowell.</t>
        </is>
      </c>
      <c r="L721" t="inlineStr">
        <is>
          <t>Cambridge, Mass. : Harvard University Press, 1975.</t>
        </is>
      </c>
      <c r="M721" t="inlineStr">
        <is>
          <t>1975</t>
        </is>
      </c>
      <c r="O721" t="inlineStr">
        <is>
          <t>eng</t>
        </is>
      </c>
      <c r="P721" t="inlineStr">
        <is>
          <t>mau</t>
        </is>
      </c>
      <c r="Q721" t="inlineStr">
        <is>
          <t>Loeb classical monographs</t>
        </is>
      </c>
      <c r="R721" t="inlineStr">
        <is>
          <t xml:space="preserve">DF </t>
        </is>
      </c>
      <c r="S721" t="n">
        <v>4</v>
      </c>
      <c r="T721" t="n">
        <v>4</v>
      </c>
      <c r="U721" t="inlineStr">
        <is>
          <t>2006-04-08</t>
        </is>
      </c>
      <c r="V721" t="inlineStr">
        <is>
          <t>2006-04-08</t>
        </is>
      </c>
      <c r="W721" t="inlineStr">
        <is>
          <t>1995-05-06</t>
        </is>
      </c>
      <c r="X721" t="inlineStr">
        <is>
          <t>1995-05-06</t>
        </is>
      </c>
      <c r="Y721" t="n">
        <v>589</v>
      </c>
      <c r="Z721" t="n">
        <v>477</v>
      </c>
      <c r="AA721" t="n">
        <v>488</v>
      </c>
      <c r="AB721" t="n">
        <v>2</v>
      </c>
      <c r="AC721" t="n">
        <v>2</v>
      </c>
      <c r="AD721" t="n">
        <v>27</v>
      </c>
      <c r="AE721" t="n">
        <v>27</v>
      </c>
      <c r="AF721" t="n">
        <v>14</v>
      </c>
      <c r="AG721" t="n">
        <v>14</v>
      </c>
      <c r="AH721" t="n">
        <v>6</v>
      </c>
      <c r="AI721" t="n">
        <v>6</v>
      </c>
      <c r="AJ721" t="n">
        <v>16</v>
      </c>
      <c r="AK721" t="n">
        <v>16</v>
      </c>
      <c r="AL721" t="n">
        <v>1</v>
      </c>
      <c r="AM721" t="n">
        <v>1</v>
      </c>
      <c r="AN721" t="n">
        <v>0</v>
      </c>
      <c r="AO721" t="n">
        <v>0</v>
      </c>
      <c r="AP721" t="inlineStr">
        <is>
          <t>No</t>
        </is>
      </c>
      <c r="AQ721" t="inlineStr">
        <is>
          <t>Yes</t>
        </is>
      </c>
      <c r="AR721">
        <f>HYPERLINK("http://catalog.hathitrust.org/Record/000572907","HathiTrust Record")</f>
        <v/>
      </c>
      <c r="AS721">
        <f>HYPERLINK("https://creighton-primo.hosted.exlibrisgroup.com/primo-explore/search?tab=default_tab&amp;search_scope=EVERYTHING&amp;vid=01CRU&amp;lang=en_US&amp;offset=0&amp;query=any,contains,991003684129702656","Catalog Record")</f>
        <v/>
      </c>
      <c r="AT721">
        <f>HYPERLINK("http://www.worldcat.org/oclc/1311708","WorldCat Record")</f>
        <v/>
      </c>
      <c r="AU721" t="inlineStr">
        <is>
          <t>2183417:eng</t>
        </is>
      </c>
      <c r="AV721" t="inlineStr">
        <is>
          <t>1311708</t>
        </is>
      </c>
      <c r="AW721" t="inlineStr">
        <is>
          <t>991003684129702656</t>
        </is>
      </c>
      <c r="AX721" t="inlineStr">
        <is>
          <t>991003684129702656</t>
        </is>
      </c>
      <c r="AY721" t="inlineStr">
        <is>
          <t>2258975480002656</t>
        </is>
      </c>
      <c r="AZ721" t="inlineStr">
        <is>
          <t>BOOK</t>
        </is>
      </c>
      <c r="BB721" t="inlineStr">
        <is>
          <t>9780674107403</t>
        </is>
      </c>
      <c r="BC721" t="inlineStr">
        <is>
          <t>32285002032539</t>
        </is>
      </c>
      <c r="BD721" t="inlineStr">
        <is>
          <t>893324340</t>
        </is>
      </c>
    </row>
    <row r="722">
      <c r="A722" t="inlineStr">
        <is>
          <t>No</t>
        </is>
      </c>
      <c r="B722" t="inlineStr">
        <is>
          <t>DF229.T6 F5</t>
        </is>
      </c>
      <c r="C722" t="inlineStr">
        <is>
          <t>0                      DF 0229000T  6                  F  5</t>
        </is>
      </c>
      <c r="D722" t="inlineStr">
        <is>
          <t>Thucydides, by John H. Finley, jr.</t>
        </is>
      </c>
      <c r="F722" t="inlineStr">
        <is>
          <t>No</t>
        </is>
      </c>
      <c r="G722" t="inlineStr">
        <is>
          <t>1</t>
        </is>
      </c>
      <c r="H722" t="inlineStr">
        <is>
          <t>No</t>
        </is>
      </c>
      <c r="I722" t="inlineStr">
        <is>
          <t>No</t>
        </is>
      </c>
      <c r="J722" t="inlineStr">
        <is>
          <t>0</t>
        </is>
      </c>
      <c r="K722" t="inlineStr">
        <is>
          <t>Finley, John H. (John Huston), 1904-1995.</t>
        </is>
      </c>
      <c r="L722" t="inlineStr">
        <is>
          <t>Cambridge, Mass., Harvard university press, 1942.</t>
        </is>
      </c>
      <c r="M722" t="inlineStr">
        <is>
          <t>1942</t>
        </is>
      </c>
      <c r="O722" t="inlineStr">
        <is>
          <t>eng</t>
        </is>
      </c>
      <c r="P722" t="inlineStr">
        <is>
          <t>mau</t>
        </is>
      </c>
      <c r="R722" t="inlineStr">
        <is>
          <t xml:space="preserve">DF </t>
        </is>
      </c>
      <c r="S722" t="n">
        <v>2</v>
      </c>
      <c r="T722" t="n">
        <v>2</v>
      </c>
      <c r="U722" t="inlineStr">
        <is>
          <t>2006-04-28</t>
        </is>
      </c>
      <c r="V722" t="inlineStr">
        <is>
          <t>2006-04-28</t>
        </is>
      </c>
      <c r="W722" t="inlineStr">
        <is>
          <t>1997-01-30</t>
        </is>
      </c>
      <c r="X722" t="inlineStr">
        <is>
          <t>1997-01-30</t>
        </is>
      </c>
      <c r="Y722" t="n">
        <v>454</v>
      </c>
      <c r="Z722" t="n">
        <v>375</v>
      </c>
      <c r="AA722" t="n">
        <v>846</v>
      </c>
      <c r="AB722" t="n">
        <v>4</v>
      </c>
      <c r="AC722" t="n">
        <v>9</v>
      </c>
      <c r="AD722" t="n">
        <v>32</v>
      </c>
      <c r="AE722" t="n">
        <v>49</v>
      </c>
      <c r="AF722" t="n">
        <v>8</v>
      </c>
      <c r="AG722" t="n">
        <v>17</v>
      </c>
      <c r="AH722" t="n">
        <v>10</v>
      </c>
      <c r="AI722" t="n">
        <v>11</v>
      </c>
      <c r="AJ722" t="n">
        <v>19</v>
      </c>
      <c r="AK722" t="n">
        <v>25</v>
      </c>
      <c r="AL722" t="n">
        <v>3</v>
      </c>
      <c r="AM722" t="n">
        <v>8</v>
      </c>
      <c r="AN722" t="n">
        <v>0</v>
      </c>
      <c r="AO722" t="n">
        <v>0</v>
      </c>
      <c r="AP722" t="inlineStr">
        <is>
          <t>No</t>
        </is>
      </c>
      <c r="AQ722" t="inlineStr">
        <is>
          <t>Yes</t>
        </is>
      </c>
      <c r="AR722">
        <f>HYPERLINK("http://catalog.hathitrust.org/Record/000399122","HathiTrust Record")</f>
        <v/>
      </c>
      <c r="AS722">
        <f>HYPERLINK("https://creighton-primo.hosted.exlibrisgroup.com/primo-explore/search?tab=default_tab&amp;search_scope=EVERYTHING&amp;vid=01CRU&amp;lang=en_US&amp;offset=0&amp;query=any,contains,991003769889702656","Catalog Record")</f>
        <v/>
      </c>
      <c r="AT722">
        <f>HYPERLINK("http://www.worldcat.org/oclc/1468843","WorldCat Record")</f>
        <v/>
      </c>
      <c r="AU722" t="inlineStr">
        <is>
          <t>58205645:eng</t>
        </is>
      </c>
      <c r="AV722" t="inlineStr">
        <is>
          <t>1468843</t>
        </is>
      </c>
      <c r="AW722" t="inlineStr">
        <is>
          <t>991003769889702656</t>
        </is>
      </c>
      <c r="AX722" t="inlineStr">
        <is>
          <t>991003769889702656</t>
        </is>
      </c>
      <c r="AY722" t="inlineStr">
        <is>
          <t>2259937390002656</t>
        </is>
      </c>
      <c r="AZ722" t="inlineStr">
        <is>
          <t>BOOK</t>
        </is>
      </c>
      <c r="BC722" t="inlineStr">
        <is>
          <t>32285002418811</t>
        </is>
      </c>
      <c r="BD722" t="inlineStr">
        <is>
          <t>893336916</t>
        </is>
      </c>
    </row>
    <row r="723">
      <c r="A723" t="inlineStr">
        <is>
          <t>No</t>
        </is>
      </c>
      <c r="B723" t="inlineStr">
        <is>
          <t>DF229.T6 H67 1987</t>
        </is>
      </c>
      <c r="C723" t="inlineStr">
        <is>
          <t>0                      DF 0229000T  6                  H  67          1987</t>
        </is>
      </c>
      <c r="D723" t="inlineStr">
        <is>
          <t>Thucydides / Simon Hornblower.</t>
        </is>
      </c>
      <c r="F723" t="inlineStr">
        <is>
          <t>No</t>
        </is>
      </c>
      <c r="G723" t="inlineStr">
        <is>
          <t>1</t>
        </is>
      </c>
      <c r="H723" t="inlineStr">
        <is>
          <t>No</t>
        </is>
      </c>
      <c r="I723" t="inlineStr">
        <is>
          <t>No</t>
        </is>
      </c>
      <c r="J723" t="inlineStr">
        <is>
          <t>0</t>
        </is>
      </c>
      <c r="K723" t="inlineStr">
        <is>
          <t>Hornblower, Simon.</t>
        </is>
      </c>
      <c r="L723" t="inlineStr">
        <is>
          <t>London : Duckworth, 1987.</t>
        </is>
      </c>
      <c r="M723" t="inlineStr">
        <is>
          <t>1987</t>
        </is>
      </c>
      <c r="O723" t="inlineStr">
        <is>
          <t>eng</t>
        </is>
      </c>
      <c r="P723" t="inlineStr">
        <is>
          <t>enk</t>
        </is>
      </c>
      <c r="R723" t="inlineStr">
        <is>
          <t xml:space="preserve">DF </t>
        </is>
      </c>
      <c r="S723" t="n">
        <v>9</v>
      </c>
      <c r="T723" t="n">
        <v>9</v>
      </c>
      <c r="U723" t="inlineStr">
        <is>
          <t>2008-10-17</t>
        </is>
      </c>
      <c r="V723" t="inlineStr">
        <is>
          <t>2008-10-17</t>
        </is>
      </c>
      <c r="W723" t="inlineStr">
        <is>
          <t>1991-02-15</t>
        </is>
      </c>
      <c r="X723" t="inlineStr">
        <is>
          <t>1991-02-15</t>
        </is>
      </c>
      <c r="Y723" t="n">
        <v>181</v>
      </c>
      <c r="Z723" t="n">
        <v>72</v>
      </c>
      <c r="AA723" t="n">
        <v>481</v>
      </c>
      <c r="AB723" t="n">
        <v>3</v>
      </c>
      <c r="AC723" t="n">
        <v>3</v>
      </c>
      <c r="AD723" t="n">
        <v>3</v>
      </c>
      <c r="AE723" t="n">
        <v>28</v>
      </c>
      <c r="AF723" t="n">
        <v>0</v>
      </c>
      <c r="AG723" t="n">
        <v>10</v>
      </c>
      <c r="AH723" t="n">
        <v>1</v>
      </c>
      <c r="AI723" t="n">
        <v>7</v>
      </c>
      <c r="AJ723" t="n">
        <v>1</v>
      </c>
      <c r="AK723" t="n">
        <v>17</v>
      </c>
      <c r="AL723" t="n">
        <v>2</v>
      </c>
      <c r="AM723" t="n">
        <v>2</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HYPERLINK("https://creighton-primo.hosted.exlibrisgroup.com/primo-explore/search?tab=default_tab&amp;search_scope=EVERYTHING&amp;vid=01CRU&amp;lang=en_US&amp;offset=0&amp;query=any,contains,991001227029702656","Catalog Record")</f>
        <v/>
      </c>
      <c r="AT723">
        <f>HYPERLINK("http://www.worldcat.org/oclc/17509012","WorldCat Record")</f>
        <v/>
      </c>
      <c r="AU723" t="inlineStr">
        <is>
          <t>3372193517:eng</t>
        </is>
      </c>
      <c r="AV723" t="inlineStr">
        <is>
          <t>17509012</t>
        </is>
      </c>
      <c r="AW723" t="inlineStr">
        <is>
          <t>991001227029702656</t>
        </is>
      </c>
      <c r="AX723" t="inlineStr">
        <is>
          <t>991001227029702656</t>
        </is>
      </c>
      <c r="AY723" t="inlineStr">
        <is>
          <t>2265926310002656</t>
        </is>
      </c>
      <c r="AZ723" t="inlineStr">
        <is>
          <t>BOOK</t>
        </is>
      </c>
      <c r="BB723" t="inlineStr">
        <is>
          <t>9780715621561</t>
        </is>
      </c>
      <c r="BC723" t="inlineStr">
        <is>
          <t>32285000459445</t>
        </is>
      </c>
      <c r="BD723" t="inlineStr">
        <is>
          <t>893432706</t>
        </is>
      </c>
    </row>
    <row r="724">
      <c r="A724" t="inlineStr">
        <is>
          <t>No</t>
        </is>
      </c>
      <c r="B724" t="inlineStr">
        <is>
          <t>DF229.T6 H85 1973</t>
        </is>
      </c>
      <c r="C724" t="inlineStr">
        <is>
          <t>0                      DF 0229000T  6                  H  85          1973</t>
        </is>
      </c>
      <c r="D724" t="inlineStr">
        <is>
          <t>Thucydides : the artful reporter / [by] Virginia J. Hunter.</t>
        </is>
      </c>
      <c r="F724" t="inlineStr">
        <is>
          <t>No</t>
        </is>
      </c>
      <c r="G724" t="inlineStr">
        <is>
          <t>1</t>
        </is>
      </c>
      <c r="H724" t="inlineStr">
        <is>
          <t>No</t>
        </is>
      </c>
      <c r="I724" t="inlineStr">
        <is>
          <t>No</t>
        </is>
      </c>
      <c r="J724" t="inlineStr">
        <is>
          <t>0</t>
        </is>
      </c>
      <c r="K724" t="inlineStr">
        <is>
          <t>Hunter, Virginia J.</t>
        </is>
      </c>
      <c r="L724" t="inlineStr">
        <is>
          <t>Toronto : Hakkert, 1973.</t>
        </is>
      </c>
      <c r="M724" t="inlineStr">
        <is>
          <t>1973</t>
        </is>
      </c>
      <c r="O724" t="inlineStr">
        <is>
          <t>eng</t>
        </is>
      </c>
      <c r="P724" t="inlineStr">
        <is>
          <t>onc</t>
        </is>
      </c>
      <c r="R724" t="inlineStr">
        <is>
          <t xml:space="preserve">DF </t>
        </is>
      </c>
      <c r="S724" t="n">
        <v>5</v>
      </c>
      <c r="T724" t="n">
        <v>5</v>
      </c>
      <c r="U724" t="inlineStr">
        <is>
          <t>2002-10-25</t>
        </is>
      </c>
      <c r="V724" t="inlineStr">
        <is>
          <t>2002-10-25</t>
        </is>
      </c>
      <c r="W724" t="inlineStr">
        <is>
          <t>1993-06-17</t>
        </is>
      </c>
      <c r="X724" t="inlineStr">
        <is>
          <t>1993-06-17</t>
        </is>
      </c>
      <c r="Y724" t="n">
        <v>391</v>
      </c>
      <c r="Z724" t="n">
        <v>287</v>
      </c>
      <c r="AA724" t="n">
        <v>289</v>
      </c>
      <c r="AB724" t="n">
        <v>3</v>
      </c>
      <c r="AC724" t="n">
        <v>3</v>
      </c>
      <c r="AD724" t="n">
        <v>14</v>
      </c>
      <c r="AE724" t="n">
        <v>14</v>
      </c>
      <c r="AF724" t="n">
        <v>3</v>
      </c>
      <c r="AG724" t="n">
        <v>3</v>
      </c>
      <c r="AH724" t="n">
        <v>4</v>
      </c>
      <c r="AI724" t="n">
        <v>4</v>
      </c>
      <c r="AJ724" t="n">
        <v>7</v>
      </c>
      <c r="AK724" t="n">
        <v>7</v>
      </c>
      <c r="AL724" t="n">
        <v>2</v>
      </c>
      <c r="AM724" t="n">
        <v>2</v>
      </c>
      <c r="AN724" t="n">
        <v>0</v>
      </c>
      <c r="AO724" t="n">
        <v>0</v>
      </c>
      <c r="AP724" t="inlineStr">
        <is>
          <t>No</t>
        </is>
      </c>
      <c r="AQ724" t="inlineStr">
        <is>
          <t>Yes</t>
        </is>
      </c>
      <c r="AR724">
        <f>HYPERLINK("http://catalog.hathitrust.org/Record/001058476","HathiTrust Record")</f>
        <v/>
      </c>
      <c r="AS724">
        <f>HYPERLINK("https://creighton-primo.hosted.exlibrisgroup.com/primo-explore/search?tab=default_tab&amp;search_scope=EVERYTHING&amp;vid=01CRU&amp;lang=en_US&amp;offset=0&amp;query=any,contains,991003337069702656","Catalog Record")</f>
        <v/>
      </c>
      <c r="AT724">
        <f>HYPERLINK("http://www.worldcat.org/oclc/867565","WorldCat Record")</f>
        <v/>
      </c>
      <c r="AU724" t="inlineStr">
        <is>
          <t>1836702:eng</t>
        </is>
      </c>
      <c r="AV724" t="inlineStr">
        <is>
          <t>867565</t>
        </is>
      </c>
      <c r="AW724" t="inlineStr">
        <is>
          <t>991003337069702656</t>
        </is>
      </c>
      <c r="AX724" t="inlineStr">
        <is>
          <t>991003337069702656</t>
        </is>
      </c>
      <c r="AY724" t="inlineStr">
        <is>
          <t>2265827110002656</t>
        </is>
      </c>
      <c r="AZ724" t="inlineStr">
        <is>
          <t>BOOK</t>
        </is>
      </c>
      <c r="BB724" t="inlineStr">
        <is>
          <t>9780888665232</t>
        </is>
      </c>
      <c r="BC724" t="inlineStr">
        <is>
          <t>32285001696805</t>
        </is>
      </c>
      <c r="BD724" t="inlineStr">
        <is>
          <t>893511855</t>
        </is>
      </c>
    </row>
    <row r="725">
      <c r="A725" t="inlineStr">
        <is>
          <t>No</t>
        </is>
      </c>
      <c r="B725" t="inlineStr">
        <is>
          <t>DF229.T6 P7</t>
        </is>
      </c>
      <c r="C725" t="inlineStr">
        <is>
          <t>0                      DF 0229000T  6                  P  7</t>
        </is>
      </c>
      <c r="D725" t="inlineStr">
        <is>
          <t>The experience of Thucydides / Dennis Proctor.</t>
        </is>
      </c>
      <c r="F725" t="inlineStr">
        <is>
          <t>No</t>
        </is>
      </c>
      <c r="G725" t="inlineStr">
        <is>
          <t>1</t>
        </is>
      </c>
      <c r="H725" t="inlineStr">
        <is>
          <t>No</t>
        </is>
      </c>
      <c r="I725" t="inlineStr">
        <is>
          <t>No</t>
        </is>
      </c>
      <c r="J725" t="inlineStr">
        <is>
          <t>0</t>
        </is>
      </c>
      <c r="K725" t="inlineStr">
        <is>
          <t>Proctor, Dennis.</t>
        </is>
      </c>
      <c r="L725" t="inlineStr">
        <is>
          <t>Warminster, England : Aris &amp; Phillips, c1980.</t>
        </is>
      </c>
      <c r="M725" t="inlineStr">
        <is>
          <t>1980</t>
        </is>
      </c>
      <c r="O725" t="inlineStr">
        <is>
          <t>eng</t>
        </is>
      </c>
      <c r="P725" t="inlineStr">
        <is>
          <t xml:space="preserve">xx </t>
        </is>
      </c>
      <c r="R725" t="inlineStr">
        <is>
          <t xml:space="preserve">DF </t>
        </is>
      </c>
      <c r="S725" t="n">
        <v>4</v>
      </c>
      <c r="T725" t="n">
        <v>4</v>
      </c>
      <c r="U725" t="inlineStr">
        <is>
          <t>2005-11-01</t>
        </is>
      </c>
      <c r="V725" t="inlineStr">
        <is>
          <t>2005-11-01</t>
        </is>
      </c>
      <c r="W725" t="inlineStr">
        <is>
          <t>1991-02-19</t>
        </is>
      </c>
      <c r="X725" t="inlineStr">
        <is>
          <t>1991-02-19</t>
        </is>
      </c>
      <c r="Y725" t="n">
        <v>350</v>
      </c>
      <c r="Z725" t="n">
        <v>231</v>
      </c>
      <c r="AA725" t="n">
        <v>231</v>
      </c>
      <c r="AB725" t="n">
        <v>3</v>
      </c>
      <c r="AC725" t="n">
        <v>3</v>
      </c>
      <c r="AD725" t="n">
        <v>12</v>
      </c>
      <c r="AE725" t="n">
        <v>12</v>
      </c>
      <c r="AF725" t="n">
        <v>2</v>
      </c>
      <c r="AG725" t="n">
        <v>2</v>
      </c>
      <c r="AH725" t="n">
        <v>4</v>
      </c>
      <c r="AI725" t="n">
        <v>4</v>
      </c>
      <c r="AJ725" t="n">
        <v>8</v>
      </c>
      <c r="AK725" t="n">
        <v>8</v>
      </c>
      <c r="AL725" t="n">
        <v>2</v>
      </c>
      <c r="AM725" t="n">
        <v>2</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HYPERLINK("https://creighton-primo.hosted.exlibrisgroup.com/primo-explore/search?tab=default_tab&amp;search_scope=EVERYTHING&amp;vid=01CRU&amp;lang=en_US&amp;offset=0&amp;query=any,contains,991005061709702656","Catalog Record")</f>
        <v/>
      </c>
      <c r="AT725">
        <f>HYPERLINK("http://www.worldcat.org/oclc/6922217","WorldCat Record")</f>
        <v/>
      </c>
      <c r="AU725" t="inlineStr">
        <is>
          <t>24839149:eng</t>
        </is>
      </c>
      <c r="AV725" t="inlineStr">
        <is>
          <t>6922217</t>
        </is>
      </c>
      <c r="AW725" t="inlineStr">
        <is>
          <t>991005061709702656</t>
        </is>
      </c>
      <c r="AX725" t="inlineStr">
        <is>
          <t>991005061709702656</t>
        </is>
      </c>
      <c r="AY725" t="inlineStr">
        <is>
          <t>2267405660002656</t>
        </is>
      </c>
      <c r="AZ725" t="inlineStr">
        <is>
          <t>BOOK</t>
        </is>
      </c>
      <c r="BB725" t="inlineStr">
        <is>
          <t>9780856681530</t>
        </is>
      </c>
      <c r="BC725" t="inlineStr">
        <is>
          <t>32285000520014</t>
        </is>
      </c>
      <c r="BD725" t="inlineStr">
        <is>
          <t>893501258</t>
        </is>
      </c>
    </row>
    <row r="726">
      <c r="A726" t="inlineStr">
        <is>
          <t>No</t>
        </is>
      </c>
      <c r="B726" t="inlineStr">
        <is>
          <t>DF230.A4 E44 1989</t>
        </is>
      </c>
      <c r="C726" t="inlineStr">
        <is>
          <t>0                      DF 0230000A  4                  E  44          1989</t>
        </is>
      </c>
      <c r="D726" t="inlineStr">
        <is>
          <t>Alcibiades / Walter M. Ellis.</t>
        </is>
      </c>
      <c r="F726" t="inlineStr">
        <is>
          <t>No</t>
        </is>
      </c>
      <c r="G726" t="inlineStr">
        <is>
          <t>1</t>
        </is>
      </c>
      <c r="H726" t="inlineStr">
        <is>
          <t>No</t>
        </is>
      </c>
      <c r="I726" t="inlineStr">
        <is>
          <t>No</t>
        </is>
      </c>
      <c r="J726" t="inlineStr">
        <is>
          <t>0</t>
        </is>
      </c>
      <c r="K726" t="inlineStr">
        <is>
          <t>Ellis, Walter M., 1943-</t>
        </is>
      </c>
      <c r="L726" t="inlineStr">
        <is>
          <t>London ; New York : Routledge, 1989.</t>
        </is>
      </c>
      <c r="M726" t="inlineStr">
        <is>
          <t>1989</t>
        </is>
      </c>
      <c r="O726" t="inlineStr">
        <is>
          <t>eng</t>
        </is>
      </c>
      <c r="P726" t="inlineStr">
        <is>
          <t>enk</t>
        </is>
      </c>
      <c r="Q726" t="inlineStr">
        <is>
          <t>Classical lives</t>
        </is>
      </c>
      <c r="R726" t="inlineStr">
        <is>
          <t xml:space="preserve">DF </t>
        </is>
      </c>
      <c r="S726" t="n">
        <v>4</v>
      </c>
      <c r="T726" t="n">
        <v>4</v>
      </c>
      <c r="U726" t="inlineStr">
        <is>
          <t>2007-05-29</t>
        </is>
      </c>
      <c r="V726" t="inlineStr">
        <is>
          <t>2007-05-29</t>
        </is>
      </c>
      <c r="W726" t="inlineStr">
        <is>
          <t>1991-01-25</t>
        </is>
      </c>
      <c r="X726" t="inlineStr">
        <is>
          <t>1991-01-25</t>
        </is>
      </c>
      <c r="Y726" t="n">
        <v>406</v>
      </c>
      <c r="Z726" t="n">
        <v>289</v>
      </c>
      <c r="AA726" t="n">
        <v>303</v>
      </c>
      <c r="AB726" t="n">
        <v>3</v>
      </c>
      <c r="AC726" t="n">
        <v>3</v>
      </c>
      <c r="AD726" t="n">
        <v>15</v>
      </c>
      <c r="AE726" t="n">
        <v>15</v>
      </c>
      <c r="AF726" t="n">
        <v>5</v>
      </c>
      <c r="AG726" t="n">
        <v>5</v>
      </c>
      <c r="AH726" t="n">
        <v>3</v>
      </c>
      <c r="AI726" t="n">
        <v>3</v>
      </c>
      <c r="AJ726" t="n">
        <v>9</v>
      </c>
      <c r="AK726" t="n">
        <v>9</v>
      </c>
      <c r="AL726" t="n">
        <v>2</v>
      </c>
      <c r="AM726" t="n">
        <v>2</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HYPERLINK("https://creighton-primo.hosted.exlibrisgroup.com/primo-explore/search?tab=default_tab&amp;search_scope=EVERYTHING&amp;vid=01CRU&amp;lang=en_US&amp;offset=0&amp;query=any,contains,991001336269702656","Catalog Record")</f>
        <v/>
      </c>
      <c r="AT726">
        <f>HYPERLINK("http://www.worldcat.org/oclc/18351752","WorldCat Record")</f>
        <v/>
      </c>
      <c r="AU726" t="inlineStr">
        <is>
          <t>1937210667:eng</t>
        </is>
      </c>
      <c r="AV726" t="inlineStr">
        <is>
          <t>18351752</t>
        </is>
      </c>
      <c r="AW726" t="inlineStr">
        <is>
          <t>991001336269702656</t>
        </is>
      </c>
      <c r="AX726" t="inlineStr">
        <is>
          <t>991001336269702656</t>
        </is>
      </c>
      <c r="AY726" t="inlineStr">
        <is>
          <t>2265842900002656</t>
        </is>
      </c>
      <c r="AZ726" t="inlineStr">
        <is>
          <t>BOOK</t>
        </is>
      </c>
      <c r="BB726" t="inlineStr">
        <is>
          <t>9780415009942</t>
        </is>
      </c>
      <c r="BC726" t="inlineStr">
        <is>
          <t>32285000460922</t>
        </is>
      </c>
      <c r="BD726" t="inlineStr">
        <is>
          <t>893315711</t>
        </is>
      </c>
    </row>
    <row r="727">
      <c r="A727" t="inlineStr">
        <is>
          <t>No</t>
        </is>
      </c>
      <c r="B727" t="inlineStr">
        <is>
          <t>DF230.A4 F67 1989</t>
        </is>
      </c>
      <c r="C727" t="inlineStr">
        <is>
          <t>0                      DF 0230000A  4                  F  67          1989</t>
        </is>
      </c>
      <c r="D727" t="inlineStr">
        <is>
          <t>The ambition to rule : Alcibiades and the politics of imperialism in Thucydides / Steven Forde.</t>
        </is>
      </c>
      <c r="F727" t="inlineStr">
        <is>
          <t>No</t>
        </is>
      </c>
      <c r="G727" t="inlineStr">
        <is>
          <t>1</t>
        </is>
      </c>
      <c r="H727" t="inlineStr">
        <is>
          <t>No</t>
        </is>
      </c>
      <c r="I727" t="inlineStr">
        <is>
          <t>No</t>
        </is>
      </c>
      <c r="J727" t="inlineStr">
        <is>
          <t>0</t>
        </is>
      </c>
      <c r="K727" t="inlineStr">
        <is>
          <t>Forde, Steven, 1954-</t>
        </is>
      </c>
      <c r="L727" t="inlineStr">
        <is>
          <t>Ithaca : Cornell University Press, 1989.</t>
        </is>
      </c>
      <c r="M727" t="inlineStr">
        <is>
          <t>1989</t>
        </is>
      </c>
      <c r="O727" t="inlineStr">
        <is>
          <t>eng</t>
        </is>
      </c>
      <c r="P727" t="inlineStr">
        <is>
          <t>nyu</t>
        </is>
      </c>
      <c r="R727" t="inlineStr">
        <is>
          <t xml:space="preserve">DF </t>
        </is>
      </c>
      <c r="S727" t="n">
        <v>5</v>
      </c>
      <c r="T727" t="n">
        <v>5</v>
      </c>
      <c r="U727" t="inlineStr">
        <is>
          <t>2006-04-02</t>
        </is>
      </c>
      <c r="V727" t="inlineStr">
        <is>
          <t>2006-04-02</t>
        </is>
      </c>
      <c r="W727" t="inlineStr">
        <is>
          <t>1990-03-15</t>
        </is>
      </c>
      <c r="X727" t="inlineStr">
        <is>
          <t>1990-03-15</t>
        </is>
      </c>
      <c r="Y727" t="n">
        <v>397</v>
      </c>
      <c r="Z727" t="n">
        <v>318</v>
      </c>
      <c r="AA727" t="n">
        <v>489</v>
      </c>
      <c r="AB727" t="n">
        <v>3</v>
      </c>
      <c r="AC727" t="n">
        <v>3</v>
      </c>
      <c r="AD727" t="n">
        <v>20</v>
      </c>
      <c r="AE727" t="n">
        <v>29</v>
      </c>
      <c r="AF727" t="n">
        <v>8</v>
      </c>
      <c r="AG727" t="n">
        <v>14</v>
      </c>
      <c r="AH727" t="n">
        <v>5</v>
      </c>
      <c r="AI727" t="n">
        <v>7</v>
      </c>
      <c r="AJ727" t="n">
        <v>10</v>
      </c>
      <c r="AK727" t="n">
        <v>15</v>
      </c>
      <c r="AL727" t="n">
        <v>2</v>
      </c>
      <c r="AM727" t="n">
        <v>2</v>
      </c>
      <c r="AN727" t="n">
        <v>0</v>
      </c>
      <c r="AO727" t="n">
        <v>0</v>
      </c>
      <c r="AP727" t="inlineStr">
        <is>
          <t>No</t>
        </is>
      </c>
      <c r="AQ727" t="inlineStr">
        <is>
          <t>Yes</t>
        </is>
      </c>
      <c r="AR727">
        <f>HYPERLINK("http://catalog.hathitrust.org/Record/001291255","HathiTrust Record")</f>
        <v/>
      </c>
      <c r="AS727">
        <f>HYPERLINK("https://creighton-primo.hosted.exlibrisgroup.com/primo-explore/search?tab=default_tab&amp;search_scope=EVERYTHING&amp;vid=01CRU&amp;lang=en_US&amp;offset=0&amp;query=any,contains,991001350539702656","Catalog Record")</f>
        <v/>
      </c>
      <c r="AT727">
        <f>HYPERLINK("http://www.worldcat.org/oclc/18441612","WorldCat Record")</f>
        <v/>
      </c>
      <c r="AU727" t="inlineStr">
        <is>
          <t>836725057:eng</t>
        </is>
      </c>
      <c r="AV727" t="inlineStr">
        <is>
          <t>18441612</t>
        </is>
      </c>
      <c r="AW727" t="inlineStr">
        <is>
          <t>991001350539702656</t>
        </is>
      </c>
      <c r="AX727" t="inlineStr">
        <is>
          <t>991001350539702656</t>
        </is>
      </c>
      <c r="AY727" t="inlineStr">
        <is>
          <t>2268997990002656</t>
        </is>
      </c>
      <c r="AZ727" t="inlineStr">
        <is>
          <t>BOOK</t>
        </is>
      </c>
      <c r="BB727" t="inlineStr">
        <is>
          <t>9780801421389</t>
        </is>
      </c>
      <c r="BC727" t="inlineStr">
        <is>
          <t>32285000063783</t>
        </is>
      </c>
      <c r="BD727" t="inlineStr">
        <is>
          <t>893791386</t>
        </is>
      </c>
    </row>
    <row r="728">
      <c r="A728" t="inlineStr">
        <is>
          <t>No</t>
        </is>
      </c>
      <c r="B728" t="inlineStr">
        <is>
          <t>DF231.32 .H57 1985</t>
        </is>
      </c>
      <c r="C728" t="inlineStr">
        <is>
          <t>0                      DF 0231320H  57          1985</t>
        </is>
      </c>
      <c r="D728" t="inlineStr">
        <is>
          <t>The friendship of the barbarians : Xenophon and the Persian Empire / Steven W. Hirsch.</t>
        </is>
      </c>
      <c r="F728" t="inlineStr">
        <is>
          <t>No</t>
        </is>
      </c>
      <c r="G728" t="inlineStr">
        <is>
          <t>1</t>
        </is>
      </c>
      <c r="H728" t="inlineStr">
        <is>
          <t>No</t>
        </is>
      </c>
      <c r="I728" t="inlineStr">
        <is>
          <t>No</t>
        </is>
      </c>
      <c r="J728" t="inlineStr">
        <is>
          <t>0</t>
        </is>
      </c>
      <c r="K728" t="inlineStr">
        <is>
          <t>Hirsch, Steven W., 1950-</t>
        </is>
      </c>
      <c r="L728" t="inlineStr">
        <is>
          <t>Hanover : Published for Tufts University by University Press of New England, 1985.</t>
        </is>
      </c>
      <c r="M728" t="inlineStr">
        <is>
          <t>1985</t>
        </is>
      </c>
      <c r="O728" t="inlineStr">
        <is>
          <t>eng</t>
        </is>
      </c>
      <c r="P728" t="inlineStr">
        <is>
          <t>nhu</t>
        </is>
      </c>
      <c r="R728" t="inlineStr">
        <is>
          <t xml:space="preserve">DF </t>
        </is>
      </c>
      <c r="S728" t="n">
        <v>6</v>
      </c>
      <c r="T728" t="n">
        <v>6</v>
      </c>
      <c r="U728" t="inlineStr">
        <is>
          <t>2008-04-02</t>
        </is>
      </c>
      <c r="V728" t="inlineStr">
        <is>
          <t>2008-04-02</t>
        </is>
      </c>
      <c r="W728" t="inlineStr">
        <is>
          <t>1991-02-19</t>
        </is>
      </c>
      <c r="X728" t="inlineStr">
        <is>
          <t>1991-02-19</t>
        </is>
      </c>
      <c r="Y728" t="n">
        <v>399</v>
      </c>
      <c r="Z728" t="n">
        <v>310</v>
      </c>
      <c r="AA728" t="n">
        <v>311</v>
      </c>
      <c r="AB728" t="n">
        <v>3</v>
      </c>
      <c r="AC728" t="n">
        <v>3</v>
      </c>
      <c r="AD728" t="n">
        <v>14</v>
      </c>
      <c r="AE728" t="n">
        <v>14</v>
      </c>
      <c r="AF728" t="n">
        <v>3</v>
      </c>
      <c r="AG728" t="n">
        <v>3</v>
      </c>
      <c r="AH728" t="n">
        <v>4</v>
      </c>
      <c r="AI728" t="n">
        <v>4</v>
      </c>
      <c r="AJ728" t="n">
        <v>9</v>
      </c>
      <c r="AK728" t="n">
        <v>9</v>
      </c>
      <c r="AL728" t="n">
        <v>2</v>
      </c>
      <c r="AM728" t="n">
        <v>2</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HYPERLINK("https://creighton-primo.hosted.exlibrisgroup.com/primo-explore/search?tab=default_tab&amp;search_scope=EVERYTHING&amp;vid=01CRU&amp;lang=en_US&amp;offset=0&amp;query=any,contains,991000601399702656","Catalog Record")</f>
        <v/>
      </c>
      <c r="AT728">
        <f>HYPERLINK("http://www.worldcat.org/oclc/11841550","WorldCat Record")</f>
        <v/>
      </c>
      <c r="AU728" t="inlineStr">
        <is>
          <t>2852094:eng</t>
        </is>
      </c>
      <c r="AV728" t="inlineStr">
        <is>
          <t>11841550</t>
        </is>
      </c>
      <c r="AW728" t="inlineStr">
        <is>
          <t>991000601399702656</t>
        </is>
      </c>
      <c r="AX728" t="inlineStr">
        <is>
          <t>991000601399702656</t>
        </is>
      </c>
      <c r="AY728" t="inlineStr">
        <is>
          <t>2266235160002656</t>
        </is>
      </c>
      <c r="AZ728" t="inlineStr">
        <is>
          <t>BOOK</t>
        </is>
      </c>
      <c r="BB728" t="inlineStr">
        <is>
          <t>9780874513226</t>
        </is>
      </c>
      <c r="BC728" t="inlineStr">
        <is>
          <t>32285000520071</t>
        </is>
      </c>
      <c r="BD728" t="inlineStr">
        <is>
          <t>893884559</t>
        </is>
      </c>
    </row>
    <row r="729">
      <c r="A729" t="inlineStr">
        <is>
          <t>No</t>
        </is>
      </c>
      <c r="B729" t="inlineStr">
        <is>
          <t>DF231.32 .W37 2006</t>
        </is>
      </c>
      <c r="C729" t="inlineStr">
        <is>
          <t>0                      DF 0231320W  37          2006</t>
        </is>
      </c>
      <c r="D729" t="inlineStr">
        <is>
          <t>Xenophon's retreat : Greece, Persia, and the end of the Golden Age / Robin Waterfield.</t>
        </is>
      </c>
      <c r="F729" t="inlineStr">
        <is>
          <t>No</t>
        </is>
      </c>
      <c r="G729" t="inlineStr">
        <is>
          <t>1</t>
        </is>
      </c>
      <c r="H729" t="inlineStr">
        <is>
          <t>No</t>
        </is>
      </c>
      <c r="I729" t="inlineStr">
        <is>
          <t>No</t>
        </is>
      </c>
      <c r="J729" t="inlineStr">
        <is>
          <t>0</t>
        </is>
      </c>
      <c r="K729" t="inlineStr">
        <is>
          <t>Waterfield, Robin, 1952-</t>
        </is>
      </c>
      <c r="L729" t="inlineStr">
        <is>
          <t>Cambridge, Mass. : Belknap Press of Harvard University Press, 2006.</t>
        </is>
      </c>
      <c r="M729" t="inlineStr">
        <is>
          <t>2006</t>
        </is>
      </c>
      <c r="O729" t="inlineStr">
        <is>
          <t>eng</t>
        </is>
      </c>
      <c r="P729" t="inlineStr">
        <is>
          <t>mau</t>
        </is>
      </c>
      <c r="R729" t="inlineStr">
        <is>
          <t xml:space="preserve">DF </t>
        </is>
      </c>
      <c r="S729" t="n">
        <v>3</v>
      </c>
      <c r="T729" t="n">
        <v>3</v>
      </c>
      <c r="U729" t="inlineStr">
        <is>
          <t>2008-02-18</t>
        </is>
      </c>
      <c r="V729" t="inlineStr">
        <is>
          <t>2008-02-18</t>
        </is>
      </c>
      <c r="W729" t="inlineStr">
        <is>
          <t>2007-01-24</t>
        </is>
      </c>
      <c r="X729" t="inlineStr">
        <is>
          <t>2007-01-24</t>
        </is>
      </c>
      <c r="Y729" t="n">
        <v>518</v>
      </c>
      <c r="Z729" t="n">
        <v>458</v>
      </c>
      <c r="AA729" t="n">
        <v>485</v>
      </c>
      <c r="AB729" t="n">
        <v>3</v>
      </c>
      <c r="AC729" t="n">
        <v>3</v>
      </c>
      <c r="AD729" t="n">
        <v>23</v>
      </c>
      <c r="AE729" t="n">
        <v>23</v>
      </c>
      <c r="AF729" t="n">
        <v>11</v>
      </c>
      <c r="AG729" t="n">
        <v>11</v>
      </c>
      <c r="AH729" t="n">
        <v>7</v>
      </c>
      <c r="AI729" t="n">
        <v>7</v>
      </c>
      <c r="AJ729" t="n">
        <v>12</v>
      </c>
      <c r="AK729" t="n">
        <v>12</v>
      </c>
      <c r="AL729" t="n">
        <v>2</v>
      </c>
      <c r="AM729" t="n">
        <v>2</v>
      </c>
      <c r="AN729" t="n">
        <v>0</v>
      </c>
      <c r="AO729" t="n">
        <v>0</v>
      </c>
      <c r="AP729" t="inlineStr">
        <is>
          <t>No</t>
        </is>
      </c>
      <c r="AQ729" t="inlineStr">
        <is>
          <t>Yes</t>
        </is>
      </c>
      <c r="AR729">
        <f>HYPERLINK("http://catalog.hathitrust.org/Record/005406586","HathiTrust Record")</f>
        <v/>
      </c>
      <c r="AS729">
        <f>HYPERLINK("https://creighton-primo.hosted.exlibrisgroup.com/primo-explore/search?tab=default_tab&amp;search_scope=EVERYTHING&amp;vid=01CRU&amp;lang=en_US&amp;offset=0&amp;query=any,contains,991005012349702656","Catalog Record")</f>
        <v/>
      </c>
      <c r="AT729">
        <f>HYPERLINK("http://www.worldcat.org/oclc/70167861","WorldCat Record")</f>
        <v/>
      </c>
      <c r="AU729" t="inlineStr">
        <is>
          <t>135829857:eng</t>
        </is>
      </c>
      <c r="AV729" t="inlineStr">
        <is>
          <t>70167861</t>
        </is>
      </c>
      <c r="AW729" t="inlineStr">
        <is>
          <t>991005012349702656</t>
        </is>
      </c>
      <c r="AX729" t="inlineStr">
        <is>
          <t>991005012349702656</t>
        </is>
      </c>
      <c r="AY729" t="inlineStr">
        <is>
          <t>2258816530002656</t>
        </is>
      </c>
      <c r="AZ729" t="inlineStr">
        <is>
          <t>BOOK</t>
        </is>
      </c>
      <c r="BB729" t="inlineStr">
        <is>
          <t>9780674023567</t>
        </is>
      </c>
      <c r="BC729" t="inlineStr">
        <is>
          <t>32285005272736</t>
        </is>
      </c>
      <c r="BD729" t="inlineStr">
        <is>
          <t>893876816</t>
        </is>
      </c>
    </row>
    <row r="730">
      <c r="A730" t="inlineStr">
        <is>
          <t>No</t>
        </is>
      </c>
      <c r="B730" t="inlineStr">
        <is>
          <t>DF232.5 .H44</t>
        </is>
      </c>
      <c r="C730" t="inlineStr">
        <is>
          <t>0                      DF 0232500H  44</t>
        </is>
      </c>
      <c r="D730" t="inlineStr">
        <is>
          <t>Alexander the Great and the Greeks : the epigraphic evidence / by A. J. Heisserer.</t>
        </is>
      </c>
      <c r="F730" t="inlineStr">
        <is>
          <t>No</t>
        </is>
      </c>
      <c r="G730" t="inlineStr">
        <is>
          <t>1</t>
        </is>
      </c>
      <c r="H730" t="inlineStr">
        <is>
          <t>No</t>
        </is>
      </c>
      <c r="I730" t="inlineStr">
        <is>
          <t>No</t>
        </is>
      </c>
      <c r="J730" t="inlineStr">
        <is>
          <t>0</t>
        </is>
      </c>
      <c r="K730" t="inlineStr">
        <is>
          <t>Heisserer, A. J.</t>
        </is>
      </c>
      <c r="L730" t="inlineStr">
        <is>
          <t>Norman : University of Oklahoma Press, c1980.</t>
        </is>
      </c>
      <c r="M730" t="inlineStr">
        <is>
          <t>1980</t>
        </is>
      </c>
      <c r="N730" t="inlineStr">
        <is>
          <t>1st ed.</t>
        </is>
      </c>
      <c r="O730" t="inlineStr">
        <is>
          <t>eng</t>
        </is>
      </c>
      <c r="P730" t="inlineStr">
        <is>
          <t>oku</t>
        </is>
      </c>
      <c r="R730" t="inlineStr">
        <is>
          <t xml:space="preserve">DF </t>
        </is>
      </c>
      <c r="S730" t="n">
        <v>2</v>
      </c>
      <c r="T730" t="n">
        <v>2</v>
      </c>
      <c r="U730" t="inlineStr">
        <is>
          <t>2004-11-08</t>
        </is>
      </c>
      <c r="V730" t="inlineStr">
        <is>
          <t>2004-11-08</t>
        </is>
      </c>
      <c r="W730" t="inlineStr">
        <is>
          <t>1990-04-30</t>
        </is>
      </c>
      <c r="X730" t="inlineStr">
        <is>
          <t>1990-04-30</t>
        </is>
      </c>
      <c r="Y730" t="n">
        <v>453</v>
      </c>
      <c r="Z730" t="n">
        <v>342</v>
      </c>
      <c r="AA730" t="n">
        <v>342</v>
      </c>
      <c r="AB730" t="n">
        <v>3</v>
      </c>
      <c r="AC730" t="n">
        <v>3</v>
      </c>
      <c r="AD730" t="n">
        <v>20</v>
      </c>
      <c r="AE730" t="n">
        <v>20</v>
      </c>
      <c r="AF730" t="n">
        <v>8</v>
      </c>
      <c r="AG730" t="n">
        <v>8</v>
      </c>
      <c r="AH730" t="n">
        <v>6</v>
      </c>
      <c r="AI730" t="n">
        <v>6</v>
      </c>
      <c r="AJ730" t="n">
        <v>13</v>
      </c>
      <c r="AK730" t="n">
        <v>13</v>
      </c>
      <c r="AL730" t="n">
        <v>2</v>
      </c>
      <c r="AM730" t="n">
        <v>2</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HYPERLINK("https://creighton-primo.hosted.exlibrisgroup.com/primo-explore/search?tab=default_tab&amp;search_scope=EVERYTHING&amp;vid=01CRU&amp;lang=en_US&amp;offset=0&amp;query=any,contains,991004894439702656","Catalog Record")</f>
        <v/>
      </c>
      <c r="AT730">
        <f>HYPERLINK("http://www.worldcat.org/oclc/5892347","WorldCat Record")</f>
        <v/>
      </c>
      <c r="AU730" t="inlineStr">
        <is>
          <t>3856206193:eng</t>
        </is>
      </c>
      <c r="AV730" t="inlineStr">
        <is>
          <t>5892347</t>
        </is>
      </c>
      <c r="AW730" t="inlineStr">
        <is>
          <t>991004894439702656</t>
        </is>
      </c>
      <c r="AX730" t="inlineStr">
        <is>
          <t>991004894439702656</t>
        </is>
      </c>
      <c r="AY730" t="inlineStr">
        <is>
          <t>2262985030002656</t>
        </is>
      </c>
      <c r="AZ730" t="inlineStr">
        <is>
          <t>BOOK</t>
        </is>
      </c>
      <c r="BB730" t="inlineStr">
        <is>
          <t>9780806116129</t>
        </is>
      </c>
      <c r="BC730" t="inlineStr">
        <is>
          <t>32285000128685</t>
        </is>
      </c>
      <c r="BD730" t="inlineStr">
        <is>
          <t>893520150</t>
        </is>
      </c>
    </row>
    <row r="731">
      <c r="A731" t="inlineStr">
        <is>
          <t>No</t>
        </is>
      </c>
      <c r="B731" t="inlineStr">
        <is>
          <t>DF233 .J65</t>
        </is>
      </c>
      <c r="C731" t="inlineStr">
        <is>
          <t>0                      DF 0233000J  65</t>
        </is>
      </c>
      <c r="D731" t="inlineStr">
        <is>
          <t>Macedonian imperialism and the Hellenization of the East / by Pierre Jouguet ; with 7 plates, 4 maps, and a plan.</t>
        </is>
      </c>
      <c r="F731" t="inlineStr">
        <is>
          <t>No</t>
        </is>
      </c>
      <c r="G731" t="inlineStr">
        <is>
          <t>1</t>
        </is>
      </c>
      <c r="H731" t="inlineStr">
        <is>
          <t>No</t>
        </is>
      </c>
      <c r="I731" t="inlineStr">
        <is>
          <t>Yes</t>
        </is>
      </c>
      <c r="J731" t="inlineStr">
        <is>
          <t>0</t>
        </is>
      </c>
      <c r="K731" t="inlineStr">
        <is>
          <t>Jouguet, Pierre, 1869-1949.</t>
        </is>
      </c>
      <c r="L731" t="inlineStr">
        <is>
          <t>London : K. Paul, Trench, Trubner &amp; Co. ; New York : A.A. Knopf, 1928.</t>
        </is>
      </c>
      <c r="M731" t="inlineStr">
        <is>
          <t>1928</t>
        </is>
      </c>
      <c r="O731" t="inlineStr">
        <is>
          <t>eng</t>
        </is>
      </c>
      <c r="P731" t="inlineStr">
        <is>
          <t>enk</t>
        </is>
      </c>
      <c r="Q731" t="inlineStr">
        <is>
          <t>The history of civilization. [Pre-history and antiquity]</t>
        </is>
      </c>
      <c r="R731" t="inlineStr">
        <is>
          <t xml:space="preserve">DF </t>
        </is>
      </c>
      <c r="S731" t="n">
        <v>3</v>
      </c>
      <c r="T731" t="n">
        <v>3</v>
      </c>
      <c r="U731" t="inlineStr">
        <is>
          <t>2004-11-08</t>
        </is>
      </c>
      <c r="V731" t="inlineStr">
        <is>
          <t>2004-11-08</t>
        </is>
      </c>
      <c r="W731" t="inlineStr">
        <is>
          <t>1992-03-20</t>
        </is>
      </c>
      <c r="X731" t="inlineStr">
        <is>
          <t>1992-03-20</t>
        </is>
      </c>
      <c r="Y731" t="n">
        <v>323</v>
      </c>
      <c r="Z731" t="n">
        <v>238</v>
      </c>
      <c r="AA731" t="n">
        <v>454</v>
      </c>
      <c r="AB731" t="n">
        <v>3</v>
      </c>
      <c r="AC731" t="n">
        <v>4</v>
      </c>
      <c r="AD731" t="n">
        <v>10</v>
      </c>
      <c r="AE731" t="n">
        <v>24</v>
      </c>
      <c r="AF731" t="n">
        <v>2</v>
      </c>
      <c r="AG731" t="n">
        <v>7</v>
      </c>
      <c r="AH731" t="n">
        <v>3</v>
      </c>
      <c r="AI731" t="n">
        <v>6</v>
      </c>
      <c r="AJ731" t="n">
        <v>7</v>
      </c>
      <c r="AK731" t="n">
        <v>16</v>
      </c>
      <c r="AL731" t="n">
        <v>2</v>
      </c>
      <c r="AM731" t="n">
        <v>3</v>
      </c>
      <c r="AN731" t="n">
        <v>0</v>
      </c>
      <c r="AO731" t="n">
        <v>0</v>
      </c>
      <c r="AP731" t="inlineStr">
        <is>
          <t>No</t>
        </is>
      </c>
      <c r="AQ731" t="inlineStr">
        <is>
          <t>Yes</t>
        </is>
      </c>
      <c r="AR731">
        <f>HYPERLINK("http://catalog.hathitrust.org/Record/000612237","HathiTrust Record")</f>
        <v/>
      </c>
      <c r="AS731">
        <f>HYPERLINK("https://creighton-primo.hosted.exlibrisgroup.com/primo-explore/search?tab=default_tab&amp;search_scope=EVERYTHING&amp;vid=01CRU&amp;lang=en_US&amp;offset=0&amp;query=any,contains,991004611329702656","Catalog Record")</f>
        <v/>
      </c>
      <c r="AT731">
        <f>HYPERLINK("http://www.worldcat.org/oclc/4215158","WorldCat Record")</f>
        <v/>
      </c>
      <c r="AU731" t="inlineStr">
        <is>
          <t>5784508:eng</t>
        </is>
      </c>
      <c r="AV731" t="inlineStr">
        <is>
          <t>4215158</t>
        </is>
      </c>
      <c r="AW731" t="inlineStr">
        <is>
          <t>991004611329702656</t>
        </is>
      </c>
      <c r="AX731" t="inlineStr">
        <is>
          <t>991004611329702656</t>
        </is>
      </c>
      <c r="AY731" t="inlineStr">
        <is>
          <t>2259101950002656</t>
        </is>
      </c>
      <c r="AZ731" t="inlineStr">
        <is>
          <t>BOOK</t>
        </is>
      </c>
      <c r="BC731" t="inlineStr">
        <is>
          <t>32285001025047</t>
        </is>
      </c>
      <c r="BD731" t="inlineStr">
        <is>
          <t>893782427</t>
        </is>
      </c>
    </row>
    <row r="732">
      <c r="A732" t="inlineStr">
        <is>
          <t>No</t>
        </is>
      </c>
      <c r="B732" t="inlineStr">
        <is>
          <t>DF233 .V46 1994</t>
        </is>
      </c>
      <c r="C732" t="inlineStr">
        <is>
          <t>0                      DF 0233000V  46          1994</t>
        </is>
      </c>
      <c r="D732" t="inlineStr">
        <is>
          <t>Ventures into Greek history / edited by Ian Worthington.</t>
        </is>
      </c>
      <c r="F732" t="inlineStr">
        <is>
          <t>No</t>
        </is>
      </c>
      <c r="G732" t="inlineStr">
        <is>
          <t>1</t>
        </is>
      </c>
      <c r="H732" t="inlineStr">
        <is>
          <t>No</t>
        </is>
      </c>
      <c r="I732" t="inlineStr">
        <is>
          <t>No</t>
        </is>
      </c>
      <c r="J732" t="inlineStr">
        <is>
          <t>0</t>
        </is>
      </c>
      <c r="L732" t="inlineStr">
        <is>
          <t>Oxford ; Clarendon Press ; New York : Oxford University Press, 1994.</t>
        </is>
      </c>
      <c r="M732" t="inlineStr">
        <is>
          <t>1994</t>
        </is>
      </c>
      <c r="O732" t="inlineStr">
        <is>
          <t>eng</t>
        </is>
      </c>
      <c r="P732" t="inlineStr">
        <is>
          <t>enk</t>
        </is>
      </c>
      <c r="R732" t="inlineStr">
        <is>
          <t xml:space="preserve">DF </t>
        </is>
      </c>
      <c r="S732" t="n">
        <v>2</v>
      </c>
      <c r="T732" t="n">
        <v>2</v>
      </c>
      <c r="U732" t="inlineStr">
        <is>
          <t>2005-12-14</t>
        </is>
      </c>
      <c r="V732" t="inlineStr">
        <is>
          <t>2005-12-14</t>
        </is>
      </c>
      <c r="W732" t="inlineStr">
        <is>
          <t>2005-11-28</t>
        </is>
      </c>
      <c r="X732" t="inlineStr">
        <is>
          <t>2005-11-28</t>
        </is>
      </c>
      <c r="Y732" t="n">
        <v>275</v>
      </c>
      <c r="Z732" t="n">
        <v>196</v>
      </c>
      <c r="AA732" t="n">
        <v>198</v>
      </c>
      <c r="AB732" t="n">
        <v>3</v>
      </c>
      <c r="AC732" t="n">
        <v>3</v>
      </c>
      <c r="AD732" t="n">
        <v>11</v>
      </c>
      <c r="AE732" t="n">
        <v>11</v>
      </c>
      <c r="AF732" t="n">
        <v>1</v>
      </c>
      <c r="AG732" t="n">
        <v>1</v>
      </c>
      <c r="AH732" t="n">
        <v>2</v>
      </c>
      <c r="AI732" t="n">
        <v>2</v>
      </c>
      <c r="AJ732" t="n">
        <v>9</v>
      </c>
      <c r="AK732" t="n">
        <v>9</v>
      </c>
      <c r="AL732" t="n">
        <v>2</v>
      </c>
      <c r="AM732" t="n">
        <v>2</v>
      </c>
      <c r="AN732" t="n">
        <v>0</v>
      </c>
      <c r="AO732" t="n">
        <v>0</v>
      </c>
      <c r="AP732" t="inlineStr">
        <is>
          <t>No</t>
        </is>
      </c>
      <c r="AQ732" t="inlineStr">
        <is>
          <t>Yes</t>
        </is>
      </c>
      <c r="AR732">
        <f>HYPERLINK("http://catalog.hathitrust.org/Record/003943500","HathiTrust Record")</f>
        <v/>
      </c>
      <c r="AS732">
        <f>HYPERLINK("https://creighton-primo.hosted.exlibrisgroup.com/primo-explore/search?tab=default_tab&amp;search_scope=EVERYTHING&amp;vid=01CRU&amp;lang=en_US&amp;offset=0&amp;query=any,contains,991004691109702656","Catalog Record")</f>
        <v/>
      </c>
      <c r="AT732">
        <f>HYPERLINK("http://www.worldcat.org/oclc/28339749","WorldCat Record")</f>
        <v/>
      </c>
      <c r="AU732" t="inlineStr">
        <is>
          <t>502786500:eng</t>
        </is>
      </c>
      <c r="AV732" t="inlineStr">
        <is>
          <t>28339749</t>
        </is>
      </c>
      <c r="AW732" t="inlineStr">
        <is>
          <t>991004691109702656</t>
        </is>
      </c>
      <c r="AX732" t="inlineStr">
        <is>
          <t>991004691109702656</t>
        </is>
      </c>
      <c r="AY732" t="inlineStr">
        <is>
          <t>2257401240002656</t>
        </is>
      </c>
      <c r="AZ732" t="inlineStr">
        <is>
          <t>BOOK</t>
        </is>
      </c>
      <c r="BB732" t="inlineStr">
        <is>
          <t>9780198149286</t>
        </is>
      </c>
      <c r="BC732" t="inlineStr">
        <is>
          <t>32285005149108</t>
        </is>
      </c>
      <c r="BD732" t="inlineStr">
        <is>
          <t>893618965</t>
        </is>
      </c>
    </row>
    <row r="733">
      <c r="A733" t="inlineStr">
        <is>
          <t>No</t>
        </is>
      </c>
      <c r="B733" t="inlineStr">
        <is>
          <t>DF233.8.A66 T74 1992</t>
        </is>
      </c>
      <c r="C733" t="inlineStr">
        <is>
          <t>0                      DF 0233800A  66                 T  74          1992</t>
        </is>
      </c>
      <c r="D733" t="inlineStr">
        <is>
          <t>Apollodoros, the son of Pasion / Jeremy Trevett.</t>
        </is>
      </c>
      <c r="F733" t="inlineStr">
        <is>
          <t>No</t>
        </is>
      </c>
      <c r="G733" t="inlineStr">
        <is>
          <t>1</t>
        </is>
      </c>
      <c r="H733" t="inlineStr">
        <is>
          <t>No</t>
        </is>
      </c>
      <c r="I733" t="inlineStr">
        <is>
          <t>No</t>
        </is>
      </c>
      <c r="J733" t="inlineStr">
        <is>
          <t>0</t>
        </is>
      </c>
      <c r="K733" t="inlineStr">
        <is>
          <t>Trevett, Jeremy.</t>
        </is>
      </c>
      <c r="L733" t="inlineStr">
        <is>
          <t>Oxford [England] : Clarendon Press ; New York : Oxford University Press, 1992.</t>
        </is>
      </c>
      <c r="M733" t="inlineStr">
        <is>
          <t>1992</t>
        </is>
      </c>
      <c r="O733" t="inlineStr">
        <is>
          <t>eng</t>
        </is>
      </c>
      <c r="P733" t="inlineStr">
        <is>
          <t>enk</t>
        </is>
      </c>
      <c r="Q733" t="inlineStr">
        <is>
          <t>Oxford classical monographs</t>
        </is>
      </c>
      <c r="R733" t="inlineStr">
        <is>
          <t xml:space="preserve">DF </t>
        </is>
      </c>
      <c r="S733" t="n">
        <v>1</v>
      </c>
      <c r="T733" t="n">
        <v>1</v>
      </c>
      <c r="U733" t="inlineStr">
        <is>
          <t>2005-08-08</t>
        </is>
      </c>
      <c r="V733" t="inlineStr">
        <is>
          <t>2005-08-08</t>
        </is>
      </c>
      <c r="W733" t="inlineStr">
        <is>
          <t>2005-08-08</t>
        </is>
      </c>
      <c r="X733" t="inlineStr">
        <is>
          <t>2005-08-08</t>
        </is>
      </c>
      <c r="Y733" t="n">
        <v>315</v>
      </c>
      <c r="Z733" t="n">
        <v>214</v>
      </c>
      <c r="AA733" t="n">
        <v>220</v>
      </c>
      <c r="AB733" t="n">
        <v>1</v>
      </c>
      <c r="AC733" t="n">
        <v>1</v>
      </c>
      <c r="AD733" t="n">
        <v>10</v>
      </c>
      <c r="AE733" t="n">
        <v>10</v>
      </c>
      <c r="AF733" t="n">
        <v>3</v>
      </c>
      <c r="AG733" t="n">
        <v>3</v>
      </c>
      <c r="AH733" t="n">
        <v>3</v>
      </c>
      <c r="AI733" t="n">
        <v>3</v>
      </c>
      <c r="AJ733" t="n">
        <v>9</v>
      </c>
      <c r="AK733" t="n">
        <v>9</v>
      </c>
      <c r="AL733" t="n">
        <v>0</v>
      </c>
      <c r="AM733" t="n">
        <v>0</v>
      </c>
      <c r="AN733" t="n">
        <v>0</v>
      </c>
      <c r="AO733" t="n">
        <v>0</v>
      </c>
      <c r="AP733" t="inlineStr">
        <is>
          <t>No</t>
        </is>
      </c>
      <c r="AQ733" t="inlineStr">
        <is>
          <t>Yes</t>
        </is>
      </c>
      <c r="AR733">
        <f>HYPERLINK("http://catalog.hathitrust.org/Record/002611975","HathiTrust Record")</f>
        <v/>
      </c>
      <c r="AS733">
        <f>HYPERLINK("https://creighton-primo.hosted.exlibrisgroup.com/primo-explore/search?tab=default_tab&amp;search_scope=EVERYTHING&amp;vid=01CRU&amp;lang=en_US&amp;offset=0&amp;query=any,contains,991004614129702656","Catalog Record")</f>
        <v/>
      </c>
      <c r="AT733">
        <f>HYPERLINK("http://www.worldcat.org/oclc/25631100","WorldCat Record")</f>
        <v/>
      </c>
      <c r="AU733" t="inlineStr">
        <is>
          <t>28297366:eng</t>
        </is>
      </c>
      <c r="AV733" t="inlineStr">
        <is>
          <t>25631100</t>
        </is>
      </c>
      <c r="AW733" t="inlineStr">
        <is>
          <t>991004614129702656</t>
        </is>
      </c>
      <c r="AX733" t="inlineStr">
        <is>
          <t>991004614129702656</t>
        </is>
      </c>
      <c r="AY733" t="inlineStr">
        <is>
          <t>2268753210002656</t>
        </is>
      </c>
      <c r="AZ733" t="inlineStr">
        <is>
          <t>BOOK</t>
        </is>
      </c>
      <c r="BB733" t="inlineStr">
        <is>
          <t>9780198147909</t>
        </is>
      </c>
      <c r="BC733" t="inlineStr">
        <is>
          <t>32285005099535</t>
        </is>
      </c>
      <c r="BD733" t="inlineStr">
        <is>
          <t>893319438</t>
        </is>
      </c>
    </row>
    <row r="734">
      <c r="A734" t="inlineStr">
        <is>
          <t>No</t>
        </is>
      </c>
      <c r="B734" t="inlineStr">
        <is>
          <t>DF233.8.O6 C37 2006</t>
        </is>
      </c>
      <c r="C734" t="inlineStr">
        <is>
          <t>0                      DF 0233800O  6                  C  37          2006</t>
        </is>
      </c>
      <c r="D734" t="inlineStr">
        <is>
          <t>Olympias : mother of Alexander the Great / Elizabeth Carney.</t>
        </is>
      </c>
      <c r="F734" t="inlineStr">
        <is>
          <t>No</t>
        </is>
      </c>
      <c r="G734" t="inlineStr">
        <is>
          <t>1</t>
        </is>
      </c>
      <c r="H734" t="inlineStr">
        <is>
          <t>No</t>
        </is>
      </c>
      <c r="I734" t="inlineStr">
        <is>
          <t>No</t>
        </is>
      </c>
      <c r="J734" t="inlineStr">
        <is>
          <t>0</t>
        </is>
      </c>
      <c r="K734" t="inlineStr">
        <is>
          <t>Carney, Elizabeth Donnelly, 1947-</t>
        </is>
      </c>
      <c r="L734" t="inlineStr">
        <is>
          <t>New York : Routledge, 2006.</t>
        </is>
      </c>
      <c r="M734" t="inlineStr">
        <is>
          <t>2006</t>
        </is>
      </c>
      <c r="O734" t="inlineStr">
        <is>
          <t>eng</t>
        </is>
      </c>
      <c r="P734" t="inlineStr">
        <is>
          <t>xxu</t>
        </is>
      </c>
      <c r="Q734" t="inlineStr">
        <is>
          <t>Women of the ancient world</t>
        </is>
      </c>
      <c r="R734" t="inlineStr">
        <is>
          <t xml:space="preserve">DF </t>
        </is>
      </c>
      <c r="S734" t="n">
        <v>1</v>
      </c>
      <c r="T734" t="n">
        <v>1</v>
      </c>
      <c r="U734" t="inlineStr">
        <is>
          <t>2007-05-09</t>
        </is>
      </c>
      <c r="V734" t="inlineStr">
        <is>
          <t>2007-05-09</t>
        </is>
      </c>
      <c r="W734" t="inlineStr">
        <is>
          <t>2007-05-09</t>
        </is>
      </c>
      <c r="X734" t="inlineStr">
        <is>
          <t>2007-05-09</t>
        </is>
      </c>
      <c r="Y734" t="n">
        <v>314</v>
      </c>
      <c r="Z734" t="n">
        <v>207</v>
      </c>
      <c r="AA734" t="n">
        <v>478</v>
      </c>
      <c r="AB734" t="n">
        <v>2</v>
      </c>
      <c r="AC734" t="n">
        <v>12</v>
      </c>
      <c r="AD734" t="n">
        <v>14</v>
      </c>
      <c r="AE734" t="n">
        <v>23</v>
      </c>
      <c r="AF734" t="n">
        <v>5</v>
      </c>
      <c r="AG734" t="n">
        <v>6</v>
      </c>
      <c r="AH734" t="n">
        <v>3</v>
      </c>
      <c r="AI734" t="n">
        <v>3</v>
      </c>
      <c r="AJ734" t="n">
        <v>10</v>
      </c>
      <c r="AK734" t="n">
        <v>10</v>
      </c>
      <c r="AL734" t="n">
        <v>1</v>
      </c>
      <c r="AM734" t="n">
        <v>9</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HYPERLINK("https://creighton-primo.hosted.exlibrisgroup.com/primo-explore/search?tab=default_tab&amp;search_scope=EVERYTHING&amp;vid=01CRU&amp;lang=en_US&amp;offset=0&amp;query=any,contains,991005069859702656","Catalog Record")</f>
        <v/>
      </c>
      <c r="AT734">
        <f>HYPERLINK("http://www.worldcat.org/oclc/70250456","WorldCat Record")</f>
        <v/>
      </c>
      <c r="AU734" t="inlineStr">
        <is>
          <t>792923257:eng</t>
        </is>
      </c>
      <c r="AV734" t="inlineStr">
        <is>
          <t>70250456</t>
        </is>
      </c>
      <c r="AW734" t="inlineStr">
        <is>
          <t>991005069859702656</t>
        </is>
      </c>
      <c r="AX734" t="inlineStr">
        <is>
          <t>991005069859702656</t>
        </is>
      </c>
      <c r="AY734" t="inlineStr">
        <is>
          <t>2259635000002656</t>
        </is>
      </c>
      <c r="AZ734" t="inlineStr">
        <is>
          <t>BOOK</t>
        </is>
      </c>
      <c r="BB734" t="inlineStr">
        <is>
          <t>9780415333160</t>
        </is>
      </c>
      <c r="BC734" t="inlineStr">
        <is>
          <t>32285005311641</t>
        </is>
      </c>
      <c r="BD734" t="inlineStr">
        <is>
          <t>893513980</t>
        </is>
      </c>
    </row>
    <row r="735">
      <c r="A735" t="inlineStr">
        <is>
          <t>No</t>
        </is>
      </c>
      <c r="B735" t="inlineStr">
        <is>
          <t>DF233.8.P59 W67 2008</t>
        </is>
      </c>
      <c r="C735" t="inlineStr">
        <is>
          <t>0                      DF 0233800P  59                 W  67          2008</t>
        </is>
      </c>
      <c r="D735" t="inlineStr">
        <is>
          <t>Philip II of Macedonia / Ian Worthington.</t>
        </is>
      </c>
      <c r="F735" t="inlineStr">
        <is>
          <t>No</t>
        </is>
      </c>
      <c r="G735" t="inlineStr">
        <is>
          <t>1</t>
        </is>
      </c>
      <c r="H735" t="inlineStr">
        <is>
          <t>No</t>
        </is>
      </c>
      <c r="I735" t="inlineStr">
        <is>
          <t>No</t>
        </is>
      </c>
      <c r="J735" t="inlineStr">
        <is>
          <t>0</t>
        </is>
      </c>
      <c r="K735" t="inlineStr">
        <is>
          <t>Worthington, Ian.</t>
        </is>
      </c>
      <c r="L735" t="inlineStr">
        <is>
          <t>New Haven : Yale University Press, 2008.</t>
        </is>
      </c>
      <c r="M735" t="inlineStr">
        <is>
          <t>2008</t>
        </is>
      </c>
      <c r="O735" t="inlineStr">
        <is>
          <t>eng</t>
        </is>
      </c>
      <c r="P735" t="inlineStr">
        <is>
          <t>ctu</t>
        </is>
      </c>
      <c r="R735" t="inlineStr">
        <is>
          <t xml:space="preserve">DF </t>
        </is>
      </c>
      <c r="S735" t="n">
        <v>2</v>
      </c>
      <c r="T735" t="n">
        <v>2</v>
      </c>
      <c r="U735" t="inlineStr">
        <is>
          <t>2010-11-23</t>
        </is>
      </c>
      <c r="V735" t="inlineStr">
        <is>
          <t>2010-11-23</t>
        </is>
      </c>
      <c r="W735" t="inlineStr">
        <is>
          <t>2010-11-16</t>
        </is>
      </c>
      <c r="X735" t="inlineStr">
        <is>
          <t>2010-11-16</t>
        </is>
      </c>
      <c r="Y735" t="n">
        <v>447</v>
      </c>
      <c r="Z735" t="n">
        <v>336</v>
      </c>
      <c r="AA735" t="n">
        <v>362</v>
      </c>
      <c r="AB735" t="n">
        <v>3</v>
      </c>
      <c r="AC735" t="n">
        <v>3</v>
      </c>
      <c r="AD735" t="n">
        <v>23</v>
      </c>
      <c r="AE735" t="n">
        <v>24</v>
      </c>
      <c r="AF735" t="n">
        <v>10</v>
      </c>
      <c r="AG735" t="n">
        <v>11</v>
      </c>
      <c r="AH735" t="n">
        <v>6</v>
      </c>
      <c r="AI735" t="n">
        <v>6</v>
      </c>
      <c r="AJ735" t="n">
        <v>16</v>
      </c>
      <c r="AK735" t="n">
        <v>16</v>
      </c>
      <c r="AL735" t="n">
        <v>2</v>
      </c>
      <c r="AM735" t="n">
        <v>2</v>
      </c>
      <c r="AN735" t="n">
        <v>0</v>
      </c>
      <c r="AO735" t="n">
        <v>0</v>
      </c>
      <c r="AP735" t="inlineStr">
        <is>
          <t>No</t>
        </is>
      </c>
      <c r="AQ735" t="inlineStr">
        <is>
          <t>Yes</t>
        </is>
      </c>
      <c r="AR735">
        <f>HYPERLINK("http://catalog.hathitrust.org/Record/005915500","HathiTrust Record")</f>
        <v/>
      </c>
      <c r="AS735">
        <f>HYPERLINK("https://creighton-primo.hosted.exlibrisgroup.com/primo-explore/search?tab=default_tab&amp;search_scope=EVERYTHING&amp;vid=01CRU&amp;lang=en_US&amp;offset=0&amp;query=any,contains,991000204469702656","Catalog Record")</f>
        <v/>
      </c>
      <c r="AT735">
        <f>HYPERLINK("http://www.worldcat.org/oclc/202549107","WorldCat Record")</f>
        <v/>
      </c>
      <c r="AU735" t="inlineStr">
        <is>
          <t>125954584:eng</t>
        </is>
      </c>
      <c r="AV735" t="inlineStr">
        <is>
          <t>202549107</t>
        </is>
      </c>
      <c r="AW735" t="inlineStr">
        <is>
          <t>991000204469702656</t>
        </is>
      </c>
      <c r="AX735" t="inlineStr">
        <is>
          <t>991000204469702656</t>
        </is>
      </c>
      <c r="AY735" t="inlineStr">
        <is>
          <t>2267723910002656</t>
        </is>
      </c>
      <c r="AZ735" t="inlineStr">
        <is>
          <t>BOOK</t>
        </is>
      </c>
      <c r="BB735" t="inlineStr">
        <is>
          <t>9780300120790</t>
        </is>
      </c>
      <c r="BC735" t="inlineStr">
        <is>
          <t>32285005606172</t>
        </is>
      </c>
      <c r="BD735" t="inlineStr">
        <is>
          <t>893527896</t>
        </is>
      </c>
    </row>
    <row r="736">
      <c r="A736" t="inlineStr">
        <is>
          <t>No</t>
        </is>
      </c>
      <c r="B736" t="inlineStr">
        <is>
          <t>DF234 .A485 1995</t>
        </is>
      </c>
      <c r="C736" t="inlineStr">
        <is>
          <t>0                      DF 0234000A  485         1995</t>
        </is>
      </c>
      <c r="D736" t="inlineStr">
        <is>
          <t>Alexander the Great : ancient and modern perspectives / edited and with an introduction by Joseph Roisman.</t>
        </is>
      </c>
      <c r="F736" t="inlineStr">
        <is>
          <t>No</t>
        </is>
      </c>
      <c r="G736" t="inlineStr">
        <is>
          <t>1</t>
        </is>
      </c>
      <c r="H736" t="inlineStr">
        <is>
          <t>No</t>
        </is>
      </c>
      <c r="I736" t="inlineStr">
        <is>
          <t>No</t>
        </is>
      </c>
      <c r="J736" t="inlineStr">
        <is>
          <t>0</t>
        </is>
      </c>
      <c r="L736" t="inlineStr">
        <is>
          <t>Lexington, Mass. : D.C. Heath, c1995.</t>
        </is>
      </c>
      <c r="M736" t="inlineStr">
        <is>
          <t>1995</t>
        </is>
      </c>
      <c r="O736" t="inlineStr">
        <is>
          <t>eng</t>
        </is>
      </c>
      <c r="P736" t="inlineStr">
        <is>
          <t>mau</t>
        </is>
      </c>
      <c r="Q736" t="inlineStr">
        <is>
          <t>Problems in European civilization</t>
        </is>
      </c>
      <c r="R736" t="inlineStr">
        <is>
          <t xml:space="preserve">DF </t>
        </is>
      </c>
      <c r="S736" t="n">
        <v>4</v>
      </c>
      <c r="T736" t="n">
        <v>4</v>
      </c>
      <c r="U736" t="inlineStr">
        <is>
          <t>2009-02-25</t>
        </is>
      </c>
      <c r="V736" t="inlineStr">
        <is>
          <t>2009-02-25</t>
        </is>
      </c>
      <c r="W736" t="inlineStr">
        <is>
          <t>2005-10-13</t>
        </is>
      </c>
      <c r="X736" t="inlineStr">
        <is>
          <t>2005-10-13</t>
        </is>
      </c>
      <c r="Y736" t="n">
        <v>194</v>
      </c>
      <c r="Z736" t="n">
        <v>145</v>
      </c>
      <c r="AA736" t="n">
        <v>145</v>
      </c>
      <c r="AB736" t="n">
        <v>2</v>
      </c>
      <c r="AC736" t="n">
        <v>2</v>
      </c>
      <c r="AD736" t="n">
        <v>8</v>
      </c>
      <c r="AE736" t="n">
        <v>8</v>
      </c>
      <c r="AF736" t="n">
        <v>3</v>
      </c>
      <c r="AG736" t="n">
        <v>3</v>
      </c>
      <c r="AH736" t="n">
        <v>1</v>
      </c>
      <c r="AI736" t="n">
        <v>1</v>
      </c>
      <c r="AJ736" t="n">
        <v>3</v>
      </c>
      <c r="AK736" t="n">
        <v>3</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HYPERLINK("https://creighton-primo.hosted.exlibrisgroup.com/primo-explore/search?tab=default_tab&amp;search_scope=EVERYTHING&amp;vid=01CRU&amp;lang=en_US&amp;offset=0&amp;query=any,contains,991004671939702656","Catalog Record")</f>
        <v/>
      </c>
      <c r="AT736">
        <f>HYPERLINK("http://www.worldcat.org/oclc/31696089","WorldCat Record")</f>
        <v/>
      </c>
      <c r="AU736" t="inlineStr">
        <is>
          <t>1073214398:eng</t>
        </is>
      </c>
      <c r="AV736" t="inlineStr">
        <is>
          <t>31696089</t>
        </is>
      </c>
      <c r="AW736" t="inlineStr">
        <is>
          <t>991004671939702656</t>
        </is>
      </c>
      <c r="AX736" t="inlineStr">
        <is>
          <t>991004671939702656</t>
        </is>
      </c>
      <c r="AY736" t="inlineStr">
        <is>
          <t>2260717190002656</t>
        </is>
      </c>
      <c r="AZ736" t="inlineStr">
        <is>
          <t>BOOK</t>
        </is>
      </c>
      <c r="BB736" t="inlineStr">
        <is>
          <t>9780669345018</t>
        </is>
      </c>
      <c r="BC736" t="inlineStr">
        <is>
          <t>32285005089411</t>
        </is>
      </c>
      <c r="BD736" t="inlineStr">
        <is>
          <t>893507108</t>
        </is>
      </c>
    </row>
    <row r="737">
      <c r="A737" t="inlineStr">
        <is>
          <t>No</t>
        </is>
      </c>
      <c r="B737" t="inlineStr">
        <is>
          <t>DF234 .C26 2005</t>
        </is>
      </c>
      <c r="C737" t="inlineStr">
        <is>
          <t>0                      DF 0234000C  26          2005</t>
        </is>
      </c>
      <c r="D737" t="inlineStr">
        <is>
          <t>Alexander the Great : journey to the end of the earth / Norman F. Cantor, with Dee Ranieri.</t>
        </is>
      </c>
      <c r="F737" t="inlineStr">
        <is>
          <t>No</t>
        </is>
      </c>
      <c r="G737" t="inlineStr">
        <is>
          <t>1</t>
        </is>
      </c>
      <c r="H737" t="inlineStr">
        <is>
          <t>No</t>
        </is>
      </c>
      <c r="I737" t="inlineStr">
        <is>
          <t>No</t>
        </is>
      </c>
      <c r="J737" t="inlineStr">
        <is>
          <t>0</t>
        </is>
      </c>
      <c r="K737" t="inlineStr">
        <is>
          <t>Cantor, Norman F.</t>
        </is>
      </c>
      <c r="L737" t="inlineStr">
        <is>
          <t>New York : HarperCollins Publishers, c2005.</t>
        </is>
      </c>
      <c r="M737" t="inlineStr">
        <is>
          <t>2005</t>
        </is>
      </c>
      <c r="N737" t="inlineStr">
        <is>
          <t>1st ed.</t>
        </is>
      </c>
      <c r="O737" t="inlineStr">
        <is>
          <t>eng</t>
        </is>
      </c>
      <c r="P737" t="inlineStr">
        <is>
          <t>nyu</t>
        </is>
      </c>
      <c r="R737" t="inlineStr">
        <is>
          <t xml:space="preserve">DF </t>
        </is>
      </c>
      <c r="S737" t="n">
        <v>3</v>
      </c>
      <c r="T737" t="n">
        <v>3</v>
      </c>
      <c r="U737" t="inlineStr">
        <is>
          <t>2006-01-11</t>
        </is>
      </c>
      <c r="V737" t="inlineStr">
        <is>
          <t>2006-01-11</t>
        </is>
      </c>
      <c r="W737" t="inlineStr">
        <is>
          <t>2006-01-11</t>
        </is>
      </c>
      <c r="X737" t="inlineStr">
        <is>
          <t>2006-01-11</t>
        </is>
      </c>
      <c r="Y737" t="n">
        <v>786</v>
      </c>
      <c r="Z737" t="n">
        <v>739</v>
      </c>
      <c r="AA737" t="n">
        <v>827</v>
      </c>
      <c r="AB737" t="n">
        <v>6</v>
      </c>
      <c r="AC737" t="n">
        <v>6</v>
      </c>
      <c r="AD737" t="n">
        <v>12</v>
      </c>
      <c r="AE737" t="n">
        <v>14</v>
      </c>
      <c r="AF737" t="n">
        <v>4</v>
      </c>
      <c r="AG737" t="n">
        <v>5</v>
      </c>
      <c r="AH737" t="n">
        <v>4</v>
      </c>
      <c r="AI737" t="n">
        <v>5</v>
      </c>
      <c r="AJ737" t="n">
        <v>8</v>
      </c>
      <c r="AK737" t="n">
        <v>9</v>
      </c>
      <c r="AL737" t="n">
        <v>3</v>
      </c>
      <c r="AM737" t="n">
        <v>3</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HYPERLINK("https://creighton-primo.hosted.exlibrisgroup.com/primo-explore/search?tab=default_tab&amp;search_scope=EVERYTHING&amp;vid=01CRU&amp;lang=en_US&amp;offset=0&amp;query=any,contains,991004656449702656","Catalog Record")</f>
        <v/>
      </c>
      <c r="AT737">
        <f>HYPERLINK("http://www.worldcat.org/oclc/56755652","WorldCat Record")</f>
        <v/>
      </c>
      <c r="AU737" t="inlineStr">
        <is>
          <t>16937842:eng</t>
        </is>
      </c>
      <c r="AV737" t="inlineStr">
        <is>
          <t>56755652</t>
        </is>
      </c>
      <c r="AW737" t="inlineStr">
        <is>
          <t>991004656449702656</t>
        </is>
      </c>
      <c r="AX737" t="inlineStr">
        <is>
          <t>991004656449702656</t>
        </is>
      </c>
      <c r="AY737" t="inlineStr">
        <is>
          <t>2272155660002656</t>
        </is>
      </c>
      <c r="AZ737" t="inlineStr">
        <is>
          <t>BOOK</t>
        </is>
      </c>
      <c r="BB737" t="inlineStr">
        <is>
          <t>9780060570125</t>
        </is>
      </c>
      <c r="BC737" t="inlineStr">
        <is>
          <t>32285005154397</t>
        </is>
      </c>
      <c r="BD737" t="inlineStr">
        <is>
          <t>893337965</t>
        </is>
      </c>
    </row>
    <row r="738">
      <c r="A738" t="inlineStr">
        <is>
          <t>No</t>
        </is>
      </c>
      <c r="B738" t="inlineStr">
        <is>
          <t>DF234 .F67 2004</t>
        </is>
      </c>
      <c r="C738" t="inlineStr">
        <is>
          <t>0                      DF 0234000F  67          2004</t>
        </is>
      </c>
      <c r="D738" t="inlineStr">
        <is>
          <t>Alexander the conqueror : the epic story of the warrior king / [Laura Foreman].</t>
        </is>
      </c>
      <c r="F738" t="inlineStr">
        <is>
          <t>No</t>
        </is>
      </c>
      <c r="G738" t="inlineStr">
        <is>
          <t>1</t>
        </is>
      </c>
      <c r="H738" t="inlineStr">
        <is>
          <t>No</t>
        </is>
      </c>
      <c r="I738" t="inlineStr">
        <is>
          <t>No</t>
        </is>
      </c>
      <c r="J738" t="inlineStr">
        <is>
          <t>0</t>
        </is>
      </c>
      <c r="K738" t="inlineStr">
        <is>
          <t>Foreman, Laura.</t>
        </is>
      </c>
      <c r="L738" t="inlineStr">
        <is>
          <t>Cambridge, MA : Da Capo Press, 2004.</t>
        </is>
      </c>
      <c r="M738" t="inlineStr">
        <is>
          <t>2004</t>
        </is>
      </c>
      <c r="N738" t="inlineStr">
        <is>
          <t>1st ed.</t>
        </is>
      </c>
      <c r="O738" t="inlineStr">
        <is>
          <t>eng</t>
        </is>
      </c>
      <c r="P738" t="inlineStr">
        <is>
          <t>mau</t>
        </is>
      </c>
      <c r="R738" t="inlineStr">
        <is>
          <t xml:space="preserve">DF </t>
        </is>
      </c>
      <c r="S738" t="n">
        <v>3</v>
      </c>
      <c r="T738" t="n">
        <v>3</v>
      </c>
      <c r="U738" t="inlineStr">
        <is>
          <t>2007-11-15</t>
        </is>
      </c>
      <c r="V738" t="inlineStr">
        <is>
          <t>2007-11-15</t>
        </is>
      </c>
      <c r="W738" t="inlineStr">
        <is>
          <t>2004-10-13</t>
        </is>
      </c>
      <c r="X738" t="inlineStr">
        <is>
          <t>2004-10-13</t>
        </is>
      </c>
      <c r="Y738" t="n">
        <v>452</v>
      </c>
      <c r="Z738" t="n">
        <v>387</v>
      </c>
      <c r="AA738" t="n">
        <v>393</v>
      </c>
      <c r="AB738" t="n">
        <v>4</v>
      </c>
      <c r="AC738" t="n">
        <v>4</v>
      </c>
      <c r="AD738" t="n">
        <v>10</v>
      </c>
      <c r="AE738" t="n">
        <v>10</v>
      </c>
      <c r="AF738" t="n">
        <v>5</v>
      </c>
      <c r="AG738" t="n">
        <v>5</v>
      </c>
      <c r="AH738" t="n">
        <v>3</v>
      </c>
      <c r="AI738" t="n">
        <v>3</v>
      </c>
      <c r="AJ738" t="n">
        <v>6</v>
      </c>
      <c r="AK738" t="n">
        <v>6</v>
      </c>
      <c r="AL738" t="n">
        <v>1</v>
      </c>
      <c r="AM738" t="n">
        <v>1</v>
      </c>
      <c r="AN738" t="n">
        <v>0</v>
      </c>
      <c r="AO738" t="n">
        <v>0</v>
      </c>
      <c r="AP738" t="inlineStr">
        <is>
          <t>No</t>
        </is>
      </c>
      <c r="AQ738" t="inlineStr">
        <is>
          <t>Yes</t>
        </is>
      </c>
      <c r="AR738">
        <f>HYPERLINK("http://catalog.hathitrust.org/Record/004905043","HathiTrust Record")</f>
        <v/>
      </c>
      <c r="AS738">
        <f>HYPERLINK("https://creighton-primo.hosted.exlibrisgroup.com/primo-explore/search?tab=default_tab&amp;search_scope=EVERYTHING&amp;vid=01CRU&amp;lang=en_US&amp;offset=0&amp;query=any,contains,991004377599702656","Catalog Record")</f>
        <v/>
      </c>
      <c r="AT738">
        <f>HYPERLINK("http://www.worldcat.org/oclc/53038483","WorldCat Record")</f>
        <v/>
      </c>
      <c r="AU738" t="inlineStr">
        <is>
          <t>673201:eng</t>
        </is>
      </c>
      <c r="AV738" t="inlineStr">
        <is>
          <t>53038483</t>
        </is>
      </c>
      <c r="AW738" t="inlineStr">
        <is>
          <t>991004377599702656</t>
        </is>
      </c>
      <c r="AX738" t="inlineStr">
        <is>
          <t>991004377599702656</t>
        </is>
      </c>
      <c r="AY738" t="inlineStr">
        <is>
          <t>2271195910002656</t>
        </is>
      </c>
      <c r="AZ738" t="inlineStr">
        <is>
          <t>BOOK</t>
        </is>
      </c>
      <c r="BB738" t="inlineStr">
        <is>
          <t>9780306812934</t>
        </is>
      </c>
      <c r="BC738" t="inlineStr">
        <is>
          <t>32285005003602</t>
        </is>
      </c>
      <c r="BD738" t="inlineStr">
        <is>
          <t>893775947</t>
        </is>
      </c>
    </row>
    <row r="739">
      <c r="A739" t="inlineStr">
        <is>
          <t>No</t>
        </is>
      </c>
      <c r="B739" t="inlineStr">
        <is>
          <t>DF234 .J8313 1997, v...</t>
        </is>
      </c>
      <c r="C739" t="inlineStr">
        <is>
          <t>0                      DF 0234000J  8313        1997                                        v...</t>
        </is>
      </c>
      <c r="D739" t="inlineStr">
        <is>
          <t>Epitome of the Philippic history of Pompeius Trogus / Justin ; translation and appendices by J.C. Yardley ; commentary by Waldemar Heckel.</t>
        </is>
      </c>
      <c r="E739" t="inlineStr">
        <is>
          <t>V.1</t>
        </is>
      </c>
      <c r="F739" t="inlineStr">
        <is>
          <t>No</t>
        </is>
      </c>
      <c r="G739" t="inlineStr">
        <is>
          <t>1</t>
        </is>
      </c>
      <c r="H739" t="inlineStr">
        <is>
          <t>No</t>
        </is>
      </c>
      <c r="I739" t="inlineStr">
        <is>
          <t>No</t>
        </is>
      </c>
      <c r="J739" t="inlineStr">
        <is>
          <t>0</t>
        </is>
      </c>
      <c r="K739" t="inlineStr">
        <is>
          <t>Justinus, Marcus Junianus.</t>
        </is>
      </c>
      <c r="L739" t="inlineStr">
        <is>
          <t>Oxford ; New York : Clarendon Press, 1997-</t>
        </is>
      </c>
      <c r="M739" t="inlineStr">
        <is>
          <t>1997</t>
        </is>
      </c>
      <c r="O739" t="inlineStr">
        <is>
          <t>eng</t>
        </is>
      </c>
      <c r="P739" t="inlineStr">
        <is>
          <t>enk</t>
        </is>
      </c>
      <c r="Q739" t="inlineStr">
        <is>
          <t>Clarendon ancient history series</t>
        </is>
      </c>
      <c r="R739" t="inlineStr">
        <is>
          <t xml:space="preserve">DF </t>
        </is>
      </c>
      <c r="S739" t="n">
        <v>2</v>
      </c>
      <c r="T739" t="n">
        <v>2</v>
      </c>
      <c r="U739" t="inlineStr">
        <is>
          <t>2003-03-28</t>
        </is>
      </c>
      <c r="V739" t="inlineStr">
        <is>
          <t>2003-03-28</t>
        </is>
      </c>
      <c r="W739" t="inlineStr">
        <is>
          <t>2000-01-24</t>
        </is>
      </c>
      <c r="X739" t="inlineStr">
        <is>
          <t>2000-01-24</t>
        </is>
      </c>
      <c r="Y739" t="n">
        <v>201</v>
      </c>
      <c r="Z739" t="n">
        <v>165</v>
      </c>
      <c r="AA739" t="n">
        <v>169</v>
      </c>
      <c r="AB739" t="n">
        <v>2</v>
      </c>
      <c r="AC739" t="n">
        <v>2</v>
      </c>
      <c r="AD739" t="n">
        <v>12</v>
      </c>
      <c r="AE739" t="n">
        <v>12</v>
      </c>
      <c r="AF739" t="n">
        <v>4</v>
      </c>
      <c r="AG739" t="n">
        <v>4</v>
      </c>
      <c r="AH739" t="n">
        <v>5</v>
      </c>
      <c r="AI739" t="n">
        <v>5</v>
      </c>
      <c r="AJ739" t="n">
        <v>7</v>
      </c>
      <c r="AK739" t="n">
        <v>7</v>
      </c>
      <c r="AL739" t="n">
        <v>1</v>
      </c>
      <c r="AM739" t="n">
        <v>1</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HYPERLINK("https://creighton-primo.hosted.exlibrisgroup.com/primo-explore/search?tab=default_tab&amp;search_scope=EVERYTHING&amp;vid=01CRU&amp;lang=en_US&amp;offset=0&amp;query=any,contains,991002680489702656","Catalog Record")</f>
        <v/>
      </c>
      <c r="AT739">
        <f>HYPERLINK("http://www.worldcat.org/oclc/35029702","WorldCat Record")</f>
        <v/>
      </c>
      <c r="AU739" t="inlineStr">
        <is>
          <t>2643458909:eng</t>
        </is>
      </c>
      <c r="AV739" t="inlineStr">
        <is>
          <t>35029702</t>
        </is>
      </c>
      <c r="AW739" t="inlineStr">
        <is>
          <t>991002680489702656</t>
        </is>
      </c>
      <c r="AX739" t="inlineStr">
        <is>
          <t>991002680489702656</t>
        </is>
      </c>
      <c r="AY739" t="inlineStr">
        <is>
          <t>2267962530002656</t>
        </is>
      </c>
      <c r="AZ739" t="inlineStr">
        <is>
          <t>BOOK</t>
        </is>
      </c>
      <c r="BB739" t="inlineStr">
        <is>
          <t>9780198149071</t>
        </is>
      </c>
      <c r="BC739" t="inlineStr">
        <is>
          <t>32285003643698</t>
        </is>
      </c>
      <c r="BD739" t="inlineStr">
        <is>
          <t>893511054</t>
        </is>
      </c>
    </row>
    <row r="740">
      <c r="A740" t="inlineStr">
        <is>
          <t>No</t>
        </is>
      </c>
      <c r="B740" t="inlineStr">
        <is>
          <t>DF234 .L32</t>
        </is>
      </c>
      <c r="C740" t="inlineStr">
        <is>
          <t>0                      DF 0234000L  32</t>
        </is>
      </c>
      <c r="D740" t="inlineStr">
        <is>
          <t>The search for Alexander / Robin Lane Fox.</t>
        </is>
      </c>
      <c r="F740" t="inlineStr">
        <is>
          <t>No</t>
        </is>
      </c>
      <c r="G740" t="inlineStr">
        <is>
          <t>1</t>
        </is>
      </c>
      <c r="H740" t="inlineStr">
        <is>
          <t>No</t>
        </is>
      </c>
      <c r="I740" t="inlineStr">
        <is>
          <t>No</t>
        </is>
      </c>
      <c r="J740" t="inlineStr">
        <is>
          <t>0</t>
        </is>
      </c>
      <c r="K740" t="inlineStr">
        <is>
          <t>Lane Fox, Robin, 1946-</t>
        </is>
      </c>
      <c r="L740" t="inlineStr">
        <is>
          <t>Boston : Little, Brown, c1980.</t>
        </is>
      </c>
      <c r="M740" t="inlineStr">
        <is>
          <t>1980</t>
        </is>
      </c>
      <c r="N740" t="inlineStr">
        <is>
          <t>1st ed.</t>
        </is>
      </c>
      <c r="O740" t="inlineStr">
        <is>
          <t>eng</t>
        </is>
      </c>
      <c r="P740" t="inlineStr">
        <is>
          <t>mau</t>
        </is>
      </c>
      <c r="R740" t="inlineStr">
        <is>
          <t xml:space="preserve">DF </t>
        </is>
      </c>
      <c r="S740" t="n">
        <v>11</v>
      </c>
      <c r="T740" t="n">
        <v>11</v>
      </c>
      <c r="U740" t="inlineStr">
        <is>
          <t>2004-10-06</t>
        </is>
      </c>
      <c r="V740" t="inlineStr">
        <is>
          <t>2004-10-06</t>
        </is>
      </c>
      <c r="W740" t="inlineStr">
        <is>
          <t>1990-04-25</t>
        </is>
      </c>
      <c r="X740" t="inlineStr">
        <is>
          <t>1990-04-25</t>
        </is>
      </c>
      <c r="Y740" t="n">
        <v>1335</v>
      </c>
      <c r="Z740" t="n">
        <v>1246</v>
      </c>
      <c r="AA740" t="n">
        <v>1259</v>
      </c>
      <c r="AB740" t="n">
        <v>11</v>
      </c>
      <c r="AC740" t="n">
        <v>11</v>
      </c>
      <c r="AD740" t="n">
        <v>37</v>
      </c>
      <c r="AE740" t="n">
        <v>37</v>
      </c>
      <c r="AF740" t="n">
        <v>18</v>
      </c>
      <c r="AG740" t="n">
        <v>18</v>
      </c>
      <c r="AH740" t="n">
        <v>4</v>
      </c>
      <c r="AI740" t="n">
        <v>4</v>
      </c>
      <c r="AJ740" t="n">
        <v>19</v>
      </c>
      <c r="AK740" t="n">
        <v>19</v>
      </c>
      <c r="AL740" t="n">
        <v>5</v>
      </c>
      <c r="AM740" t="n">
        <v>5</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HYPERLINK("https://creighton-primo.hosted.exlibrisgroup.com/primo-explore/search?tab=default_tab&amp;search_scope=EVERYTHING&amp;vid=01CRU&amp;lang=en_US&amp;offset=0&amp;query=any,contains,991004985379702656","Catalog Record")</f>
        <v/>
      </c>
      <c r="AT740">
        <f>HYPERLINK("http://www.worldcat.org/oclc/6447311","WorldCat Record")</f>
        <v/>
      </c>
      <c r="AU740" t="inlineStr">
        <is>
          <t>22618259:eng</t>
        </is>
      </c>
      <c r="AV740" t="inlineStr">
        <is>
          <t>6447311</t>
        </is>
      </c>
      <c r="AW740" t="inlineStr">
        <is>
          <t>991004985379702656</t>
        </is>
      </c>
      <c r="AX740" t="inlineStr">
        <is>
          <t>991004985379702656</t>
        </is>
      </c>
      <c r="AY740" t="inlineStr">
        <is>
          <t>2255498300002656</t>
        </is>
      </c>
      <c r="AZ740" t="inlineStr">
        <is>
          <t>BOOK</t>
        </is>
      </c>
      <c r="BB740" t="inlineStr">
        <is>
          <t>9780316291088</t>
        </is>
      </c>
      <c r="BC740" t="inlineStr">
        <is>
          <t>32285000132497</t>
        </is>
      </c>
      <c r="BD740" t="inlineStr">
        <is>
          <t>893344478</t>
        </is>
      </c>
    </row>
    <row r="741">
      <c r="A741" t="inlineStr">
        <is>
          <t>No</t>
        </is>
      </c>
      <c r="B741" t="inlineStr">
        <is>
          <t>DF234 .L78 2004</t>
        </is>
      </c>
      <c r="C741" t="inlineStr">
        <is>
          <t>0                      DF 0234000L  78          2004</t>
        </is>
      </c>
      <c r="D741" t="inlineStr">
        <is>
          <t>Alexander the Great, killer of men : history's greatest conqueror and the Macedonian art of war / David J. Lonsdale.</t>
        </is>
      </c>
      <c r="F741" t="inlineStr">
        <is>
          <t>No</t>
        </is>
      </c>
      <c r="G741" t="inlineStr">
        <is>
          <t>1</t>
        </is>
      </c>
      <c r="H741" t="inlineStr">
        <is>
          <t>No</t>
        </is>
      </c>
      <c r="I741" t="inlineStr">
        <is>
          <t>No</t>
        </is>
      </c>
      <c r="J741" t="inlineStr">
        <is>
          <t>0</t>
        </is>
      </c>
      <c r="K741" t="inlineStr">
        <is>
          <t>Lonsdale, David J.</t>
        </is>
      </c>
      <c r="L741" t="inlineStr">
        <is>
          <t>New York : Carroll &amp; Graf, 2004.</t>
        </is>
      </c>
      <c r="M741" t="inlineStr">
        <is>
          <t>2004</t>
        </is>
      </c>
      <c r="N741" t="inlineStr">
        <is>
          <t>1st Carroll &amp; Graf ed.</t>
        </is>
      </c>
      <c r="O741" t="inlineStr">
        <is>
          <t>eng</t>
        </is>
      </c>
      <c r="P741" t="inlineStr">
        <is>
          <t>nyu</t>
        </is>
      </c>
      <c r="R741" t="inlineStr">
        <is>
          <t xml:space="preserve">DF </t>
        </is>
      </c>
      <c r="S741" t="n">
        <v>2</v>
      </c>
      <c r="T741" t="n">
        <v>2</v>
      </c>
      <c r="U741" t="inlineStr">
        <is>
          <t>2005-04-15</t>
        </is>
      </c>
      <c r="V741" t="inlineStr">
        <is>
          <t>2005-04-15</t>
        </is>
      </c>
      <c r="W741" t="inlineStr">
        <is>
          <t>2005-03-22</t>
        </is>
      </c>
      <c r="X741" t="inlineStr">
        <is>
          <t>2005-03-22</t>
        </is>
      </c>
      <c r="Y741" t="n">
        <v>235</v>
      </c>
      <c r="Z741" t="n">
        <v>211</v>
      </c>
      <c r="AA741" t="n">
        <v>218</v>
      </c>
      <c r="AB741" t="n">
        <v>3</v>
      </c>
      <c r="AC741" t="n">
        <v>3</v>
      </c>
      <c r="AD741" t="n">
        <v>8</v>
      </c>
      <c r="AE741" t="n">
        <v>8</v>
      </c>
      <c r="AF741" t="n">
        <v>1</v>
      </c>
      <c r="AG741" t="n">
        <v>1</v>
      </c>
      <c r="AH741" t="n">
        <v>3</v>
      </c>
      <c r="AI741" t="n">
        <v>3</v>
      </c>
      <c r="AJ741" t="n">
        <v>5</v>
      </c>
      <c r="AK741" t="n">
        <v>5</v>
      </c>
      <c r="AL741" t="n">
        <v>1</v>
      </c>
      <c r="AM741" t="n">
        <v>1</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HYPERLINK("https://creighton-primo.hosted.exlibrisgroup.com/primo-explore/search?tab=default_tab&amp;search_scope=EVERYTHING&amp;vid=01CRU&amp;lang=en_US&amp;offset=0&amp;query=any,contains,991004477209702656","Catalog Record")</f>
        <v/>
      </c>
      <c r="AT741">
        <f>HYPERLINK("http://www.worldcat.org/oclc/57312810","WorldCat Record")</f>
        <v/>
      </c>
      <c r="AU741" t="inlineStr">
        <is>
          <t>865298045:eng</t>
        </is>
      </c>
      <c r="AV741" t="inlineStr">
        <is>
          <t>57312810</t>
        </is>
      </c>
      <c r="AW741" t="inlineStr">
        <is>
          <t>991004477209702656</t>
        </is>
      </c>
      <c r="AX741" t="inlineStr">
        <is>
          <t>991004477209702656</t>
        </is>
      </c>
      <c r="AY741" t="inlineStr">
        <is>
          <t>2263755880002656</t>
        </is>
      </c>
      <c r="AZ741" t="inlineStr">
        <is>
          <t>BOOK</t>
        </is>
      </c>
      <c r="BB741" t="inlineStr">
        <is>
          <t>9780786714292</t>
        </is>
      </c>
      <c r="BC741" t="inlineStr">
        <is>
          <t>32285005043806</t>
        </is>
      </c>
      <c r="BD741" t="inlineStr">
        <is>
          <t>893722451</t>
        </is>
      </c>
    </row>
    <row r="742">
      <c r="A742" t="inlineStr">
        <is>
          <t>No</t>
        </is>
      </c>
      <c r="B742" t="inlineStr">
        <is>
          <t>DF234 .R663 1972</t>
        </is>
      </c>
      <c r="C742" t="inlineStr">
        <is>
          <t>0                      DF 0234000R  663         1972</t>
        </is>
      </c>
      <c r="D742" t="inlineStr">
        <is>
          <t>The history of Alexander the Great / Providence, R.I., Brown University, 1953-63.</t>
        </is>
      </c>
      <c r="E742" t="inlineStr">
        <is>
          <t>V.1</t>
        </is>
      </c>
      <c r="F742" t="inlineStr">
        <is>
          <t>Yes</t>
        </is>
      </c>
      <c r="G742" t="inlineStr">
        <is>
          <t>1</t>
        </is>
      </c>
      <c r="H742" t="inlineStr">
        <is>
          <t>No</t>
        </is>
      </c>
      <c r="I742" t="inlineStr">
        <is>
          <t>No</t>
        </is>
      </c>
      <c r="J742" t="inlineStr">
        <is>
          <t>0</t>
        </is>
      </c>
      <c r="K742" t="inlineStr">
        <is>
          <t>Robinson, Charles Alexander, 1900-1965.</t>
        </is>
      </c>
      <c r="L742" t="inlineStr">
        <is>
          <t>Millwood, N.Y. : Kraus Reprint Co., 1967-72.</t>
        </is>
      </c>
      <c r="M742" t="inlineStr">
        <is>
          <t>1967</t>
        </is>
      </c>
      <c r="O742" t="inlineStr">
        <is>
          <t>eng</t>
        </is>
      </c>
      <c r="P742" t="inlineStr">
        <is>
          <t>nyu</t>
        </is>
      </c>
      <c r="R742" t="inlineStr">
        <is>
          <t xml:space="preserve">DF </t>
        </is>
      </c>
      <c r="S742" t="n">
        <v>1</v>
      </c>
      <c r="T742" t="n">
        <v>3</v>
      </c>
      <c r="U742" t="inlineStr">
        <is>
          <t>2000-10-03</t>
        </is>
      </c>
      <c r="V742" t="inlineStr">
        <is>
          <t>2000-10-03</t>
        </is>
      </c>
      <c r="W742" t="inlineStr">
        <is>
          <t>1997-02-25</t>
        </is>
      </c>
      <c r="X742" t="inlineStr">
        <is>
          <t>1997-02-25</t>
        </is>
      </c>
      <c r="Y742" t="n">
        <v>116</v>
      </c>
      <c r="Z742" t="n">
        <v>94</v>
      </c>
      <c r="AA742" t="n">
        <v>403</v>
      </c>
      <c r="AB742" t="n">
        <v>1</v>
      </c>
      <c r="AC742" t="n">
        <v>2</v>
      </c>
      <c r="AD742" t="n">
        <v>3</v>
      </c>
      <c r="AE742" t="n">
        <v>20</v>
      </c>
      <c r="AF742" t="n">
        <v>1</v>
      </c>
      <c r="AG742" t="n">
        <v>6</v>
      </c>
      <c r="AH742" t="n">
        <v>2</v>
      </c>
      <c r="AI742" t="n">
        <v>8</v>
      </c>
      <c r="AJ742" t="n">
        <v>0</v>
      </c>
      <c r="AK742" t="n">
        <v>12</v>
      </c>
      <c r="AL742" t="n">
        <v>0</v>
      </c>
      <c r="AM742" t="n">
        <v>1</v>
      </c>
      <c r="AN742" t="n">
        <v>0</v>
      </c>
      <c r="AO742" t="n">
        <v>0</v>
      </c>
      <c r="AP742" t="inlineStr">
        <is>
          <t>No</t>
        </is>
      </c>
      <c r="AQ742" t="inlineStr">
        <is>
          <t>Yes</t>
        </is>
      </c>
      <c r="AR742">
        <f>HYPERLINK("http://catalog.hathitrust.org/Record/004408210","HathiTrust Record")</f>
        <v/>
      </c>
      <c r="AS742">
        <f>HYPERLINK("https://creighton-primo.hosted.exlibrisgroup.com/primo-explore/search?tab=default_tab&amp;search_scope=EVERYTHING&amp;vid=01CRU&amp;lang=en_US&amp;offset=0&amp;query=any,contains,991002464669702656","Catalog Record")</f>
        <v/>
      </c>
      <c r="AT742">
        <f>HYPERLINK("http://www.worldcat.org/oclc/357086","WorldCat Record")</f>
        <v/>
      </c>
      <c r="AU742" t="inlineStr">
        <is>
          <t>4061401857:eng</t>
        </is>
      </c>
      <c r="AV742" t="inlineStr">
        <is>
          <t>357086</t>
        </is>
      </c>
      <c r="AW742" t="inlineStr">
        <is>
          <t>991002464669702656</t>
        </is>
      </c>
      <c r="AX742" t="inlineStr">
        <is>
          <t>991002464669702656</t>
        </is>
      </c>
      <c r="AY742" t="inlineStr">
        <is>
          <t>2263056550002656</t>
        </is>
      </c>
      <c r="AZ742" t="inlineStr">
        <is>
          <t>BOOK</t>
        </is>
      </c>
      <c r="BC742" t="inlineStr">
        <is>
          <t>32285002469202</t>
        </is>
      </c>
      <c r="BD742" t="inlineStr">
        <is>
          <t>893879966</t>
        </is>
      </c>
    </row>
    <row r="743">
      <c r="A743" t="inlineStr">
        <is>
          <t>No</t>
        </is>
      </c>
      <c r="B743" t="inlineStr">
        <is>
          <t>DF234 .R663 1972</t>
        </is>
      </c>
      <c r="C743" t="inlineStr">
        <is>
          <t>0                      DF 0234000R  663         1972</t>
        </is>
      </c>
      <c r="D743" t="inlineStr">
        <is>
          <t>The history of Alexander the Great / Providence, R.I., Brown University, 1953-63.</t>
        </is>
      </c>
      <c r="E743" t="inlineStr">
        <is>
          <t>V.2</t>
        </is>
      </c>
      <c r="F743" t="inlineStr">
        <is>
          <t>Yes</t>
        </is>
      </c>
      <c r="G743" t="inlineStr">
        <is>
          <t>1</t>
        </is>
      </c>
      <c r="H743" t="inlineStr">
        <is>
          <t>No</t>
        </is>
      </c>
      <c r="I743" t="inlineStr">
        <is>
          <t>No</t>
        </is>
      </c>
      <c r="J743" t="inlineStr">
        <is>
          <t>0</t>
        </is>
      </c>
      <c r="K743" t="inlineStr">
        <is>
          <t>Robinson, Charles Alexander, 1900-1965.</t>
        </is>
      </c>
      <c r="L743" t="inlineStr">
        <is>
          <t>Millwood, N.Y. : Kraus Reprint Co., 1967-72.</t>
        </is>
      </c>
      <c r="M743" t="inlineStr">
        <is>
          <t>1967</t>
        </is>
      </c>
      <c r="O743" t="inlineStr">
        <is>
          <t>eng</t>
        </is>
      </c>
      <c r="P743" t="inlineStr">
        <is>
          <t>nyu</t>
        </is>
      </c>
      <c r="R743" t="inlineStr">
        <is>
          <t xml:space="preserve">DF </t>
        </is>
      </c>
      <c r="S743" t="n">
        <v>2</v>
      </c>
      <c r="T743" t="n">
        <v>3</v>
      </c>
      <c r="U743" t="inlineStr">
        <is>
          <t>2000-10-03</t>
        </is>
      </c>
      <c r="V743" t="inlineStr">
        <is>
          <t>2000-10-03</t>
        </is>
      </c>
      <c r="W743" t="inlineStr">
        <is>
          <t>1997-02-25</t>
        </is>
      </c>
      <c r="X743" t="inlineStr">
        <is>
          <t>1997-02-25</t>
        </is>
      </c>
      <c r="Y743" t="n">
        <v>116</v>
      </c>
      <c r="Z743" t="n">
        <v>94</v>
      </c>
      <c r="AA743" t="n">
        <v>403</v>
      </c>
      <c r="AB743" t="n">
        <v>1</v>
      </c>
      <c r="AC743" t="n">
        <v>2</v>
      </c>
      <c r="AD743" t="n">
        <v>3</v>
      </c>
      <c r="AE743" t="n">
        <v>20</v>
      </c>
      <c r="AF743" t="n">
        <v>1</v>
      </c>
      <c r="AG743" t="n">
        <v>6</v>
      </c>
      <c r="AH743" t="n">
        <v>2</v>
      </c>
      <c r="AI743" t="n">
        <v>8</v>
      </c>
      <c r="AJ743" t="n">
        <v>0</v>
      </c>
      <c r="AK743" t="n">
        <v>12</v>
      </c>
      <c r="AL743" t="n">
        <v>0</v>
      </c>
      <c r="AM743" t="n">
        <v>1</v>
      </c>
      <c r="AN743" t="n">
        <v>0</v>
      </c>
      <c r="AO743" t="n">
        <v>0</v>
      </c>
      <c r="AP743" t="inlineStr">
        <is>
          <t>No</t>
        </is>
      </c>
      <c r="AQ743" t="inlineStr">
        <is>
          <t>Yes</t>
        </is>
      </c>
      <c r="AR743">
        <f>HYPERLINK("http://catalog.hathitrust.org/Record/004408210","HathiTrust Record")</f>
        <v/>
      </c>
      <c r="AS743">
        <f>HYPERLINK("https://creighton-primo.hosted.exlibrisgroup.com/primo-explore/search?tab=default_tab&amp;search_scope=EVERYTHING&amp;vid=01CRU&amp;lang=en_US&amp;offset=0&amp;query=any,contains,991002464669702656","Catalog Record")</f>
        <v/>
      </c>
      <c r="AT743">
        <f>HYPERLINK("http://www.worldcat.org/oclc/357086","WorldCat Record")</f>
        <v/>
      </c>
      <c r="AU743" t="inlineStr">
        <is>
          <t>4061401857:eng</t>
        </is>
      </c>
      <c r="AV743" t="inlineStr">
        <is>
          <t>357086</t>
        </is>
      </c>
      <c r="AW743" t="inlineStr">
        <is>
          <t>991002464669702656</t>
        </is>
      </c>
      <c r="AX743" t="inlineStr">
        <is>
          <t>991002464669702656</t>
        </is>
      </c>
      <c r="AY743" t="inlineStr">
        <is>
          <t>2263056550002656</t>
        </is>
      </c>
      <c r="AZ743" t="inlineStr">
        <is>
          <t>BOOK</t>
        </is>
      </c>
      <c r="BC743" t="inlineStr">
        <is>
          <t>32285002469210</t>
        </is>
      </c>
      <c r="BD743" t="inlineStr">
        <is>
          <t>893879967</t>
        </is>
      </c>
    </row>
    <row r="744">
      <c r="A744" t="inlineStr">
        <is>
          <t>No</t>
        </is>
      </c>
      <c r="B744" t="inlineStr">
        <is>
          <t>DF234 .W713 1967</t>
        </is>
      </c>
      <c r="C744" t="inlineStr">
        <is>
          <t>0                      DF 0234000W  713         1967</t>
        </is>
      </c>
      <c r="D744" t="inlineStr">
        <is>
          <t>Alexander the Great / translated by G. C. Richards. With pref., an introd. to Alexander studies, notes, and bibliography by Eugene N. Borza.</t>
        </is>
      </c>
      <c r="F744" t="inlineStr">
        <is>
          <t>No</t>
        </is>
      </c>
      <c r="G744" t="inlineStr">
        <is>
          <t>1</t>
        </is>
      </c>
      <c r="H744" t="inlineStr">
        <is>
          <t>No</t>
        </is>
      </c>
      <c r="I744" t="inlineStr">
        <is>
          <t>No</t>
        </is>
      </c>
      <c r="J744" t="inlineStr">
        <is>
          <t>0</t>
        </is>
      </c>
      <c r="K744" t="inlineStr">
        <is>
          <t>Wilcken, Ulrich, 1862-1944.</t>
        </is>
      </c>
      <c r="L744" t="inlineStr">
        <is>
          <t>New York : W. W. Norton, c1967.</t>
        </is>
      </c>
      <c r="M744" t="inlineStr">
        <is>
          <t>1967</t>
        </is>
      </c>
      <c r="O744" t="inlineStr">
        <is>
          <t>eng</t>
        </is>
      </c>
      <c r="P744" t="inlineStr">
        <is>
          <t>nyu</t>
        </is>
      </c>
      <c r="R744" t="inlineStr">
        <is>
          <t xml:space="preserve">DF </t>
        </is>
      </c>
      <c r="S744" t="n">
        <v>15</v>
      </c>
      <c r="T744" t="n">
        <v>15</v>
      </c>
      <c r="U744" t="inlineStr">
        <is>
          <t>2003-03-18</t>
        </is>
      </c>
      <c r="V744" t="inlineStr">
        <is>
          <t>2003-03-18</t>
        </is>
      </c>
      <c r="W744" t="inlineStr">
        <is>
          <t>1990-04-25</t>
        </is>
      </c>
      <c r="X744" t="inlineStr">
        <is>
          <t>1990-04-25</t>
        </is>
      </c>
      <c r="Y744" t="n">
        <v>877</v>
      </c>
      <c r="Z744" t="n">
        <v>767</v>
      </c>
      <c r="AA744" t="n">
        <v>894</v>
      </c>
      <c r="AB744" t="n">
        <v>5</v>
      </c>
      <c r="AC744" t="n">
        <v>6</v>
      </c>
      <c r="AD744" t="n">
        <v>29</v>
      </c>
      <c r="AE744" t="n">
        <v>34</v>
      </c>
      <c r="AF744" t="n">
        <v>13</v>
      </c>
      <c r="AG744" t="n">
        <v>16</v>
      </c>
      <c r="AH744" t="n">
        <v>6</v>
      </c>
      <c r="AI744" t="n">
        <v>7</v>
      </c>
      <c r="AJ744" t="n">
        <v>15</v>
      </c>
      <c r="AK744" t="n">
        <v>17</v>
      </c>
      <c r="AL744" t="n">
        <v>3</v>
      </c>
      <c r="AM744" t="n">
        <v>4</v>
      </c>
      <c r="AN744" t="n">
        <v>0</v>
      </c>
      <c r="AO744" t="n">
        <v>0</v>
      </c>
      <c r="AP744" t="inlineStr">
        <is>
          <t>No</t>
        </is>
      </c>
      <c r="AQ744" t="inlineStr">
        <is>
          <t>Yes</t>
        </is>
      </c>
      <c r="AR744">
        <f>HYPERLINK("http://catalog.hathitrust.org/Record/000612404","HathiTrust Record")</f>
        <v/>
      </c>
      <c r="AS744">
        <f>HYPERLINK("https://creighton-primo.hosted.exlibrisgroup.com/primo-explore/search?tab=default_tab&amp;search_scope=EVERYTHING&amp;vid=01CRU&amp;lang=en_US&amp;offset=0&amp;query=any,contains,991003541719702656","Catalog Record")</f>
        <v/>
      </c>
      <c r="AT744">
        <f>HYPERLINK("http://www.worldcat.org/oclc/1106257","WorldCat Record")</f>
        <v/>
      </c>
      <c r="AU744" t="inlineStr">
        <is>
          <t>10364497:eng</t>
        </is>
      </c>
      <c r="AV744" t="inlineStr">
        <is>
          <t>1106257</t>
        </is>
      </c>
      <c r="AW744" t="inlineStr">
        <is>
          <t>991003541719702656</t>
        </is>
      </c>
      <c r="AX744" t="inlineStr">
        <is>
          <t>991003541719702656</t>
        </is>
      </c>
      <c r="AY744" t="inlineStr">
        <is>
          <t>2259674320002656</t>
        </is>
      </c>
      <c r="AZ744" t="inlineStr">
        <is>
          <t>BOOK</t>
        </is>
      </c>
      <c r="BC744" t="inlineStr">
        <is>
          <t>32285000132505</t>
        </is>
      </c>
      <c r="BD744" t="inlineStr">
        <is>
          <t>893705335</t>
        </is>
      </c>
    </row>
    <row r="745">
      <c r="A745" t="inlineStr">
        <is>
          <t>No</t>
        </is>
      </c>
      <c r="B745" t="inlineStr">
        <is>
          <t>DF234.2 .F73 1996</t>
        </is>
      </c>
      <c r="C745" t="inlineStr">
        <is>
          <t>0                      DF 0234200F  73          1996</t>
        </is>
      </c>
      <c r="D745" t="inlineStr">
        <is>
          <t>Cities of Alexander the Great / P.M. Fraser.</t>
        </is>
      </c>
      <c r="F745" t="inlineStr">
        <is>
          <t>No</t>
        </is>
      </c>
      <c r="G745" t="inlineStr">
        <is>
          <t>1</t>
        </is>
      </c>
      <c r="H745" t="inlineStr">
        <is>
          <t>No</t>
        </is>
      </c>
      <c r="I745" t="inlineStr">
        <is>
          <t>No</t>
        </is>
      </c>
      <c r="J745" t="inlineStr">
        <is>
          <t>0</t>
        </is>
      </c>
      <c r="K745" t="inlineStr">
        <is>
          <t>Fraser, P. M. (Peter Marshall)</t>
        </is>
      </c>
      <c r="L745" t="inlineStr">
        <is>
          <t>Oxford : Clarendon Press ; New York : Oxford University Press, 1996.</t>
        </is>
      </c>
      <c r="M745" t="inlineStr">
        <is>
          <t>1996</t>
        </is>
      </c>
      <c r="O745" t="inlineStr">
        <is>
          <t>eng</t>
        </is>
      </c>
      <c r="P745" t="inlineStr">
        <is>
          <t>enk</t>
        </is>
      </c>
      <c r="R745" t="inlineStr">
        <is>
          <t xml:space="preserve">DF </t>
        </is>
      </c>
      <c r="S745" t="n">
        <v>5</v>
      </c>
      <c r="T745" t="n">
        <v>5</v>
      </c>
      <c r="U745" t="inlineStr">
        <is>
          <t>2002-08-24</t>
        </is>
      </c>
      <c r="V745" t="inlineStr">
        <is>
          <t>2002-08-24</t>
        </is>
      </c>
      <c r="W745" t="inlineStr">
        <is>
          <t>1997-11-20</t>
        </is>
      </c>
      <c r="X745" t="inlineStr">
        <is>
          <t>1997-11-20</t>
        </is>
      </c>
      <c r="Y745" t="n">
        <v>405</v>
      </c>
      <c r="Z745" t="n">
        <v>298</v>
      </c>
      <c r="AA745" t="n">
        <v>302</v>
      </c>
      <c r="AB745" t="n">
        <v>3</v>
      </c>
      <c r="AC745" t="n">
        <v>3</v>
      </c>
      <c r="AD745" t="n">
        <v>17</v>
      </c>
      <c r="AE745" t="n">
        <v>17</v>
      </c>
      <c r="AF745" t="n">
        <v>4</v>
      </c>
      <c r="AG745" t="n">
        <v>4</v>
      </c>
      <c r="AH745" t="n">
        <v>6</v>
      </c>
      <c r="AI745" t="n">
        <v>6</v>
      </c>
      <c r="AJ745" t="n">
        <v>11</v>
      </c>
      <c r="AK745" t="n">
        <v>11</v>
      </c>
      <c r="AL745" t="n">
        <v>2</v>
      </c>
      <c r="AM745" t="n">
        <v>2</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HYPERLINK("https://creighton-primo.hosted.exlibrisgroup.com/primo-explore/search?tab=default_tab&amp;search_scope=EVERYTHING&amp;vid=01CRU&amp;lang=en_US&amp;offset=0&amp;query=any,contains,991002498459702656","Catalog Record")</f>
        <v/>
      </c>
      <c r="AT745">
        <f>HYPERLINK("http://www.worldcat.org/oclc/32508904","WorldCat Record")</f>
        <v/>
      </c>
      <c r="AU745" t="inlineStr">
        <is>
          <t>34223662:eng</t>
        </is>
      </c>
      <c r="AV745" t="inlineStr">
        <is>
          <t>32508904</t>
        </is>
      </c>
      <c r="AW745" t="inlineStr">
        <is>
          <t>991002498459702656</t>
        </is>
      </c>
      <c r="AX745" t="inlineStr">
        <is>
          <t>991002498459702656</t>
        </is>
      </c>
      <c r="AY745" t="inlineStr">
        <is>
          <t>2261730770002656</t>
        </is>
      </c>
      <c r="AZ745" t="inlineStr">
        <is>
          <t>BOOK</t>
        </is>
      </c>
      <c r="BB745" t="inlineStr">
        <is>
          <t>9780198150060</t>
        </is>
      </c>
      <c r="BC745" t="inlineStr">
        <is>
          <t>32285003272357</t>
        </is>
      </c>
      <c r="BD745" t="inlineStr">
        <is>
          <t>893622356</t>
        </is>
      </c>
    </row>
    <row r="746">
      <c r="A746" t="inlineStr">
        <is>
          <t>No</t>
        </is>
      </c>
      <c r="B746" t="inlineStr">
        <is>
          <t>DF234.2 .H34 1993</t>
        </is>
      </c>
      <c r="C746" t="inlineStr">
        <is>
          <t>0                      DF 0234200H  34          1993</t>
        </is>
      </c>
      <c r="D746" t="inlineStr">
        <is>
          <t>Sources for Alexander the Great : an analysis of Plutarch's Life and Arrian's Anabasis Alexandrou / N.G.L. Hammond.</t>
        </is>
      </c>
      <c r="F746" t="inlineStr">
        <is>
          <t>No</t>
        </is>
      </c>
      <c r="G746" t="inlineStr">
        <is>
          <t>1</t>
        </is>
      </c>
      <c r="H746" t="inlineStr">
        <is>
          <t>No</t>
        </is>
      </c>
      <c r="I746" t="inlineStr">
        <is>
          <t>No</t>
        </is>
      </c>
      <c r="J746" t="inlineStr">
        <is>
          <t>0</t>
        </is>
      </c>
      <c r="K746" t="inlineStr">
        <is>
          <t>Hammond, N. G. L. (Nicholas Geoffrey Lemprière), 1907-2001.</t>
        </is>
      </c>
      <c r="L746" t="inlineStr">
        <is>
          <t>Cambridge [England] ; New York : Cambridge University Press, 1993.</t>
        </is>
      </c>
      <c r="M746" t="inlineStr">
        <is>
          <t>1993</t>
        </is>
      </c>
      <c r="O746" t="inlineStr">
        <is>
          <t>eng</t>
        </is>
      </c>
      <c r="P746" t="inlineStr">
        <is>
          <t>enk</t>
        </is>
      </c>
      <c r="Q746" t="inlineStr">
        <is>
          <t>Cambridge classical studies</t>
        </is>
      </c>
      <c r="R746" t="inlineStr">
        <is>
          <t xml:space="preserve">DF </t>
        </is>
      </c>
      <c r="S746" t="n">
        <v>5</v>
      </c>
      <c r="T746" t="n">
        <v>5</v>
      </c>
      <c r="U746" t="inlineStr">
        <is>
          <t>2004-11-08</t>
        </is>
      </c>
      <c r="V746" t="inlineStr">
        <is>
          <t>2004-11-08</t>
        </is>
      </c>
      <c r="W746" t="inlineStr">
        <is>
          <t>1997-11-04</t>
        </is>
      </c>
      <c r="X746" t="inlineStr">
        <is>
          <t>1997-11-04</t>
        </is>
      </c>
      <c r="Y746" t="n">
        <v>362</v>
      </c>
      <c r="Z746" t="n">
        <v>247</v>
      </c>
      <c r="AA746" t="n">
        <v>248</v>
      </c>
      <c r="AB746" t="n">
        <v>1</v>
      </c>
      <c r="AC746" t="n">
        <v>2</v>
      </c>
      <c r="AD746" t="n">
        <v>13</v>
      </c>
      <c r="AE746" t="n">
        <v>14</v>
      </c>
      <c r="AF746" t="n">
        <v>6</v>
      </c>
      <c r="AG746" t="n">
        <v>6</v>
      </c>
      <c r="AH746" t="n">
        <v>3</v>
      </c>
      <c r="AI746" t="n">
        <v>3</v>
      </c>
      <c r="AJ746" t="n">
        <v>11</v>
      </c>
      <c r="AK746" t="n">
        <v>11</v>
      </c>
      <c r="AL746" t="n">
        <v>0</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HYPERLINK("https://creighton-primo.hosted.exlibrisgroup.com/primo-explore/search?tab=default_tab&amp;search_scope=EVERYTHING&amp;vid=01CRU&amp;lang=en_US&amp;offset=0&amp;query=any,contains,991002014679702656","Catalog Record")</f>
        <v/>
      </c>
      <c r="AT746">
        <f>HYPERLINK("http://www.worldcat.org/oclc/25630696","WorldCat Record")</f>
        <v/>
      </c>
      <c r="AU746" t="inlineStr">
        <is>
          <t>806696917:eng</t>
        </is>
      </c>
      <c r="AV746" t="inlineStr">
        <is>
          <t>25630696</t>
        </is>
      </c>
      <c r="AW746" t="inlineStr">
        <is>
          <t>991002014679702656</t>
        </is>
      </c>
      <c r="AX746" t="inlineStr">
        <is>
          <t>991002014679702656</t>
        </is>
      </c>
      <c r="AY746" t="inlineStr">
        <is>
          <t>2266754960002656</t>
        </is>
      </c>
      <c r="AZ746" t="inlineStr">
        <is>
          <t>BOOK</t>
        </is>
      </c>
      <c r="BB746" t="inlineStr">
        <is>
          <t>9780521432641</t>
        </is>
      </c>
      <c r="BC746" t="inlineStr">
        <is>
          <t>32285003275418</t>
        </is>
      </c>
      <c r="BD746" t="inlineStr">
        <is>
          <t>893316275</t>
        </is>
      </c>
    </row>
    <row r="747">
      <c r="A747" t="inlineStr">
        <is>
          <t>No</t>
        </is>
      </c>
      <c r="B747" t="inlineStr">
        <is>
          <t>DF234.2 .M37 1985</t>
        </is>
      </c>
      <c r="C747" t="inlineStr">
        <is>
          <t>0                      DF 0234200M  37          1985</t>
        </is>
      </c>
      <c r="D747" t="inlineStr">
        <is>
          <t>Visions of one world : legacy of Alexander / John H. Marks.</t>
        </is>
      </c>
      <c r="F747" t="inlineStr">
        <is>
          <t>No</t>
        </is>
      </c>
      <c r="G747" t="inlineStr">
        <is>
          <t>1</t>
        </is>
      </c>
      <c r="H747" t="inlineStr">
        <is>
          <t>No</t>
        </is>
      </c>
      <c r="I747" t="inlineStr">
        <is>
          <t>No</t>
        </is>
      </c>
      <c r="J747" t="inlineStr">
        <is>
          <t>0</t>
        </is>
      </c>
      <c r="K747" t="inlineStr">
        <is>
          <t>Marks, John H. (John Henry)</t>
        </is>
      </c>
      <c r="L747" t="inlineStr">
        <is>
          <t>Guilford, Conn. : Four Quarters Pub. Co., c1985.</t>
        </is>
      </c>
      <c r="M747" t="inlineStr">
        <is>
          <t>1985</t>
        </is>
      </c>
      <c r="O747" t="inlineStr">
        <is>
          <t>eng</t>
        </is>
      </c>
      <c r="P747" t="inlineStr">
        <is>
          <t>ctu</t>
        </is>
      </c>
      <c r="R747" t="inlineStr">
        <is>
          <t xml:space="preserve">DF </t>
        </is>
      </c>
      <c r="S747" t="n">
        <v>5</v>
      </c>
      <c r="T747" t="n">
        <v>5</v>
      </c>
      <c r="U747" t="inlineStr">
        <is>
          <t>2004-11-08</t>
        </is>
      </c>
      <c r="V747" t="inlineStr">
        <is>
          <t>2004-11-08</t>
        </is>
      </c>
      <c r="W747" t="inlineStr">
        <is>
          <t>1991-02-19</t>
        </is>
      </c>
      <c r="X747" t="inlineStr">
        <is>
          <t>1991-02-19</t>
        </is>
      </c>
      <c r="Y747" t="n">
        <v>126</v>
      </c>
      <c r="Z747" t="n">
        <v>103</v>
      </c>
      <c r="AA747" t="n">
        <v>104</v>
      </c>
      <c r="AB747" t="n">
        <v>2</v>
      </c>
      <c r="AC747" t="n">
        <v>2</v>
      </c>
      <c r="AD747" t="n">
        <v>6</v>
      </c>
      <c r="AE747" t="n">
        <v>6</v>
      </c>
      <c r="AF747" t="n">
        <v>1</v>
      </c>
      <c r="AG747" t="n">
        <v>1</v>
      </c>
      <c r="AH747" t="n">
        <v>1</v>
      </c>
      <c r="AI747" t="n">
        <v>1</v>
      </c>
      <c r="AJ747" t="n">
        <v>4</v>
      </c>
      <c r="AK747" t="n">
        <v>4</v>
      </c>
      <c r="AL747" t="n">
        <v>1</v>
      </c>
      <c r="AM747" t="n">
        <v>1</v>
      </c>
      <c r="AN747" t="n">
        <v>0</v>
      </c>
      <c r="AO747" t="n">
        <v>0</v>
      </c>
      <c r="AP747" t="inlineStr">
        <is>
          <t>No</t>
        </is>
      </c>
      <c r="AQ747" t="inlineStr">
        <is>
          <t>Yes</t>
        </is>
      </c>
      <c r="AR747">
        <f>HYPERLINK("http://catalog.hathitrust.org/Record/007151170","HathiTrust Record")</f>
        <v/>
      </c>
      <c r="AS747">
        <f>HYPERLINK("https://creighton-primo.hosted.exlibrisgroup.com/primo-explore/search?tab=default_tab&amp;search_scope=EVERYTHING&amp;vid=01CRU&amp;lang=en_US&amp;offset=0&amp;query=any,contains,991000596939702656","Catalog Record")</f>
        <v/>
      </c>
      <c r="AT747">
        <f>HYPERLINK("http://www.worldcat.org/oclc/11813395","WorldCat Record")</f>
        <v/>
      </c>
      <c r="AU747" t="inlineStr">
        <is>
          <t>346058965:eng</t>
        </is>
      </c>
      <c r="AV747" t="inlineStr">
        <is>
          <t>11813395</t>
        </is>
      </c>
      <c r="AW747" t="inlineStr">
        <is>
          <t>991000596939702656</t>
        </is>
      </c>
      <c r="AX747" t="inlineStr">
        <is>
          <t>991000596939702656</t>
        </is>
      </c>
      <c r="AY747" t="inlineStr">
        <is>
          <t>2260510710002656</t>
        </is>
      </c>
      <c r="AZ747" t="inlineStr">
        <is>
          <t>BOOK</t>
        </is>
      </c>
      <c r="BB747" t="inlineStr">
        <is>
          <t>9780931500091</t>
        </is>
      </c>
      <c r="BC747" t="inlineStr">
        <is>
          <t>32285000520147</t>
        </is>
      </c>
      <c r="BD747" t="inlineStr">
        <is>
          <t>893771777</t>
        </is>
      </c>
    </row>
    <row r="748">
      <c r="A748" t="inlineStr">
        <is>
          <t>No</t>
        </is>
      </c>
      <c r="B748" t="inlineStr">
        <is>
          <t>DF234.2 .P4 1983</t>
        </is>
      </c>
      <c r="C748" t="inlineStr">
        <is>
          <t>0                      DF 0234200P  4           1983</t>
        </is>
      </c>
      <c r="D748" t="inlineStr">
        <is>
          <t>The lost histories of Alexander the Great / Lionel Pearson.</t>
        </is>
      </c>
      <c r="F748" t="inlineStr">
        <is>
          <t>No</t>
        </is>
      </c>
      <c r="G748" t="inlineStr">
        <is>
          <t>1</t>
        </is>
      </c>
      <c r="H748" t="inlineStr">
        <is>
          <t>No</t>
        </is>
      </c>
      <c r="I748" t="inlineStr">
        <is>
          <t>No</t>
        </is>
      </c>
      <c r="J748" t="inlineStr">
        <is>
          <t>0</t>
        </is>
      </c>
      <c r="K748" t="inlineStr">
        <is>
          <t>Pearson, Lionel.</t>
        </is>
      </c>
      <c r="L748" t="inlineStr">
        <is>
          <t>Chico, Calif. : Scholars Press, 1983.</t>
        </is>
      </c>
      <c r="M748" t="inlineStr">
        <is>
          <t>1983</t>
        </is>
      </c>
      <c r="O748" t="inlineStr">
        <is>
          <t>eng</t>
        </is>
      </c>
      <c r="P748" t="inlineStr">
        <is>
          <t>cau</t>
        </is>
      </c>
      <c r="R748" t="inlineStr">
        <is>
          <t xml:space="preserve">DF </t>
        </is>
      </c>
      <c r="S748" t="n">
        <v>7</v>
      </c>
      <c r="T748" t="n">
        <v>7</v>
      </c>
      <c r="U748" t="inlineStr">
        <is>
          <t>2004-10-06</t>
        </is>
      </c>
      <c r="V748" t="inlineStr">
        <is>
          <t>2004-10-06</t>
        </is>
      </c>
      <c r="W748" t="inlineStr">
        <is>
          <t>1992-11-01</t>
        </is>
      </c>
      <c r="X748" t="inlineStr">
        <is>
          <t>1992-11-01</t>
        </is>
      </c>
      <c r="Y748" t="n">
        <v>118</v>
      </c>
      <c r="Z748" t="n">
        <v>95</v>
      </c>
      <c r="AA748" t="n">
        <v>372</v>
      </c>
      <c r="AB748" t="n">
        <v>2</v>
      </c>
      <c r="AC748" t="n">
        <v>3</v>
      </c>
      <c r="AD748" t="n">
        <v>7</v>
      </c>
      <c r="AE748" t="n">
        <v>25</v>
      </c>
      <c r="AF748" t="n">
        <v>3</v>
      </c>
      <c r="AG748" t="n">
        <v>9</v>
      </c>
      <c r="AH748" t="n">
        <v>2</v>
      </c>
      <c r="AI748" t="n">
        <v>6</v>
      </c>
      <c r="AJ748" t="n">
        <v>4</v>
      </c>
      <c r="AK748" t="n">
        <v>17</v>
      </c>
      <c r="AL748" t="n">
        <v>1</v>
      </c>
      <c r="AM748" t="n">
        <v>2</v>
      </c>
      <c r="AN748" t="n">
        <v>0</v>
      </c>
      <c r="AO748" t="n">
        <v>0</v>
      </c>
      <c r="AP748" t="inlineStr">
        <is>
          <t>No</t>
        </is>
      </c>
      <c r="AQ748" t="inlineStr">
        <is>
          <t>Yes</t>
        </is>
      </c>
      <c r="AR748">
        <f>HYPERLINK("http://catalog.hathitrust.org/Record/000117277","HathiTrust Record")</f>
        <v/>
      </c>
      <c r="AS748">
        <f>HYPERLINK("https://creighton-primo.hosted.exlibrisgroup.com/primo-explore/search?tab=default_tab&amp;search_scope=EVERYTHING&amp;vid=01CRU&amp;lang=en_US&amp;offset=0&amp;query=any,contains,991000239189702656","Catalog Record")</f>
        <v/>
      </c>
      <c r="AT748">
        <f>HYPERLINK("http://www.worldcat.org/oclc/9682695","WorldCat Record")</f>
        <v/>
      </c>
      <c r="AU748" t="inlineStr">
        <is>
          <t>1653285:eng</t>
        </is>
      </c>
      <c r="AV748" t="inlineStr">
        <is>
          <t>9682695</t>
        </is>
      </c>
      <c r="AW748" t="inlineStr">
        <is>
          <t>991000239189702656</t>
        </is>
      </c>
      <c r="AX748" t="inlineStr">
        <is>
          <t>991000239189702656</t>
        </is>
      </c>
      <c r="AY748" t="inlineStr">
        <is>
          <t>2264010010002656</t>
        </is>
      </c>
      <c r="AZ748" t="inlineStr">
        <is>
          <t>BOOK</t>
        </is>
      </c>
      <c r="BB748" t="inlineStr">
        <is>
          <t>9780891306412</t>
        </is>
      </c>
      <c r="BC748" t="inlineStr">
        <is>
          <t>32285001380400</t>
        </is>
      </c>
      <c r="BD748" t="inlineStr">
        <is>
          <t>893237185</t>
        </is>
      </c>
    </row>
    <row r="749">
      <c r="A749" t="inlineStr">
        <is>
          <t>No</t>
        </is>
      </c>
      <c r="B749" t="inlineStr">
        <is>
          <t>DF234.3 .B5</t>
        </is>
      </c>
      <c r="C749" t="inlineStr">
        <is>
          <t>0                      DF 0234300B  5</t>
        </is>
      </c>
      <c r="D749" t="inlineStr">
        <is>
          <t>Alexander the Great in Greek and Roman art.</t>
        </is>
      </c>
      <c r="F749" t="inlineStr">
        <is>
          <t>No</t>
        </is>
      </c>
      <c r="G749" t="inlineStr">
        <is>
          <t>1</t>
        </is>
      </c>
      <c r="H749" t="inlineStr">
        <is>
          <t>No</t>
        </is>
      </c>
      <c r="I749" t="inlineStr">
        <is>
          <t>No</t>
        </is>
      </c>
      <c r="J749" t="inlineStr">
        <is>
          <t>0</t>
        </is>
      </c>
      <c r="K749" t="inlineStr">
        <is>
          <t>Bieber, Margarete, 1879-1976.</t>
        </is>
      </c>
      <c r="L749" t="inlineStr">
        <is>
          <t>Chicago : Argonaut, 1964.</t>
        </is>
      </c>
      <c r="M749" t="inlineStr">
        <is>
          <t>1964</t>
        </is>
      </c>
      <c r="O749" t="inlineStr">
        <is>
          <t>eng</t>
        </is>
      </c>
      <c r="P749" t="inlineStr">
        <is>
          <t>ilu</t>
        </is>
      </c>
      <c r="Q749" t="inlineStr">
        <is>
          <t>Argonaut library of antiquities</t>
        </is>
      </c>
      <c r="R749" t="inlineStr">
        <is>
          <t xml:space="preserve">DF </t>
        </is>
      </c>
      <c r="S749" t="n">
        <v>3</v>
      </c>
      <c r="T749" t="n">
        <v>3</v>
      </c>
      <c r="U749" t="inlineStr">
        <is>
          <t>2006-04-11</t>
        </is>
      </c>
      <c r="V749" t="inlineStr">
        <is>
          <t>2006-04-11</t>
        </is>
      </c>
      <c r="W749" t="inlineStr">
        <is>
          <t>1992-03-11</t>
        </is>
      </c>
      <c r="X749" t="inlineStr">
        <is>
          <t>1992-03-11</t>
        </is>
      </c>
      <c r="Y749" t="n">
        <v>578</v>
      </c>
      <c r="Z749" t="n">
        <v>480</v>
      </c>
      <c r="AA749" t="n">
        <v>487</v>
      </c>
      <c r="AB749" t="n">
        <v>7</v>
      </c>
      <c r="AC749" t="n">
        <v>7</v>
      </c>
      <c r="AD749" t="n">
        <v>26</v>
      </c>
      <c r="AE749" t="n">
        <v>26</v>
      </c>
      <c r="AF749" t="n">
        <v>9</v>
      </c>
      <c r="AG749" t="n">
        <v>9</v>
      </c>
      <c r="AH749" t="n">
        <v>6</v>
      </c>
      <c r="AI749" t="n">
        <v>6</v>
      </c>
      <c r="AJ749" t="n">
        <v>9</v>
      </c>
      <c r="AK749" t="n">
        <v>9</v>
      </c>
      <c r="AL749" t="n">
        <v>6</v>
      </c>
      <c r="AM749" t="n">
        <v>6</v>
      </c>
      <c r="AN749" t="n">
        <v>0</v>
      </c>
      <c r="AO749" t="n">
        <v>0</v>
      </c>
      <c r="AP749" t="inlineStr">
        <is>
          <t>No</t>
        </is>
      </c>
      <c r="AQ749" t="inlineStr">
        <is>
          <t>Yes</t>
        </is>
      </c>
      <c r="AR749">
        <f>HYPERLINK("http://catalog.hathitrust.org/Record/000574256","HathiTrust Record")</f>
        <v/>
      </c>
      <c r="AS749">
        <f>HYPERLINK("https://creighton-primo.hosted.exlibrisgroup.com/primo-explore/search?tab=default_tab&amp;search_scope=EVERYTHING&amp;vid=01CRU&amp;lang=en_US&amp;offset=0&amp;query=any,contains,991002705489702656","Catalog Record")</f>
        <v/>
      </c>
      <c r="AT749">
        <f>HYPERLINK("http://www.worldcat.org/oclc/406930","WorldCat Record")</f>
        <v/>
      </c>
      <c r="AU749" t="inlineStr">
        <is>
          <t>1436955:eng</t>
        </is>
      </c>
      <c r="AV749" t="inlineStr">
        <is>
          <t>406930</t>
        </is>
      </c>
      <c r="AW749" t="inlineStr">
        <is>
          <t>991002705489702656</t>
        </is>
      </c>
      <c r="AX749" t="inlineStr">
        <is>
          <t>991002705489702656</t>
        </is>
      </c>
      <c r="AY749" t="inlineStr">
        <is>
          <t>2261127800002656</t>
        </is>
      </c>
      <c r="AZ749" t="inlineStr">
        <is>
          <t>BOOK</t>
        </is>
      </c>
      <c r="BC749" t="inlineStr">
        <is>
          <t>32285000996081</t>
        </is>
      </c>
      <c r="BD749" t="inlineStr">
        <is>
          <t>893427911</t>
        </is>
      </c>
    </row>
    <row r="750">
      <c r="A750" t="inlineStr">
        <is>
          <t>No</t>
        </is>
      </c>
      <c r="B750" t="inlineStr">
        <is>
          <t>DF234.9.H37 B53 1999</t>
        </is>
      </c>
      <c r="C750" t="inlineStr">
        <is>
          <t>0                      DF 0234900H  37                 B  53          1999</t>
        </is>
      </c>
      <c r="D750" t="inlineStr">
        <is>
          <t>In the absence of Alexander : Harpalus and the failure of Macedonian authority / Christopher W. Blackwell.</t>
        </is>
      </c>
      <c r="F750" t="inlineStr">
        <is>
          <t>No</t>
        </is>
      </c>
      <c r="G750" t="inlineStr">
        <is>
          <t>1</t>
        </is>
      </c>
      <c r="H750" t="inlineStr">
        <is>
          <t>No</t>
        </is>
      </c>
      <c r="I750" t="inlineStr">
        <is>
          <t>No</t>
        </is>
      </c>
      <c r="J750" t="inlineStr">
        <is>
          <t>0</t>
        </is>
      </c>
      <c r="K750" t="inlineStr">
        <is>
          <t>Blackwell, Christopher W., 1968-</t>
        </is>
      </c>
      <c r="L750" t="inlineStr">
        <is>
          <t>New York : Peter Lang, c1999.</t>
        </is>
      </c>
      <c r="M750" t="inlineStr">
        <is>
          <t>1999</t>
        </is>
      </c>
      <c r="O750" t="inlineStr">
        <is>
          <t>eng</t>
        </is>
      </c>
      <c r="P750" t="inlineStr">
        <is>
          <t>nyu</t>
        </is>
      </c>
      <c r="Q750" t="inlineStr">
        <is>
          <t>Lang classical studies, 0891-4087 ; vol. 12</t>
        </is>
      </c>
      <c r="R750" t="inlineStr">
        <is>
          <t xml:space="preserve">DF </t>
        </is>
      </c>
      <c r="S750" t="n">
        <v>2</v>
      </c>
      <c r="T750" t="n">
        <v>2</v>
      </c>
      <c r="U750" t="inlineStr">
        <is>
          <t>2001-04-02</t>
        </is>
      </c>
      <c r="V750" t="inlineStr">
        <is>
          <t>2001-04-02</t>
        </is>
      </c>
      <c r="W750" t="inlineStr">
        <is>
          <t>2001-03-21</t>
        </is>
      </c>
      <c r="X750" t="inlineStr">
        <is>
          <t>2001-03-21</t>
        </is>
      </c>
      <c r="Y750" t="n">
        <v>140</v>
      </c>
      <c r="Z750" t="n">
        <v>101</v>
      </c>
      <c r="AA750" t="n">
        <v>108</v>
      </c>
      <c r="AB750" t="n">
        <v>3</v>
      </c>
      <c r="AC750" t="n">
        <v>3</v>
      </c>
      <c r="AD750" t="n">
        <v>7</v>
      </c>
      <c r="AE750" t="n">
        <v>8</v>
      </c>
      <c r="AF750" t="n">
        <v>1</v>
      </c>
      <c r="AG750" t="n">
        <v>1</v>
      </c>
      <c r="AH750" t="n">
        <v>1</v>
      </c>
      <c r="AI750" t="n">
        <v>2</v>
      </c>
      <c r="AJ750" t="n">
        <v>5</v>
      </c>
      <c r="AK750" t="n">
        <v>6</v>
      </c>
      <c r="AL750" t="n">
        <v>2</v>
      </c>
      <c r="AM750" t="n">
        <v>2</v>
      </c>
      <c r="AN750" t="n">
        <v>0</v>
      </c>
      <c r="AO750" t="n">
        <v>0</v>
      </c>
      <c r="AP750" t="inlineStr">
        <is>
          <t>No</t>
        </is>
      </c>
      <c r="AQ750" t="inlineStr">
        <is>
          <t>Yes</t>
        </is>
      </c>
      <c r="AR750">
        <f>HYPERLINK("http://catalog.hathitrust.org/Record/004039211","HathiTrust Record")</f>
        <v/>
      </c>
      <c r="AS750">
        <f>HYPERLINK("https://creighton-primo.hosted.exlibrisgroup.com/primo-explore/search?tab=default_tab&amp;search_scope=EVERYTHING&amp;vid=01CRU&amp;lang=en_US&amp;offset=0&amp;query=any,contains,991003478719702656","Catalog Record")</f>
        <v/>
      </c>
      <c r="AT750">
        <f>HYPERLINK("http://www.worldcat.org/oclc/38126024","WorldCat Record")</f>
        <v/>
      </c>
      <c r="AU750" t="inlineStr">
        <is>
          <t>625041:eng</t>
        </is>
      </c>
      <c r="AV750" t="inlineStr">
        <is>
          <t>38126024</t>
        </is>
      </c>
      <c r="AW750" t="inlineStr">
        <is>
          <t>991003478719702656</t>
        </is>
      </c>
      <c r="AX750" t="inlineStr">
        <is>
          <t>991003478719702656</t>
        </is>
      </c>
      <c r="AY750" t="inlineStr">
        <is>
          <t>2271118340002656</t>
        </is>
      </c>
      <c r="AZ750" t="inlineStr">
        <is>
          <t>BOOK</t>
        </is>
      </c>
      <c r="BB750" t="inlineStr">
        <is>
          <t>9780820439877</t>
        </is>
      </c>
      <c r="BC750" t="inlineStr">
        <is>
          <t>32285004306592</t>
        </is>
      </c>
      <c r="BD750" t="inlineStr">
        <is>
          <t>893252404</t>
        </is>
      </c>
    </row>
    <row r="751">
      <c r="A751" t="inlineStr">
        <is>
          <t>No</t>
        </is>
      </c>
      <c r="B751" t="inlineStr">
        <is>
          <t>DF234.A1 F72 1979</t>
        </is>
      </c>
      <c r="C751" t="inlineStr">
        <is>
          <t>0                      DF 0234000A  1                  F  72          1979</t>
        </is>
      </c>
      <c r="D751" t="inlineStr">
        <is>
          <t>The Fragments of the lost historians of Alexander the Great : fragmenta scriptorum de rebus Alexandri Magni, Pseudo-Callisthenes, Itinerarium Alexandri : Greek text and facing Latin translation with introductions and commentaries in Latin / edited by Karl Müller.</t>
        </is>
      </c>
      <c r="F751" t="inlineStr">
        <is>
          <t>No</t>
        </is>
      </c>
      <c r="G751" t="inlineStr">
        <is>
          <t>1</t>
        </is>
      </c>
      <c r="H751" t="inlineStr">
        <is>
          <t>No</t>
        </is>
      </c>
      <c r="I751" t="inlineStr">
        <is>
          <t>No</t>
        </is>
      </c>
      <c r="J751" t="inlineStr">
        <is>
          <t>0</t>
        </is>
      </c>
      <c r="L751" t="inlineStr">
        <is>
          <t>Chicago : Ares, 1979.</t>
        </is>
      </c>
      <c r="M751" t="inlineStr">
        <is>
          <t>1979</t>
        </is>
      </c>
      <c r="O751" t="inlineStr">
        <is>
          <t>grc</t>
        </is>
      </c>
      <c r="P751" t="inlineStr">
        <is>
          <t>ilu</t>
        </is>
      </c>
      <c r="R751" t="inlineStr">
        <is>
          <t xml:space="preserve">DF </t>
        </is>
      </c>
      <c r="S751" t="n">
        <v>4</v>
      </c>
      <c r="T751" t="n">
        <v>4</v>
      </c>
      <c r="U751" t="inlineStr">
        <is>
          <t>1993-03-11</t>
        </is>
      </c>
      <c r="V751" t="inlineStr">
        <is>
          <t>1993-03-11</t>
        </is>
      </c>
      <c r="W751" t="inlineStr">
        <is>
          <t>1990-04-30</t>
        </is>
      </c>
      <c r="X751" t="inlineStr">
        <is>
          <t>1990-04-30</t>
        </is>
      </c>
      <c r="Y751" t="n">
        <v>83</v>
      </c>
      <c r="Z751" t="n">
        <v>65</v>
      </c>
      <c r="AA751" t="n">
        <v>68</v>
      </c>
      <c r="AB751" t="n">
        <v>2</v>
      </c>
      <c r="AC751" t="n">
        <v>2</v>
      </c>
      <c r="AD751" t="n">
        <v>8</v>
      </c>
      <c r="AE751" t="n">
        <v>8</v>
      </c>
      <c r="AF751" t="n">
        <v>1</v>
      </c>
      <c r="AG751" t="n">
        <v>1</v>
      </c>
      <c r="AH751" t="n">
        <v>4</v>
      </c>
      <c r="AI751" t="n">
        <v>4</v>
      </c>
      <c r="AJ751" t="n">
        <v>5</v>
      </c>
      <c r="AK751" t="n">
        <v>5</v>
      </c>
      <c r="AL751" t="n">
        <v>1</v>
      </c>
      <c r="AM751" t="n">
        <v>1</v>
      </c>
      <c r="AN751" t="n">
        <v>0</v>
      </c>
      <c r="AO751" t="n">
        <v>0</v>
      </c>
      <c r="AP751" t="inlineStr">
        <is>
          <t>No</t>
        </is>
      </c>
      <c r="AQ751" t="inlineStr">
        <is>
          <t>Yes</t>
        </is>
      </c>
      <c r="AR751">
        <f>HYPERLINK("http://catalog.hathitrust.org/Record/000165662","HathiTrust Record")</f>
        <v/>
      </c>
      <c r="AS751">
        <f>HYPERLINK("https://creighton-primo.hosted.exlibrisgroup.com/primo-explore/search?tab=default_tab&amp;search_scope=EVERYTHING&amp;vid=01CRU&amp;lang=en_US&amp;offset=0&amp;query=any,contains,991004890969702656","Catalog Record")</f>
        <v/>
      </c>
      <c r="AT751">
        <f>HYPERLINK("http://www.worldcat.org/oclc/5871764","WorldCat Record")</f>
        <v/>
      </c>
      <c r="AU751" t="inlineStr">
        <is>
          <t>19934510:grc</t>
        </is>
      </c>
      <c r="AV751" t="inlineStr">
        <is>
          <t>5871764</t>
        </is>
      </c>
      <c r="AW751" t="inlineStr">
        <is>
          <t>991004890969702656</t>
        </is>
      </c>
      <c r="AX751" t="inlineStr">
        <is>
          <t>991004890969702656</t>
        </is>
      </c>
      <c r="AY751" t="inlineStr">
        <is>
          <t>2267634600002656</t>
        </is>
      </c>
      <c r="AZ751" t="inlineStr">
        <is>
          <t>BOOK</t>
        </is>
      </c>
      <c r="BB751" t="inlineStr">
        <is>
          <t>9780890052730</t>
        </is>
      </c>
      <c r="BC751" t="inlineStr">
        <is>
          <t>32285000128719</t>
        </is>
      </c>
      <c r="BD751" t="inlineStr">
        <is>
          <t>893436859</t>
        </is>
      </c>
    </row>
    <row r="752">
      <c r="A752" t="inlineStr">
        <is>
          <t>No</t>
        </is>
      </c>
      <c r="B752" t="inlineStr">
        <is>
          <t>DF234.A773 B67 v...</t>
        </is>
      </c>
      <c r="C752" t="inlineStr">
        <is>
          <t>0                      DF 0234000A  773                B  67                                v...</t>
        </is>
      </c>
      <c r="D752" t="inlineStr">
        <is>
          <t>A historical commentary on Arrian's History of Alexander / by A. B. Bosworth.</t>
        </is>
      </c>
      <c r="E752" t="inlineStr">
        <is>
          <t>V.1</t>
        </is>
      </c>
      <c r="F752" t="inlineStr">
        <is>
          <t>No</t>
        </is>
      </c>
      <c r="G752" t="inlineStr">
        <is>
          <t>1</t>
        </is>
      </c>
      <c r="H752" t="inlineStr">
        <is>
          <t>No</t>
        </is>
      </c>
      <c r="I752" t="inlineStr">
        <is>
          <t>No</t>
        </is>
      </c>
      <c r="J752" t="inlineStr">
        <is>
          <t>0</t>
        </is>
      </c>
      <c r="K752" t="inlineStr">
        <is>
          <t>Bosworth, A. B.</t>
        </is>
      </c>
      <c r="L752" t="inlineStr">
        <is>
          <t>Oxford : Clarendon Press ; New York : Oxford University Press, c1980.</t>
        </is>
      </c>
      <c r="M752" t="inlineStr">
        <is>
          <t>1980</t>
        </is>
      </c>
      <c r="O752" t="inlineStr">
        <is>
          <t>eng</t>
        </is>
      </c>
      <c r="P752" t="inlineStr">
        <is>
          <t>enk</t>
        </is>
      </c>
      <c r="R752" t="inlineStr">
        <is>
          <t xml:space="preserve">DF </t>
        </is>
      </c>
      <c r="S752" t="n">
        <v>4</v>
      </c>
      <c r="T752" t="n">
        <v>4</v>
      </c>
      <c r="U752" t="inlineStr">
        <is>
          <t>2004-11-08</t>
        </is>
      </c>
      <c r="V752" t="inlineStr">
        <is>
          <t>2004-11-08</t>
        </is>
      </c>
      <c r="W752" t="inlineStr">
        <is>
          <t>1990-04-25</t>
        </is>
      </c>
      <c r="X752" t="inlineStr">
        <is>
          <t>1990-04-25</t>
        </is>
      </c>
      <c r="Y752" t="n">
        <v>393</v>
      </c>
      <c r="Z752" t="n">
        <v>304</v>
      </c>
      <c r="AA752" t="n">
        <v>306</v>
      </c>
      <c r="AB752" t="n">
        <v>3</v>
      </c>
      <c r="AC752" t="n">
        <v>3</v>
      </c>
      <c r="AD752" t="n">
        <v>18</v>
      </c>
      <c r="AE752" t="n">
        <v>18</v>
      </c>
      <c r="AF752" t="n">
        <v>4</v>
      </c>
      <c r="AG752" t="n">
        <v>4</v>
      </c>
      <c r="AH752" t="n">
        <v>6</v>
      </c>
      <c r="AI752" t="n">
        <v>6</v>
      </c>
      <c r="AJ752" t="n">
        <v>13</v>
      </c>
      <c r="AK752" t="n">
        <v>13</v>
      </c>
      <c r="AL752" t="n">
        <v>2</v>
      </c>
      <c r="AM752" t="n">
        <v>2</v>
      </c>
      <c r="AN752" t="n">
        <v>0</v>
      </c>
      <c r="AO752" t="n">
        <v>0</v>
      </c>
      <c r="AP752" t="inlineStr">
        <is>
          <t>No</t>
        </is>
      </c>
      <c r="AQ752" t="inlineStr">
        <is>
          <t>Yes</t>
        </is>
      </c>
      <c r="AR752">
        <f>HYPERLINK("http://catalog.hathitrust.org/Record/000737495","HathiTrust Record")</f>
        <v/>
      </c>
      <c r="AS752">
        <f>HYPERLINK("https://creighton-primo.hosted.exlibrisgroup.com/primo-explore/search?tab=default_tab&amp;search_scope=EVERYTHING&amp;vid=01CRU&amp;lang=en_US&amp;offset=0&amp;query=any,contains,991004839009702656","Catalog Record")</f>
        <v/>
      </c>
      <c r="AT752">
        <f>HYPERLINK("http://www.worldcat.org/oclc/5492386","WorldCat Record")</f>
        <v/>
      </c>
      <c r="AU752" t="inlineStr">
        <is>
          <t>2864180663:eng</t>
        </is>
      </c>
      <c r="AV752" t="inlineStr">
        <is>
          <t>5492386</t>
        </is>
      </c>
      <c r="AW752" t="inlineStr">
        <is>
          <t>991004839009702656</t>
        </is>
      </c>
      <c r="AX752" t="inlineStr">
        <is>
          <t>991004839009702656</t>
        </is>
      </c>
      <c r="AY752" t="inlineStr">
        <is>
          <t>2266983640002656</t>
        </is>
      </c>
      <c r="AZ752" t="inlineStr">
        <is>
          <t>BOOK</t>
        </is>
      </c>
      <c r="BB752" t="inlineStr">
        <is>
          <t>9780198148289</t>
        </is>
      </c>
      <c r="BC752" t="inlineStr">
        <is>
          <t>32285000132489</t>
        </is>
      </c>
      <c r="BD752" t="inlineStr">
        <is>
          <t>893706897</t>
        </is>
      </c>
    </row>
    <row r="753">
      <c r="A753" t="inlineStr">
        <is>
          <t>No</t>
        </is>
      </c>
      <c r="B753" t="inlineStr">
        <is>
          <t>DF235 .C3 1939</t>
        </is>
      </c>
      <c r="C753" t="inlineStr">
        <is>
          <t>0                      DF 0235000C  3           1939</t>
        </is>
      </c>
      <c r="D753" t="inlineStr">
        <is>
          <t>A history of the Greek world : from 323 to 146 B. C. / with 3 maps.</t>
        </is>
      </c>
      <c r="F753" t="inlineStr">
        <is>
          <t>No</t>
        </is>
      </c>
      <c r="G753" t="inlineStr">
        <is>
          <t>1</t>
        </is>
      </c>
      <c r="H753" t="inlineStr">
        <is>
          <t>No</t>
        </is>
      </c>
      <c r="I753" t="inlineStr">
        <is>
          <t>No</t>
        </is>
      </c>
      <c r="J753" t="inlineStr">
        <is>
          <t>0</t>
        </is>
      </c>
      <c r="K753" t="inlineStr">
        <is>
          <t>Cary, M. (Max), 1881-1958.</t>
        </is>
      </c>
      <c r="L753" t="inlineStr">
        <is>
          <t>New York : Macmillan, 1939.</t>
        </is>
      </c>
      <c r="M753" t="inlineStr">
        <is>
          <t>1939</t>
        </is>
      </c>
      <c r="O753" t="inlineStr">
        <is>
          <t>eng</t>
        </is>
      </c>
      <c r="P753" t="inlineStr">
        <is>
          <t xml:space="preserve">xx </t>
        </is>
      </c>
      <c r="Q753" t="inlineStr">
        <is>
          <t>Macmillan's history of the Greek and Roman world</t>
        </is>
      </c>
      <c r="R753" t="inlineStr">
        <is>
          <t xml:space="preserve">DF </t>
        </is>
      </c>
      <c r="S753" t="n">
        <v>2</v>
      </c>
      <c r="T753" t="n">
        <v>2</v>
      </c>
      <c r="U753" t="inlineStr">
        <is>
          <t>2002-10-25</t>
        </is>
      </c>
      <c r="V753" t="inlineStr">
        <is>
          <t>2002-10-25</t>
        </is>
      </c>
      <c r="W753" t="inlineStr">
        <is>
          <t>1992-05-01</t>
        </is>
      </c>
      <c r="X753" t="inlineStr">
        <is>
          <t>1992-05-01</t>
        </is>
      </c>
      <c r="Y753" t="n">
        <v>68</v>
      </c>
      <c r="Z753" t="n">
        <v>65</v>
      </c>
      <c r="AA753" t="n">
        <v>928</v>
      </c>
      <c r="AB753" t="n">
        <v>2</v>
      </c>
      <c r="AC753" t="n">
        <v>9</v>
      </c>
      <c r="AD753" t="n">
        <v>5</v>
      </c>
      <c r="AE753" t="n">
        <v>43</v>
      </c>
      <c r="AF753" t="n">
        <v>1</v>
      </c>
      <c r="AG753" t="n">
        <v>19</v>
      </c>
      <c r="AH753" t="n">
        <v>0</v>
      </c>
      <c r="AI753" t="n">
        <v>8</v>
      </c>
      <c r="AJ753" t="n">
        <v>4</v>
      </c>
      <c r="AK753" t="n">
        <v>18</v>
      </c>
      <c r="AL753" t="n">
        <v>1</v>
      </c>
      <c r="AM753" t="n">
        <v>7</v>
      </c>
      <c r="AN753" t="n">
        <v>0</v>
      </c>
      <c r="AO753" t="n">
        <v>0</v>
      </c>
      <c r="AP753" t="inlineStr">
        <is>
          <t>No</t>
        </is>
      </c>
      <c r="AQ753" t="inlineStr">
        <is>
          <t>Yes</t>
        </is>
      </c>
      <c r="AR753">
        <f>HYPERLINK("http://catalog.hathitrust.org/Record/006041901","HathiTrust Record")</f>
        <v/>
      </c>
      <c r="AS753">
        <f>HYPERLINK("https://creighton-primo.hosted.exlibrisgroup.com/primo-explore/search?tab=default_tab&amp;search_scope=EVERYTHING&amp;vid=01CRU&amp;lang=en_US&amp;offset=0&amp;query=any,contains,991003764829702656","Catalog Record")</f>
        <v/>
      </c>
      <c r="AT753">
        <f>HYPERLINK("http://www.worldcat.org/oclc/1456680","WorldCat Record")</f>
        <v/>
      </c>
      <c r="AU753" t="inlineStr">
        <is>
          <t>10567682898:eng</t>
        </is>
      </c>
      <c r="AV753" t="inlineStr">
        <is>
          <t>1456680</t>
        </is>
      </c>
      <c r="AW753" t="inlineStr">
        <is>
          <t>991003764829702656</t>
        </is>
      </c>
      <c r="AX753" t="inlineStr">
        <is>
          <t>991003764829702656</t>
        </is>
      </c>
      <c r="AY753" t="inlineStr">
        <is>
          <t>2256081220002656</t>
        </is>
      </c>
      <c r="AZ753" t="inlineStr">
        <is>
          <t>BOOK</t>
        </is>
      </c>
      <c r="BC753" t="inlineStr">
        <is>
          <t>32285001090629</t>
        </is>
      </c>
      <c r="BD753" t="inlineStr">
        <is>
          <t>893592866</t>
        </is>
      </c>
    </row>
    <row r="754">
      <c r="A754" t="inlineStr">
        <is>
          <t>No</t>
        </is>
      </c>
      <c r="B754" t="inlineStr">
        <is>
          <t>DF235 .K5 1985</t>
        </is>
      </c>
      <c r="C754" t="inlineStr">
        <is>
          <t>0                      DF 0235000K  5           1985</t>
        </is>
      </c>
      <c r="D754" t="inlineStr">
        <is>
          <t>Successors of Alexander the Great / by C.A. Kincaid.</t>
        </is>
      </c>
      <c r="F754" t="inlineStr">
        <is>
          <t>No</t>
        </is>
      </c>
      <c r="G754" t="inlineStr">
        <is>
          <t>1</t>
        </is>
      </c>
      <c r="H754" t="inlineStr">
        <is>
          <t>No</t>
        </is>
      </c>
      <c r="I754" t="inlineStr">
        <is>
          <t>No</t>
        </is>
      </c>
      <c r="J754" t="inlineStr">
        <is>
          <t>0</t>
        </is>
      </c>
      <c r="K754" t="inlineStr">
        <is>
          <t>Kincaid, C. A. (Charles Augustus), 1870-1954.</t>
        </is>
      </c>
      <c r="L754" t="inlineStr">
        <is>
          <t>Chicago : Ares, 1985.</t>
        </is>
      </c>
      <c r="M754" t="inlineStr">
        <is>
          <t>1980</t>
        </is>
      </c>
      <c r="O754" t="inlineStr">
        <is>
          <t>eng</t>
        </is>
      </c>
      <c r="P754" t="inlineStr">
        <is>
          <t xml:space="preserve">xx </t>
        </is>
      </c>
      <c r="R754" t="inlineStr">
        <is>
          <t xml:space="preserve">DF </t>
        </is>
      </c>
      <c r="S754" t="n">
        <v>3</v>
      </c>
      <c r="T754" t="n">
        <v>3</v>
      </c>
      <c r="U754" t="inlineStr">
        <is>
          <t>2006-04-24</t>
        </is>
      </c>
      <c r="V754" t="inlineStr">
        <is>
          <t>2006-04-24</t>
        </is>
      </c>
      <c r="W754" t="inlineStr">
        <is>
          <t>1990-03-02</t>
        </is>
      </c>
      <c r="X754" t="inlineStr">
        <is>
          <t>1990-03-02</t>
        </is>
      </c>
      <c r="Y754" t="n">
        <v>47</v>
      </c>
      <c r="Z754" t="n">
        <v>40</v>
      </c>
      <c r="AA754" t="n">
        <v>157</v>
      </c>
      <c r="AB754" t="n">
        <v>1</v>
      </c>
      <c r="AC754" t="n">
        <v>2</v>
      </c>
      <c r="AD754" t="n">
        <v>3</v>
      </c>
      <c r="AE754" t="n">
        <v>9</v>
      </c>
      <c r="AF754" t="n">
        <v>0</v>
      </c>
      <c r="AG754" t="n">
        <v>1</v>
      </c>
      <c r="AH754" t="n">
        <v>1</v>
      </c>
      <c r="AI754" t="n">
        <v>2</v>
      </c>
      <c r="AJ754" t="n">
        <v>3</v>
      </c>
      <c r="AK754" t="n">
        <v>7</v>
      </c>
      <c r="AL754" t="n">
        <v>0</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HYPERLINK("https://creighton-primo.hosted.exlibrisgroup.com/primo-explore/search?tab=default_tab&amp;search_scope=EVERYTHING&amp;vid=01CRU&amp;lang=en_US&amp;offset=0&amp;query=any,contains,991005101579702656","Catalog Record")</f>
        <v/>
      </c>
      <c r="AT754">
        <f>HYPERLINK("http://www.worldcat.org/oclc/7285064","WorldCat Record")</f>
        <v/>
      </c>
      <c r="AU754" t="inlineStr">
        <is>
          <t>4095458023:eng</t>
        </is>
      </c>
      <c r="AV754" t="inlineStr">
        <is>
          <t>7285064</t>
        </is>
      </c>
      <c r="AW754" t="inlineStr">
        <is>
          <t>991005101579702656</t>
        </is>
      </c>
      <c r="AX754" t="inlineStr">
        <is>
          <t>991005101579702656</t>
        </is>
      </c>
      <c r="AY754" t="inlineStr">
        <is>
          <t>2258791880002656</t>
        </is>
      </c>
      <c r="AZ754" t="inlineStr">
        <is>
          <t>BOOK</t>
        </is>
      </c>
      <c r="BB754" t="inlineStr">
        <is>
          <t>9780890053522</t>
        </is>
      </c>
      <c r="BC754" t="inlineStr">
        <is>
          <t>32285000075969</t>
        </is>
      </c>
      <c r="BD754" t="inlineStr">
        <is>
          <t>893619441</t>
        </is>
      </c>
    </row>
    <row r="755">
      <c r="A755" t="inlineStr">
        <is>
          <t>No</t>
        </is>
      </c>
      <c r="B755" t="inlineStr">
        <is>
          <t>DF235.3 .R6</t>
        </is>
      </c>
      <c r="C755" t="inlineStr">
        <is>
          <t>0                      DF 0235300R  6</t>
        </is>
      </c>
      <c r="D755" t="inlineStr">
        <is>
          <t>The social &amp; economic history of the Hellenistic world / by M. Rostovtzeff.</t>
        </is>
      </c>
      <c r="E755" t="inlineStr">
        <is>
          <t>V.2</t>
        </is>
      </c>
      <c r="F755" t="inlineStr">
        <is>
          <t>Yes</t>
        </is>
      </c>
      <c r="G755" t="inlineStr">
        <is>
          <t>1</t>
        </is>
      </c>
      <c r="H755" t="inlineStr">
        <is>
          <t>No</t>
        </is>
      </c>
      <c r="I755" t="inlineStr">
        <is>
          <t>No</t>
        </is>
      </c>
      <c r="J755" t="inlineStr">
        <is>
          <t>0</t>
        </is>
      </c>
      <c r="K755" t="inlineStr">
        <is>
          <t>Rostovtzeff, Michael Ivanovitch, 1870-1952.</t>
        </is>
      </c>
      <c r="L755" t="inlineStr">
        <is>
          <t>Oxford : The Clarendon Press, 1941.</t>
        </is>
      </c>
      <c r="M755" t="inlineStr">
        <is>
          <t>1941</t>
        </is>
      </c>
      <c r="O755" t="inlineStr">
        <is>
          <t>eng</t>
        </is>
      </c>
      <c r="P755" t="inlineStr">
        <is>
          <t>enk</t>
        </is>
      </c>
      <c r="R755" t="inlineStr">
        <is>
          <t xml:space="preserve">DF </t>
        </is>
      </c>
      <c r="S755" t="n">
        <v>3</v>
      </c>
      <c r="T755" t="n">
        <v>6</v>
      </c>
      <c r="U755" t="inlineStr">
        <is>
          <t>1992-11-10</t>
        </is>
      </c>
      <c r="V755" t="inlineStr">
        <is>
          <t>1996-03-01</t>
        </is>
      </c>
      <c r="W755" t="inlineStr">
        <is>
          <t>1992-10-16</t>
        </is>
      </c>
      <c r="X755" t="inlineStr">
        <is>
          <t>1992-10-16</t>
        </is>
      </c>
      <c r="Y755" t="n">
        <v>930</v>
      </c>
      <c r="Z755" t="n">
        <v>828</v>
      </c>
      <c r="AA755" t="n">
        <v>1502</v>
      </c>
      <c r="AB755" t="n">
        <v>7</v>
      </c>
      <c r="AC755" t="n">
        <v>11</v>
      </c>
      <c r="AD755" t="n">
        <v>33</v>
      </c>
      <c r="AE755" t="n">
        <v>55</v>
      </c>
      <c r="AF755" t="n">
        <v>15</v>
      </c>
      <c r="AG755" t="n">
        <v>24</v>
      </c>
      <c r="AH755" t="n">
        <v>5</v>
      </c>
      <c r="AI755" t="n">
        <v>10</v>
      </c>
      <c r="AJ755" t="n">
        <v>15</v>
      </c>
      <c r="AK755" t="n">
        <v>25</v>
      </c>
      <c r="AL755" t="n">
        <v>6</v>
      </c>
      <c r="AM755" t="n">
        <v>10</v>
      </c>
      <c r="AN755" t="n">
        <v>0</v>
      </c>
      <c r="AO755" t="n">
        <v>0</v>
      </c>
      <c r="AP755" t="inlineStr">
        <is>
          <t>No</t>
        </is>
      </c>
      <c r="AQ755" t="inlineStr">
        <is>
          <t>Yes</t>
        </is>
      </c>
      <c r="AR755">
        <f>HYPERLINK("http://catalog.hathitrust.org/Record/000612494","HathiTrust Record")</f>
        <v/>
      </c>
      <c r="AS755">
        <f>HYPERLINK("https://creighton-primo.hosted.exlibrisgroup.com/primo-explore/search?tab=default_tab&amp;search_scope=EVERYTHING&amp;vid=01CRU&amp;lang=en_US&amp;offset=0&amp;query=any,contains,991002846809702656","Catalog Record")</f>
        <v/>
      </c>
      <c r="AT755">
        <f>HYPERLINK("http://www.worldcat.org/oclc/484806","WorldCat Record")</f>
        <v/>
      </c>
      <c r="AU755" t="inlineStr">
        <is>
          <t>988066:eng</t>
        </is>
      </c>
      <c r="AV755" t="inlineStr">
        <is>
          <t>484806</t>
        </is>
      </c>
      <c r="AW755" t="inlineStr">
        <is>
          <t>991002846809702656</t>
        </is>
      </c>
      <c r="AX755" t="inlineStr">
        <is>
          <t>991002846809702656</t>
        </is>
      </c>
      <c r="AY755" t="inlineStr">
        <is>
          <t>2257655030002656</t>
        </is>
      </c>
      <c r="AZ755" t="inlineStr">
        <is>
          <t>BOOK</t>
        </is>
      </c>
      <c r="BC755" t="inlineStr">
        <is>
          <t>32285001350841</t>
        </is>
      </c>
      <c r="BD755" t="inlineStr">
        <is>
          <t>893716994</t>
        </is>
      </c>
    </row>
    <row r="756">
      <c r="A756" t="inlineStr">
        <is>
          <t>No</t>
        </is>
      </c>
      <c r="B756" t="inlineStr">
        <is>
          <t>DF235.3 .R6</t>
        </is>
      </c>
      <c r="C756" t="inlineStr">
        <is>
          <t>0                      DF 0235300R  6</t>
        </is>
      </c>
      <c r="D756" t="inlineStr">
        <is>
          <t>The social &amp; economic history of the Hellenistic world / by M. Rostovtzeff.</t>
        </is>
      </c>
      <c r="E756" t="inlineStr">
        <is>
          <t>V.3</t>
        </is>
      </c>
      <c r="F756" t="inlineStr">
        <is>
          <t>Yes</t>
        </is>
      </c>
      <c r="G756" t="inlineStr">
        <is>
          <t>1</t>
        </is>
      </c>
      <c r="H756" t="inlineStr">
        <is>
          <t>No</t>
        </is>
      </c>
      <c r="I756" t="inlineStr">
        <is>
          <t>No</t>
        </is>
      </c>
      <c r="J756" t="inlineStr">
        <is>
          <t>0</t>
        </is>
      </c>
      <c r="K756" t="inlineStr">
        <is>
          <t>Rostovtzeff, Michael Ivanovitch, 1870-1952.</t>
        </is>
      </c>
      <c r="L756" t="inlineStr">
        <is>
          <t>Oxford : The Clarendon Press, 1941.</t>
        </is>
      </c>
      <c r="M756" t="inlineStr">
        <is>
          <t>1941</t>
        </is>
      </c>
      <c r="O756" t="inlineStr">
        <is>
          <t>eng</t>
        </is>
      </c>
      <c r="P756" t="inlineStr">
        <is>
          <t>enk</t>
        </is>
      </c>
      <c r="R756" t="inlineStr">
        <is>
          <t xml:space="preserve">DF </t>
        </is>
      </c>
      <c r="S756" t="n">
        <v>3</v>
      </c>
      <c r="T756" t="n">
        <v>6</v>
      </c>
      <c r="U756" t="inlineStr">
        <is>
          <t>1996-03-01</t>
        </is>
      </c>
      <c r="V756" t="inlineStr">
        <is>
          <t>1996-03-01</t>
        </is>
      </c>
      <c r="W756" t="inlineStr">
        <is>
          <t>1992-10-16</t>
        </is>
      </c>
      <c r="X756" t="inlineStr">
        <is>
          <t>1992-10-16</t>
        </is>
      </c>
      <c r="Y756" t="n">
        <v>930</v>
      </c>
      <c r="Z756" t="n">
        <v>828</v>
      </c>
      <c r="AA756" t="n">
        <v>1502</v>
      </c>
      <c r="AB756" t="n">
        <v>7</v>
      </c>
      <c r="AC756" t="n">
        <v>11</v>
      </c>
      <c r="AD756" t="n">
        <v>33</v>
      </c>
      <c r="AE756" t="n">
        <v>55</v>
      </c>
      <c r="AF756" t="n">
        <v>15</v>
      </c>
      <c r="AG756" t="n">
        <v>24</v>
      </c>
      <c r="AH756" t="n">
        <v>5</v>
      </c>
      <c r="AI756" t="n">
        <v>10</v>
      </c>
      <c r="AJ756" t="n">
        <v>15</v>
      </c>
      <c r="AK756" t="n">
        <v>25</v>
      </c>
      <c r="AL756" t="n">
        <v>6</v>
      </c>
      <c r="AM756" t="n">
        <v>10</v>
      </c>
      <c r="AN756" t="n">
        <v>0</v>
      </c>
      <c r="AO756" t="n">
        <v>0</v>
      </c>
      <c r="AP756" t="inlineStr">
        <is>
          <t>No</t>
        </is>
      </c>
      <c r="AQ756" t="inlineStr">
        <is>
          <t>Yes</t>
        </is>
      </c>
      <c r="AR756">
        <f>HYPERLINK("http://catalog.hathitrust.org/Record/000612494","HathiTrust Record")</f>
        <v/>
      </c>
      <c r="AS756">
        <f>HYPERLINK("https://creighton-primo.hosted.exlibrisgroup.com/primo-explore/search?tab=default_tab&amp;search_scope=EVERYTHING&amp;vid=01CRU&amp;lang=en_US&amp;offset=0&amp;query=any,contains,991002846809702656","Catalog Record")</f>
        <v/>
      </c>
      <c r="AT756">
        <f>HYPERLINK("http://www.worldcat.org/oclc/484806","WorldCat Record")</f>
        <v/>
      </c>
      <c r="AU756" t="inlineStr">
        <is>
          <t>988066:eng</t>
        </is>
      </c>
      <c r="AV756" t="inlineStr">
        <is>
          <t>484806</t>
        </is>
      </c>
      <c r="AW756" t="inlineStr">
        <is>
          <t>991002846809702656</t>
        </is>
      </c>
      <c r="AX756" t="inlineStr">
        <is>
          <t>991002846809702656</t>
        </is>
      </c>
      <c r="AY756" t="inlineStr">
        <is>
          <t>2257655030002656</t>
        </is>
      </c>
      <c r="AZ756" t="inlineStr">
        <is>
          <t>BOOK</t>
        </is>
      </c>
      <c r="BC756" t="inlineStr">
        <is>
          <t>32285001350858</t>
        </is>
      </c>
      <c r="BD756" t="inlineStr">
        <is>
          <t>893692077</t>
        </is>
      </c>
    </row>
    <row r="757">
      <c r="A757" t="inlineStr">
        <is>
          <t>No</t>
        </is>
      </c>
      <c r="B757" t="inlineStr">
        <is>
          <t>DF235.A1 B33</t>
        </is>
      </c>
      <c r="C757" t="inlineStr">
        <is>
          <t>0                      DF 0235000A  1                  B  33</t>
        </is>
      </c>
      <c r="D757" t="inlineStr">
        <is>
          <t>Greek historical documents : the Hellenistic period / by Roger S. Bagnall and Peter Derow.</t>
        </is>
      </c>
      <c r="F757" t="inlineStr">
        <is>
          <t>No</t>
        </is>
      </c>
      <c r="G757" t="inlineStr">
        <is>
          <t>1</t>
        </is>
      </c>
      <c r="H757" t="inlineStr">
        <is>
          <t>No</t>
        </is>
      </c>
      <c r="I757" t="inlineStr">
        <is>
          <t>No</t>
        </is>
      </c>
      <c r="J757" t="inlineStr">
        <is>
          <t>0</t>
        </is>
      </c>
      <c r="K757" t="inlineStr">
        <is>
          <t>Bagnall, Roger S.</t>
        </is>
      </c>
      <c r="L757" t="inlineStr">
        <is>
          <t>Chico, Calif. : Published by Scholars Press for the Society of Biblical Literature, c1981.</t>
        </is>
      </c>
      <c r="M757" t="inlineStr">
        <is>
          <t>1981</t>
        </is>
      </c>
      <c r="O757" t="inlineStr">
        <is>
          <t>eng</t>
        </is>
      </c>
      <c r="P757" t="inlineStr">
        <is>
          <t>cau</t>
        </is>
      </c>
      <c r="Q757" t="inlineStr">
        <is>
          <t>Sources for biblical study ; no. 16</t>
        </is>
      </c>
      <c r="R757" t="inlineStr">
        <is>
          <t xml:space="preserve">DF </t>
        </is>
      </c>
      <c r="S757" t="n">
        <v>4</v>
      </c>
      <c r="T757" t="n">
        <v>4</v>
      </c>
      <c r="U757" t="inlineStr">
        <is>
          <t>2004-11-08</t>
        </is>
      </c>
      <c r="V757" t="inlineStr">
        <is>
          <t>2004-11-08</t>
        </is>
      </c>
      <c r="W757" t="inlineStr">
        <is>
          <t>1990-04-30</t>
        </is>
      </c>
      <c r="X757" t="inlineStr">
        <is>
          <t>1990-04-30</t>
        </is>
      </c>
      <c r="Y757" t="n">
        <v>478</v>
      </c>
      <c r="Z757" t="n">
        <v>338</v>
      </c>
      <c r="AA757" t="n">
        <v>339</v>
      </c>
      <c r="AB757" t="n">
        <v>1</v>
      </c>
      <c r="AC757" t="n">
        <v>1</v>
      </c>
      <c r="AD757" t="n">
        <v>18</v>
      </c>
      <c r="AE757" t="n">
        <v>18</v>
      </c>
      <c r="AF757" t="n">
        <v>6</v>
      </c>
      <c r="AG757" t="n">
        <v>6</v>
      </c>
      <c r="AH757" t="n">
        <v>6</v>
      </c>
      <c r="AI757" t="n">
        <v>6</v>
      </c>
      <c r="AJ757" t="n">
        <v>12</v>
      </c>
      <c r="AK757" t="n">
        <v>12</v>
      </c>
      <c r="AL757" t="n">
        <v>0</v>
      </c>
      <c r="AM757" t="n">
        <v>0</v>
      </c>
      <c r="AN757" t="n">
        <v>0</v>
      </c>
      <c r="AO757" t="n">
        <v>0</v>
      </c>
      <c r="AP757" t="inlineStr">
        <is>
          <t>No</t>
        </is>
      </c>
      <c r="AQ757" t="inlineStr">
        <is>
          <t>Yes</t>
        </is>
      </c>
      <c r="AR757">
        <f>HYPERLINK("http://catalog.hathitrust.org/Record/003438260","HathiTrust Record")</f>
        <v/>
      </c>
      <c r="AS757">
        <f>HYPERLINK("https://creighton-primo.hosted.exlibrisgroup.com/primo-explore/search?tab=default_tab&amp;search_scope=EVERYTHING&amp;vid=01CRU&amp;lang=en_US&amp;offset=0&amp;query=any,contains,991005127289702656","Catalog Record")</f>
        <v/>
      </c>
      <c r="AT757">
        <f>HYPERLINK("http://www.worldcat.org/oclc/7554444","WorldCat Record")</f>
        <v/>
      </c>
      <c r="AU757" t="inlineStr">
        <is>
          <t>145430088:eng</t>
        </is>
      </c>
      <c r="AV757" t="inlineStr">
        <is>
          <t>7554444</t>
        </is>
      </c>
      <c r="AW757" t="inlineStr">
        <is>
          <t>991005127289702656</t>
        </is>
      </c>
      <c r="AX757" t="inlineStr">
        <is>
          <t>991005127289702656</t>
        </is>
      </c>
      <c r="AY757" t="inlineStr">
        <is>
          <t>2264660300002656</t>
        </is>
      </c>
      <c r="AZ757" t="inlineStr">
        <is>
          <t>BOOK</t>
        </is>
      </c>
      <c r="BB757" t="inlineStr">
        <is>
          <t>9780891304951</t>
        </is>
      </c>
      <c r="BC757" t="inlineStr">
        <is>
          <t>32285000128727</t>
        </is>
      </c>
      <c r="BD757" t="inlineStr">
        <is>
          <t>893242256</t>
        </is>
      </c>
    </row>
    <row r="758">
      <c r="A758" t="inlineStr">
        <is>
          <t>No</t>
        </is>
      </c>
      <c r="B758" t="inlineStr">
        <is>
          <t>DF240 .F67 1972</t>
        </is>
      </c>
      <c r="C758" t="inlineStr">
        <is>
          <t>0                      DF 0240000F  67          1972</t>
        </is>
      </c>
      <c r="D758" t="inlineStr">
        <is>
          <t>Rome and the Romans as the Greeks saw them / Bettie Forte.</t>
        </is>
      </c>
      <c r="F758" t="inlineStr">
        <is>
          <t>No</t>
        </is>
      </c>
      <c r="G758" t="inlineStr">
        <is>
          <t>1</t>
        </is>
      </c>
      <c r="H758" t="inlineStr">
        <is>
          <t>No</t>
        </is>
      </c>
      <c r="I758" t="inlineStr">
        <is>
          <t>No</t>
        </is>
      </c>
      <c r="J758" t="inlineStr">
        <is>
          <t>0</t>
        </is>
      </c>
      <c r="K758" t="inlineStr">
        <is>
          <t>Forte, Bettie.</t>
        </is>
      </c>
      <c r="L758" t="inlineStr">
        <is>
          <t>[Rome] : American Academy in Rome, 1972.</t>
        </is>
      </c>
      <c r="M758" t="inlineStr">
        <is>
          <t>1972</t>
        </is>
      </c>
      <c r="O758" t="inlineStr">
        <is>
          <t>eng</t>
        </is>
      </c>
      <c r="P758" t="inlineStr">
        <is>
          <t xml:space="preserve">it </t>
        </is>
      </c>
      <c r="Q758" t="inlineStr">
        <is>
          <t>American Academy in Rome. Papers and monographs, v. 24</t>
        </is>
      </c>
      <c r="R758" t="inlineStr">
        <is>
          <t xml:space="preserve">DF </t>
        </is>
      </c>
      <c r="S758" t="n">
        <v>1</v>
      </c>
      <c r="T758" t="n">
        <v>1</v>
      </c>
      <c r="U758" t="inlineStr">
        <is>
          <t>2003-11-10</t>
        </is>
      </c>
      <c r="V758" t="inlineStr">
        <is>
          <t>2003-11-10</t>
        </is>
      </c>
      <c r="W758" t="inlineStr">
        <is>
          <t>1991-02-19</t>
        </is>
      </c>
      <c r="X758" t="inlineStr">
        <is>
          <t>1991-02-19</t>
        </is>
      </c>
      <c r="Y758" t="n">
        <v>291</v>
      </c>
      <c r="Z758" t="n">
        <v>192</v>
      </c>
      <c r="AA758" t="n">
        <v>194</v>
      </c>
      <c r="AB758" t="n">
        <v>3</v>
      </c>
      <c r="AC758" t="n">
        <v>3</v>
      </c>
      <c r="AD758" t="n">
        <v>12</v>
      </c>
      <c r="AE758" t="n">
        <v>12</v>
      </c>
      <c r="AF758" t="n">
        <v>2</v>
      </c>
      <c r="AG758" t="n">
        <v>2</v>
      </c>
      <c r="AH758" t="n">
        <v>3</v>
      </c>
      <c r="AI758" t="n">
        <v>3</v>
      </c>
      <c r="AJ758" t="n">
        <v>9</v>
      </c>
      <c r="AK758" t="n">
        <v>9</v>
      </c>
      <c r="AL758" t="n">
        <v>2</v>
      </c>
      <c r="AM758" t="n">
        <v>2</v>
      </c>
      <c r="AN758" t="n">
        <v>0</v>
      </c>
      <c r="AO758" t="n">
        <v>0</v>
      </c>
      <c r="AP758" t="inlineStr">
        <is>
          <t>No</t>
        </is>
      </c>
      <c r="AQ758" t="inlineStr">
        <is>
          <t>Yes</t>
        </is>
      </c>
      <c r="AR758">
        <f>HYPERLINK("http://catalog.hathitrust.org/Record/007152169","HathiTrust Record")</f>
        <v/>
      </c>
      <c r="AS758">
        <f>HYPERLINK("https://creighton-primo.hosted.exlibrisgroup.com/primo-explore/search?tab=default_tab&amp;search_scope=EVERYTHING&amp;vid=01CRU&amp;lang=en_US&amp;offset=0&amp;query=any,contains,991002991209702656","Catalog Record")</f>
        <v/>
      </c>
      <c r="AT758">
        <f>HYPERLINK("http://www.worldcat.org/oclc/560733","WorldCat Record")</f>
        <v/>
      </c>
      <c r="AU758" t="inlineStr">
        <is>
          <t>1634731:eng</t>
        </is>
      </c>
      <c r="AV758" t="inlineStr">
        <is>
          <t>560733</t>
        </is>
      </c>
      <c r="AW758" t="inlineStr">
        <is>
          <t>991002991209702656</t>
        </is>
      </c>
      <c r="AX758" t="inlineStr">
        <is>
          <t>991002991209702656</t>
        </is>
      </c>
      <c r="AY758" t="inlineStr">
        <is>
          <t>2256814990002656</t>
        </is>
      </c>
      <c r="AZ758" t="inlineStr">
        <is>
          <t>BOOK</t>
        </is>
      </c>
      <c r="BC758" t="inlineStr">
        <is>
          <t>32285000520170</t>
        </is>
      </c>
      <c r="BD758" t="inlineStr">
        <is>
          <t>893524296</t>
        </is>
      </c>
    </row>
    <row r="759">
      <c r="A759" t="inlineStr">
        <is>
          <t>No</t>
        </is>
      </c>
      <c r="B759" t="inlineStr">
        <is>
          <t>DF240 .O44 1983</t>
        </is>
      </c>
      <c r="C759" t="inlineStr">
        <is>
          <t>0                      DF 0240000O  44          1983</t>
        </is>
      </c>
      <c r="D759" t="inlineStr">
        <is>
          <t>The civic tradition and Roman Athens / James H. Oliver.</t>
        </is>
      </c>
      <c r="F759" t="inlineStr">
        <is>
          <t>No</t>
        </is>
      </c>
      <c r="G759" t="inlineStr">
        <is>
          <t>1</t>
        </is>
      </c>
      <c r="H759" t="inlineStr">
        <is>
          <t>No</t>
        </is>
      </c>
      <c r="I759" t="inlineStr">
        <is>
          <t>No</t>
        </is>
      </c>
      <c r="J759" t="inlineStr">
        <is>
          <t>0</t>
        </is>
      </c>
      <c r="K759" t="inlineStr">
        <is>
          <t>Oliver, James H. (James Henry), 1905-1981.</t>
        </is>
      </c>
      <c r="L759" t="inlineStr">
        <is>
          <t>Baltimore : Johns Hopkins University Press, c1983.</t>
        </is>
      </c>
      <c r="M759" t="inlineStr">
        <is>
          <t>1983</t>
        </is>
      </c>
      <c r="O759" t="inlineStr">
        <is>
          <t>eng</t>
        </is>
      </c>
      <c r="P759" t="inlineStr">
        <is>
          <t>mdu</t>
        </is>
      </c>
      <c r="R759" t="inlineStr">
        <is>
          <t xml:space="preserve">DF </t>
        </is>
      </c>
      <c r="S759" t="n">
        <v>2</v>
      </c>
      <c r="T759" t="n">
        <v>2</v>
      </c>
      <c r="U759" t="inlineStr">
        <is>
          <t>2004-02-13</t>
        </is>
      </c>
      <c r="V759" t="inlineStr">
        <is>
          <t>2004-02-13</t>
        </is>
      </c>
      <c r="W759" t="inlineStr">
        <is>
          <t>1991-02-19</t>
        </is>
      </c>
      <c r="X759" t="inlineStr">
        <is>
          <t>1991-02-19</t>
        </is>
      </c>
      <c r="Y759" t="n">
        <v>430</v>
      </c>
      <c r="Z759" t="n">
        <v>333</v>
      </c>
      <c r="AA759" t="n">
        <v>335</v>
      </c>
      <c r="AB759" t="n">
        <v>3</v>
      </c>
      <c r="AC759" t="n">
        <v>3</v>
      </c>
      <c r="AD759" t="n">
        <v>17</v>
      </c>
      <c r="AE759" t="n">
        <v>17</v>
      </c>
      <c r="AF759" t="n">
        <v>5</v>
      </c>
      <c r="AG759" t="n">
        <v>5</v>
      </c>
      <c r="AH759" t="n">
        <v>4</v>
      </c>
      <c r="AI759" t="n">
        <v>4</v>
      </c>
      <c r="AJ759" t="n">
        <v>11</v>
      </c>
      <c r="AK759" t="n">
        <v>11</v>
      </c>
      <c r="AL759" t="n">
        <v>2</v>
      </c>
      <c r="AM759" t="n">
        <v>2</v>
      </c>
      <c r="AN759" t="n">
        <v>0</v>
      </c>
      <c r="AO759" t="n">
        <v>0</v>
      </c>
      <c r="AP759" t="inlineStr">
        <is>
          <t>No</t>
        </is>
      </c>
      <c r="AQ759" t="inlineStr">
        <is>
          <t>Yes</t>
        </is>
      </c>
      <c r="AR759">
        <f>HYPERLINK("http://catalog.hathitrust.org/Record/000236496","HathiTrust Record")</f>
        <v/>
      </c>
      <c r="AS759">
        <f>HYPERLINK("https://creighton-primo.hosted.exlibrisgroup.com/primo-explore/search?tab=default_tab&amp;search_scope=EVERYTHING&amp;vid=01CRU&amp;lang=en_US&amp;offset=0&amp;query=any,contains,991000060669702656","Catalog Record")</f>
        <v/>
      </c>
      <c r="AT759">
        <f>HYPERLINK("http://www.worldcat.org/oclc/8729099","WorldCat Record")</f>
        <v/>
      </c>
      <c r="AU759" t="inlineStr">
        <is>
          <t>20344639:eng</t>
        </is>
      </c>
      <c r="AV759" t="inlineStr">
        <is>
          <t>8729099</t>
        </is>
      </c>
      <c r="AW759" t="inlineStr">
        <is>
          <t>991000060669702656</t>
        </is>
      </c>
      <c r="AX759" t="inlineStr">
        <is>
          <t>991000060669702656</t>
        </is>
      </c>
      <c r="AY759" t="inlineStr">
        <is>
          <t>2269708550002656</t>
        </is>
      </c>
      <c r="AZ759" t="inlineStr">
        <is>
          <t>BOOK</t>
        </is>
      </c>
      <c r="BB759" t="inlineStr">
        <is>
          <t>9780801827181</t>
        </is>
      </c>
      <c r="BC759" t="inlineStr">
        <is>
          <t>32285000520188</t>
        </is>
      </c>
      <c r="BD759" t="inlineStr">
        <is>
          <t>893339230</t>
        </is>
      </c>
    </row>
    <row r="760">
      <c r="A760" t="inlineStr">
        <is>
          <t>No</t>
        </is>
      </c>
      <c r="B760" t="inlineStr">
        <is>
          <t>DF261.A177 R65 1995</t>
        </is>
      </c>
      <c r="C760" t="inlineStr">
        <is>
          <t>0                      DF 0261000A  177                R  65          1995</t>
        </is>
      </c>
      <c r="D760" t="inlineStr">
        <is>
          <t>The role of the ruler in the prehistoric Aegean : proceedings of a panel discussion presented at the Annual Meeting of the Archaeological Institute of America, New Orleans, Louisiana, 28 December 1992, with additions / edited by Paul Rehak.</t>
        </is>
      </c>
      <c r="F760" t="inlineStr">
        <is>
          <t>No</t>
        </is>
      </c>
      <c r="G760" t="inlineStr">
        <is>
          <t>1</t>
        </is>
      </c>
      <c r="H760" t="inlineStr">
        <is>
          <t>No</t>
        </is>
      </c>
      <c r="I760" t="inlineStr">
        <is>
          <t>No</t>
        </is>
      </c>
      <c r="J760" t="inlineStr">
        <is>
          <t>0</t>
        </is>
      </c>
      <c r="L760" t="inlineStr">
        <is>
          <t>Liège (Belgique) : Université de Liège, Histoire de l'art et archéologie de la Grèce antique ; Austin, Tx. (U.S.A.) : University of Texas at Austin, Program in Aegean Scripts and Prehistory, 1995.</t>
        </is>
      </c>
      <c r="M760" t="inlineStr">
        <is>
          <t>1995</t>
        </is>
      </c>
      <c r="O760" t="inlineStr">
        <is>
          <t>eng</t>
        </is>
      </c>
      <c r="P760" t="inlineStr">
        <is>
          <t xml:space="preserve">be </t>
        </is>
      </c>
      <c r="Q760" t="inlineStr">
        <is>
          <t>Aegaeum ; 11</t>
        </is>
      </c>
      <c r="R760" t="inlineStr">
        <is>
          <t xml:space="preserve">DF </t>
        </is>
      </c>
      <c r="S760" t="n">
        <v>1</v>
      </c>
      <c r="T760" t="n">
        <v>1</v>
      </c>
      <c r="U760" t="inlineStr">
        <is>
          <t>2010-05-06</t>
        </is>
      </c>
      <c r="V760" t="inlineStr">
        <is>
          <t>2010-05-06</t>
        </is>
      </c>
      <c r="W760" t="inlineStr">
        <is>
          <t>2010-05-06</t>
        </is>
      </c>
      <c r="X760" t="inlineStr">
        <is>
          <t>2010-05-06</t>
        </is>
      </c>
      <c r="Y760" t="n">
        <v>97</v>
      </c>
      <c r="Z760" t="n">
        <v>58</v>
      </c>
      <c r="AA760" t="n">
        <v>61</v>
      </c>
      <c r="AB760" t="n">
        <v>1</v>
      </c>
      <c r="AC760" t="n">
        <v>1</v>
      </c>
      <c r="AD760" t="n">
        <v>1</v>
      </c>
      <c r="AE760" t="n">
        <v>1</v>
      </c>
      <c r="AF760" t="n">
        <v>0</v>
      </c>
      <c r="AG760" t="n">
        <v>0</v>
      </c>
      <c r="AH760" t="n">
        <v>0</v>
      </c>
      <c r="AI760" t="n">
        <v>0</v>
      </c>
      <c r="AJ760" t="n">
        <v>1</v>
      </c>
      <c r="AK760" t="n">
        <v>1</v>
      </c>
      <c r="AL760" t="n">
        <v>0</v>
      </c>
      <c r="AM760" t="n">
        <v>0</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HYPERLINK("https://creighton-primo.hosted.exlibrisgroup.com/primo-explore/search?tab=default_tab&amp;search_scope=EVERYTHING&amp;vid=01CRU&amp;lang=en_US&amp;offset=0&amp;query=any,contains,991005392049702656","Catalog Record")</f>
        <v/>
      </c>
      <c r="AT760">
        <f>HYPERLINK("http://www.worldcat.org/oclc/33127203","WorldCat Record")</f>
        <v/>
      </c>
      <c r="AU760" t="inlineStr">
        <is>
          <t>763122039:eng</t>
        </is>
      </c>
      <c r="AV760" t="inlineStr">
        <is>
          <t>33127203</t>
        </is>
      </c>
      <c r="AW760" t="inlineStr">
        <is>
          <t>991005392049702656</t>
        </is>
      </c>
      <c r="AX760" t="inlineStr">
        <is>
          <t>991005392049702656</t>
        </is>
      </c>
      <c r="AY760" t="inlineStr">
        <is>
          <t>2268067420002656</t>
        </is>
      </c>
      <c r="AZ760" t="inlineStr">
        <is>
          <t>BOOK</t>
        </is>
      </c>
      <c r="BC760" t="inlineStr">
        <is>
          <t>32285005581474</t>
        </is>
      </c>
      <c r="BD760" t="inlineStr">
        <is>
          <t>893714026</t>
        </is>
      </c>
    </row>
    <row r="761">
      <c r="A761" t="inlineStr">
        <is>
          <t>No</t>
        </is>
      </c>
      <c r="B761" t="inlineStr">
        <is>
          <t>DF261.A2 S36 2000</t>
        </is>
      </c>
      <c r="C761" t="inlineStr">
        <is>
          <t>0                      DF 0261000A  2                  S  36          2000</t>
        </is>
      </c>
      <c r="D761" t="inlineStr">
        <is>
          <t>The politics of plunder : Aitolians and their koinon in the early Hellenistic era, 279-217 B.C. / Joseph B. Scholten.</t>
        </is>
      </c>
      <c r="F761" t="inlineStr">
        <is>
          <t>No</t>
        </is>
      </c>
      <c r="G761" t="inlineStr">
        <is>
          <t>1</t>
        </is>
      </c>
      <c r="H761" t="inlineStr">
        <is>
          <t>No</t>
        </is>
      </c>
      <c r="I761" t="inlineStr">
        <is>
          <t>No</t>
        </is>
      </c>
      <c r="J761" t="inlineStr">
        <is>
          <t>0</t>
        </is>
      </c>
      <c r="K761" t="inlineStr">
        <is>
          <t>Scholten, Joseph B., 1957-</t>
        </is>
      </c>
      <c r="L761" t="inlineStr">
        <is>
          <t>Berkeley : University of California Press, c2000.</t>
        </is>
      </c>
      <c r="M761" t="inlineStr">
        <is>
          <t>2000</t>
        </is>
      </c>
      <c r="O761" t="inlineStr">
        <is>
          <t>eng</t>
        </is>
      </c>
      <c r="P761" t="inlineStr">
        <is>
          <t>cau</t>
        </is>
      </c>
      <c r="Q761" t="inlineStr">
        <is>
          <t>Hellenistic culture and society ; 24</t>
        </is>
      </c>
      <c r="R761" t="inlineStr">
        <is>
          <t xml:space="preserve">DF </t>
        </is>
      </c>
      <c r="S761" t="n">
        <v>1</v>
      </c>
      <c r="T761" t="n">
        <v>1</v>
      </c>
      <c r="U761" t="inlineStr">
        <is>
          <t>2000-08-15</t>
        </is>
      </c>
      <c r="V761" t="inlineStr">
        <is>
          <t>2000-08-15</t>
        </is>
      </c>
      <c r="W761" t="inlineStr">
        <is>
          <t>2000-07-31</t>
        </is>
      </c>
      <c r="X761" t="inlineStr">
        <is>
          <t>2000-07-31</t>
        </is>
      </c>
      <c r="Y761" t="n">
        <v>288</v>
      </c>
      <c r="Z761" t="n">
        <v>216</v>
      </c>
      <c r="AA761" t="n">
        <v>219</v>
      </c>
      <c r="AB761" t="n">
        <v>3</v>
      </c>
      <c r="AC761" t="n">
        <v>3</v>
      </c>
      <c r="AD761" t="n">
        <v>14</v>
      </c>
      <c r="AE761" t="n">
        <v>14</v>
      </c>
      <c r="AF761" t="n">
        <v>5</v>
      </c>
      <c r="AG761" t="n">
        <v>5</v>
      </c>
      <c r="AH761" t="n">
        <v>4</v>
      </c>
      <c r="AI761" t="n">
        <v>4</v>
      </c>
      <c r="AJ761" t="n">
        <v>9</v>
      </c>
      <c r="AK761" t="n">
        <v>9</v>
      </c>
      <c r="AL761" t="n">
        <v>2</v>
      </c>
      <c r="AM761" t="n">
        <v>2</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HYPERLINK("https://creighton-primo.hosted.exlibrisgroup.com/primo-explore/search?tab=default_tab&amp;search_scope=EVERYTHING&amp;vid=01CRU&amp;lang=en_US&amp;offset=0&amp;query=any,contains,991003228079702656","Catalog Record")</f>
        <v/>
      </c>
      <c r="AT761">
        <f>HYPERLINK("http://www.worldcat.org/oclc/34919816","WorldCat Record")</f>
        <v/>
      </c>
      <c r="AU761" t="inlineStr">
        <is>
          <t>836980121:eng</t>
        </is>
      </c>
      <c r="AV761" t="inlineStr">
        <is>
          <t>34919816</t>
        </is>
      </c>
      <c r="AW761" t="inlineStr">
        <is>
          <t>991003228079702656</t>
        </is>
      </c>
      <c r="AX761" t="inlineStr">
        <is>
          <t>991003228079702656</t>
        </is>
      </c>
      <c r="AY761" t="inlineStr">
        <is>
          <t>2259791870002656</t>
        </is>
      </c>
      <c r="AZ761" t="inlineStr">
        <is>
          <t>BOOK</t>
        </is>
      </c>
      <c r="BB761" t="inlineStr">
        <is>
          <t>9780520201873</t>
        </is>
      </c>
      <c r="BC761" t="inlineStr">
        <is>
          <t>32285003744066</t>
        </is>
      </c>
      <c r="BD761" t="inlineStr">
        <is>
          <t>893893502</t>
        </is>
      </c>
    </row>
    <row r="762">
      <c r="A762" t="inlineStr">
        <is>
          <t>No</t>
        </is>
      </c>
      <c r="B762" t="inlineStr">
        <is>
          <t>DF261.A8 O83 1985</t>
        </is>
      </c>
      <c r="C762" t="inlineStr">
        <is>
          <t>0                      DF 0261000A  8                  O  83          1985</t>
        </is>
      </c>
      <c r="D762" t="inlineStr">
        <is>
          <t>Demos, the discovery of classical Attika / Robin Osborne.</t>
        </is>
      </c>
      <c r="F762" t="inlineStr">
        <is>
          <t>No</t>
        </is>
      </c>
      <c r="G762" t="inlineStr">
        <is>
          <t>1</t>
        </is>
      </c>
      <c r="H762" t="inlineStr">
        <is>
          <t>No</t>
        </is>
      </c>
      <c r="I762" t="inlineStr">
        <is>
          <t>No</t>
        </is>
      </c>
      <c r="J762" t="inlineStr">
        <is>
          <t>0</t>
        </is>
      </c>
      <c r="K762" t="inlineStr">
        <is>
          <t>Osborne, Robin.</t>
        </is>
      </c>
      <c r="L762" t="inlineStr">
        <is>
          <t>Cambridge [Cambridgeshire] ; New York : Cambridge University Press, 1985.</t>
        </is>
      </c>
      <c r="M762" t="inlineStr">
        <is>
          <t>1985</t>
        </is>
      </c>
      <c r="O762" t="inlineStr">
        <is>
          <t>eng</t>
        </is>
      </c>
      <c r="P762" t="inlineStr">
        <is>
          <t>enk</t>
        </is>
      </c>
      <c r="Q762" t="inlineStr">
        <is>
          <t>Cambridge classical studies</t>
        </is>
      </c>
      <c r="R762" t="inlineStr">
        <is>
          <t xml:space="preserve">DF </t>
        </is>
      </c>
      <c r="S762" t="n">
        <v>10</v>
      </c>
      <c r="T762" t="n">
        <v>10</v>
      </c>
      <c r="U762" t="inlineStr">
        <is>
          <t>2007-12-14</t>
        </is>
      </c>
      <c r="V762" t="inlineStr">
        <is>
          <t>2007-12-14</t>
        </is>
      </c>
      <c r="W762" t="inlineStr">
        <is>
          <t>1991-02-19</t>
        </is>
      </c>
      <c r="X762" t="inlineStr">
        <is>
          <t>1991-02-19</t>
        </is>
      </c>
      <c r="Y762" t="n">
        <v>484</v>
      </c>
      <c r="Z762" t="n">
        <v>328</v>
      </c>
      <c r="AA762" t="n">
        <v>337</v>
      </c>
      <c r="AB762" t="n">
        <v>2</v>
      </c>
      <c r="AC762" t="n">
        <v>2</v>
      </c>
      <c r="AD762" t="n">
        <v>19</v>
      </c>
      <c r="AE762" t="n">
        <v>20</v>
      </c>
      <c r="AF762" t="n">
        <v>6</v>
      </c>
      <c r="AG762" t="n">
        <v>7</v>
      </c>
      <c r="AH762" t="n">
        <v>4</v>
      </c>
      <c r="AI762" t="n">
        <v>4</v>
      </c>
      <c r="AJ762" t="n">
        <v>14</v>
      </c>
      <c r="AK762" t="n">
        <v>14</v>
      </c>
      <c r="AL762" t="n">
        <v>1</v>
      </c>
      <c r="AM762" t="n">
        <v>1</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HYPERLINK("https://creighton-primo.hosted.exlibrisgroup.com/primo-explore/search?tab=default_tab&amp;search_scope=EVERYTHING&amp;vid=01CRU&amp;lang=en_US&amp;offset=0&amp;query=any,contains,991000447179702656","Catalog Record")</f>
        <v/>
      </c>
      <c r="AT762">
        <f>HYPERLINK("http://www.worldcat.org/oclc/10851530","WorldCat Record")</f>
        <v/>
      </c>
      <c r="AU762" t="inlineStr">
        <is>
          <t>4992877:eng</t>
        </is>
      </c>
      <c r="AV762" t="inlineStr">
        <is>
          <t>10851530</t>
        </is>
      </c>
      <c r="AW762" t="inlineStr">
        <is>
          <t>991000447179702656</t>
        </is>
      </c>
      <c r="AX762" t="inlineStr">
        <is>
          <t>991000447179702656</t>
        </is>
      </c>
      <c r="AY762" t="inlineStr">
        <is>
          <t>2272259590002656</t>
        </is>
      </c>
      <c r="AZ762" t="inlineStr">
        <is>
          <t>BOOK</t>
        </is>
      </c>
      <c r="BB762" t="inlineStr">
        <is>
          <t>9780521267762</t>
        </is>
      </c>
      <c r="BC762" t="inlineStr">
        <is>
          <t>32285000520204</t>
        </is>
      </c>
      <c r="BD762" t="inlineStr">
        <is>
          <t>893614181</t>
        </is>
      </c>
    </row>
    <row r="763">
      <c r="A763" t="inlineStr">
        <is>
          <t>No</t>
        </is>
      </c>
      <c r="B763" t="inlineStr">
        <is>
          <t>DF261.C65 A6 v.17</t>
        </is>
      </c>
      <c r="C763" t="inlineStr">
        <is>
          <t>0                      DF 0261000C  65                 A  6                                 v.17</t>
        </is>
      </c>
      <c r="D763" t="inlineStr">
        <is>
          <t>The Great Bath on the Lechaion Road / by Jane C. Biers.</t>
        </is>
      </c>
      <c r="E763" t="inlineStr">
        <is>
          <t>V.17</t>
        </is>
      </c>
      <c r="F763" t="inlineStr">
        <is>
          <t>No</t>
        </is>
      </c>
      <c r="G763" t="inlineStr">
        <is>
          <t>1</t>
        </is>
      </c>
      <c r="H763" t="inlineStr">
        <is>
          <t>No</t>
        </is>
      </c>
      <c r="I763" t="inlineStr">
        <is>
          <t>No</t>
        </is>
      </c>
      <c r="J763" t="inlineStr">
        <is>
          <t>0</t>
        </is>
      </c>
      <c r="K763" t="inlineStr">
        <is>
          <t>Biers, Jane C.</t>
        </is>
      </c>
      <c r="L763" t="inlineStr">
        <is>
          <t>Princeton, N.J. : American School of Classical Studies at Athens, 1985.</t>
        </is>
      </c>
      <c r="M763" t="inlineStr">
        <is>
          <t>1985</t>
        </is>
      </c>
      <c r="O763" t="inlineStr">
        <is>
          <t>eng</t>
        </is>
      </c>
      <c r="P763" t="inlineStr">
        <is>
          <t>nju</t>
        </is>
      </c>
      <c r="Q763" t="inlineStr">
        <is>
          <t>Corinth : results of excavations ; v. 17</t>
        </is>
      </c>
      <c r="R763" t="inlineStr">
        <is>
          <t xml:space="preserve">DF </t>
        </is>
      </c>
      <c r="S763" t="n">
        <v>3</v>
      </c>
      <c r="T763" t="n">
        <v>3</v>
      </c>
      <c r="U763" t="inlineStr">
        <is>
          <t>2000-04-04</t>
        </is>
      </c>
      <c r="V763" t="inlineStr">
        <is>
          <t>2000-04-04</t>
        </is>
      </c>
      <c r="W763" t="inlineStr">
        <is>
          <t>1991-02-19</t>
        </is>
      </c>
      <c r="X763" t="inlineStr">
        <is>
          <t>1991-02-19</t>
        </is>
      </c>
      <c r="Y763" t="n">
        <v>190</v>
      </c>
      <c r="Z763" t="n">
        <v>125</v>
      </c>
      <c r="AA763" t="n">
        <v>128</v>
      </c>
      <c r="AB763" t="n">
        <v>2</v>
      </c>
      <c r="AC763" t="n">
        <v>2</v>
      </c>
      <c r="AD763" t="n">
        <v>5</v>
      </c>
      <c r="AE763" t="n">
        <v>5</v>
      </c>
      <c r="AF763" t="n">
        <v>2</v>
      </c>
      <c r="AG763" t="n">
        <v>2</v>
      </c>
      <c r="AH763" t="n">
        <v>1</v>
      </c>
      <c r="AI763" t="n">
        <v>1</v>
      </c>
      <c r="AJ763" t="n">
        <v>2</v>
      </c>
      <c r="AK763" t="n">
        <v>2</v>
      </c>
      <c r="AL763" t="n">
        <v>1</v>
      </c>
      <c r="AM763" t="n">
        <v>1</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HYPERLINK("https://creighton-primo.hosted.exlibrisgroup.com/primo-explore/search?tab=default_tab&amp;search_scope=EVERYTHING&amp;vid=01CRU&amp;lang=en_US&amp;offset=0&amp;query=any,contains,991000585039702656","Catalog Record")</f>
        <v/>
      </c>
      <c r="AT763">
        <f>HYPERLINK("http://www.worldcat.org/oclc/11756131","WorldCat Record")</f>
        <v/>
      </c>
      <c r="AU763" t="inlineStr">
        <is>
          <t>4312164:eng</t>
        </is>
      </c>
      <c r="AV763" t="inlineStr">
        <is>
          <t>11756131</t>
        </is>
      </c>
      <c r="AW763" t="inlineStr">
        <is>
          <t>991000585039702656</t>
        </is>
      </c>
      <c r="AX763" t="inlineStr">
        <is>
          <t>991000585039702656</t>
        </is>
      </c>
      <c r="AY763" t="inlineStr">
        <is>
          <t>2269166460002656</t>
        </is>
      </c>
      <c r="AZ763" t="inlineStr">
        <is>
          <t>BOOK</t>
        </is>
      </c>
      <c r="BB763" t="inlineStr">
        <is>
          <t>9780876611715</t>
        </is>
      </c>
      <c r="BC763" t="inlineStr">
        <is>
          <t>32285000520246</t>
        </is>
      </c>
      <c r="BD763" t="inlineStr">
        <is>
          <t>893802906</t>
        </is>
      </c>
    </row>
    <row r="764">
      <c r="A764" t="inlineStr">
        <is>
          <t>No</t>
        </is>
      </c>
      <c r="B764" t="inlineStr">
        <is>
          <t>DF261.C65 A6 v.18, pt.1</t>
        </is>
      </c>
      <c r="C764" t="inlineStr">
        <is>
          <t>0                      DF 0261000C  65                 A  6                                 v.18, pt.1</t>
        </is>
      </c>
      <c r="D764" t="inlineStr">
        <is>
          <t>The Sanctuary of Demeter and Kore : the Greek pottery / by Elizabeth G. Pemberton with a contribution by Kathleen Warner Slane.</t>
        </is>
      </c>
      <c r="E764" t="inlineStr">
        <is>
          <t>V.18 PT.1</t>
        </is>
      </c>
      <c r="F764" t="inlineStr">
        <is>
          <t>No</t>
        </is>
      </c>
      <c r="G764" t="inlineStr">
        <is>
          <t>1</t>
        </is>
      </c>
      <c r="H764" t="inlineStr">
        <is>
          <t>No</t>
        </is>
      </c>
      <c r="I764" t="inlineStr">
        <is>
          <t>No</t>
        </is>
      </c>
      <c r="J764" t="inlineStr">
        <is>
          <t>0</t>
        </is>
      </c>
      <c r="K764" t="inlineStr">
        <is>
          <t>Pemberton, Elizabeth G., 1940-</t>
        </is>
      </c>
      <c r="L764" t="inlineStr">
        <is>
          <t>Princeton, N.J. : American School of Classical Studies at Athens, 1989.</t>
        </is>
      </c>
      <c r="M764" t="inlineStr">
        <is>
          <t>1989</t>
        </is>
      </c>
      <c r="O764" t="inlineStr">
        <is>
          <t>eng</t>
        </is>
      </c>
      <c r="P764" t="inlineStr">
        <is>
          <t>nju</t>
        </is>
      </c>
      <c r="Q764" t="inlineStr">
        <is>
          <t>Corinth ; v. 18, pt. 1</t>
        </is>
      </c>
      <c r="R764" t="inlineStr">
        <is>
          <t xml:space="preserve">DF </t>
        </is>
      </c>
      <c r="S764" t="n">
        <v>3</v>
      </c>
      <c r="T764" t="n">
        <v>3</v>
      </c>
      <c r="U764" t="inlineStr">
        <is>
          <t>2001-11-07</t>
        </is>
      </c>
      <c r="V764" t="inlineStr">
        <is>
          <t>2001-11-07</t>
        </is>
      </c>
      <c r="W764" t="inlineStr">
        <is>
          <t>1999-04-08</t>
        </is>
      </c>
      <c r="X764" t="inlineStr">
        <is>
          <t>1999-04-08</t>
        </is>
      </c>
      <c r="Y764" t="n">
        <v>180</v>
      </c>
      <c r="Z764" t="n">
        <v>126</v>
      </c>
      <c r="AA764" t="n">
        <v>128</v>
      </c>
      <c r="AB764" t="n">
        <v>2</v>
      </c>
      <c r="AC764" t="n">
        <v>2</v>
      </c>
      <c r="AD764" t="n">
        <v>7</v>
      </c>
      <c r="AE764" t="n">
        <v>7</v>
      </c>
      <c r="AF764" t="n">
        <v>3</v>
      </c>
      <c r="AG764" t="n">
        <v>3</v>
      </c>
      <c r="AH764" t="n">
        <v>2</v>
      </c>
      <c r="AI764" t="n">
        <v>2</v>
      </c>
      <c r="AJ764" t="n">
        <v>4</v>
      </c>
      <c r="AK764" t="n">
        <v>4</v>
      </c>
      <c r="AL764" t="n">
        <v>1</v>
      </c>
      <c r="AM764" t="n">
        <v>1</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HYPERLINK("https://creighton-primo.hosted.exlibrisgroup.com/primo-explore/search?tab=default_tab&amp;search_scope=EVERYTHING&amp;vid=01CRU&amp;lang=en_US&amp;offset=0&amp;query=any,contains,991001514969702656","Catalog Record")</f>
        <v/>
      </c>
      <c r="AT764">
        <f>HYPERLINK("http://www.worldcat.org/oclc/19921543","WorldCat Record")</f>
        <v/>
      </c>
      <c r="AU764" t="inlineStr">
        <is>
          <t>815057199:eng</t>
        </is>
      </c>
      <c r="AV764" t="inlineStr">
        <is>
          <t>19921543</t>
        </is>
      </c>
      <c r="AW764" t="inlineStr">
        <is>
          <t>991001514969702656</t>
        </is>
      </c>
      <c r="AX764" t="inlineStr">
        <is>
          <t>991001514969702656</t>
        </is>
      </c>
      <c r="AY764" t="inlineStr">
        <is>
          <t>2269500870002656</t>
        </is>
      </c>
      <c r="AZ764" t="inlineStr">
        <is>
          <t>BOOK</t>
        </is>
      </c>
      <c r="BB764" t="inlineStr">
        <is>
          <t>9780876611814</t>
        </is>
      </c>
      <c r="BC764" t="inlineStr">
        <is>
          <t>32285003550588</t>
        </is>
      </c>
      <c r="BD764" t="inlineStr">
        <is>
          <t>893590407</t>
        </is>
      </c>
    </row>
    <row r="765">
      <c r="A765" t="inlineStr">
        <is>
          <t>No</t>
        </is>
      </c>
      <c r="B765" t="inlineStr">
        <is>
          <t>DF261.C65 A6 v.18, pt.3</t>
        </is>
      </c>
      <c r="C765" t="inlineStr">
        <is>
          <t>0                      DF 0261000C  65                 A  6                                 v.18, pt.3</t>
        </is>
      </c>
      <c r="D765" t="inlineStr">
        <is>
          <t>The sanctuary of Demeter and Kore : topography and architecture / by Nancy Bookidis and Ronald S. Stroud.</t>
        </is>
      </c>
      <c r="E765" t="inlineStr">
        <is>
          <t>V.18 PT.3</t>
        </is>
      </c>
      <c r="F765" t="inlineStr">
        <is>
          <t>No</t>
        </is>
      </c>
      <c r="G765" t="inlineStr">
        <is>
          <t>1</t>
        </is>
      </c>
      <c r="H765" t="inlineStr">
        <is>
          <t>No</t>
        </is>
      </c>
      <c r="I765" t="inlineStr">
        <is>
          <t>No</t>
        </is>
      </c>
      <c r="J765" t="inlineStr">
        <is>
          <t>0</t>
        </is>
      </c>
      <c r="K765" t="inlineStr">
        <is>
          <t>Bookidis, Nancy, 1938-</t>
        </is>
      </c>
      <c r="L765" t="inlineStr">
        <is>
          <t>Princeton, N.J. : American School of Classical Studies at Athens, 1997.</t>
        </is>
      </c>
      <c r="M765" t="inlineStr">
        <is>
          <t>1997</t>
        </is>
      </c>
      <c r="O765" t="inlineStr">
        <is>
          <t>eng</t>
        </is>
      </c>
      <c r="P765" t="inlineStr">
        <is>
          <t>nju</t>
        </is>
      </c>
      <c r="Q765" t="inlineStr">
        <is>
          <t>Corinth ; v. 18, pt. 3</t>
        </is>
      </c>
      <c r="R765" t="inlineStr">
        <is>
          <t xml:space="preserve">DF </t>
        </is>
      </c>
      <c r="S765" t="n">
        <v>3</v>
      </c>
      <c r="T765" t="n">
        <v>3</v>
      </c>
      <c r="U765" t="inlineStr">
        <is>
          <t>2003-02-10</t>
        </is>
      </c>
      <c r="V765" t="inlineStr">
        <is>
          <t>2003-02-10</t>
        </is>
      </c>
      <c r="W765" t="inlineStr">
        <is>
          <t>1999-02-17</t>
        </is>
      </c>
      <c r="X765" t="inlineStr">
        <is>
          <t>1999-02-17</t>
        </is>
      </c>
      <c r="Y765" t="n">
        <v>159</v>
      </c>
      <c r="Z765" t="n">
        <v>117</v>
      </c>
      <c r="AA765" t="n">
        <v>120</v>
      </c>
      <c r="AB765" t="n">
        <v>2</v>
      </c>
      <c r="AC765" t="n">
        <v>2</v>
      </c>
      <c r="AD765" t="n">
        <v>6</v>
      </c>
      <c r="AE765" t="n">
        <v>7</v>
      </c>
      <c r="AF765" t="n">
        <v>3</v>
      </c>
      <c r="AG765" t="n">
        <v>3</v>
      </c>
      <c r="AH765" t="n">
        <v>0</v>
      </c>
      <c r="AI765" t="n">
        <v>1</v>
      </c>
      <c r="AJ765" t="n">
        <v>4</v>
      </c>
      <c r="AK765" t="n">
        <v>5</v>
      </c>
      <c r="AL765" t="n">
        <v>1</v>
      </c>
      <c r="AM765" t="n">
        <v>1</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HYPERLINK("https://creighton-primo.hosted.exlibrisgroup.com/primo-explore/search?tab=default_tab&amp;search_scope=EVERYTHING&amp;vid=01CRU&amp;lang=en_US&amp;offset=0&amp;query=any,contains,991002846979702656","Catalog Record")</f>
        <v/>
      </c>
      <c r="AT765">
        <f>HYPERLINK("http://www.worldcat.org/oclc/37513087","WorldCat Record")</f>
        <v/>
      </c>
      <c r="AU765" t="inlineStr">
        <is>
          <t>316526730:eng</t>
        </is>
      </c>
      <c r="AV765" t="inlineStr">
        <is>
          <t>37513087</t>
        </is>
      </c>
      <c r="AW765" t="inlineStr">
        <is>
          <t>991002846979702656</t>
        </is>
      </c>
      <c r="AX765" t="inlineStr">
        <is>
          <t>991002846979702656</t>
        </is>
      </c>
      <c r="AY765" t="inlineStr">
        <is>
          <t>2269620500002656</t>
        </is>
      </c>
      <c r="AZ765" t="inlineStr">
        <is>
          <t>BOOK</t>
        </is>
      </c>
      <c r="BB765" t="inlineStr">
        <is>
          <t>9780876611838</t>
        </is>
      </c>
      <c r="BC765" t="inlineStr">
        <is>
          <t>32285003526364</t>
        </is>
      </c>
      <c r="BD765" t="inlineStr">
        <is>
          <t>893517831</t>
        </is>
      </c>
    </row>
    <row r="766">
      <c r="A766" t="inlineStr">
        <is>
          <t>No</t>
        </is>
      </c>
      <c r="B766" t="inlineStr">
        <is>
          <t>DF261.C7 S48 1978</t>
        </is>
      </c>
      <c r="C766" t="inlineStr">
        <is>
          <t>0                      DF 0261000C  7                  S  48          1978</t>
        </is>
      </c>
      <c r="D766" t="inlineStr">
        <is>
          <t>Ancient Cos : an historical study from the Dorian settlement to the imperial period / Susan M. Sherwin-White.</t>
        </is>
      </c>
      <c r="F766" t="inlineStr">
        <is>
          <t>No</t>
        </is>
      </c>
      <c r="G766" t="inlineStr">
        <is>
          <t>1</t>
        </is>
      </c>
      <c r="H766" t="inlineStr">
        <is>
          <t>No</t>
        </is>
      </c>
      <c r="I766" t="inlineStr">
        <is>
          <t>No</t>
        </is>
      </c>
      <c r="J766" t="inlineStr">
        <is>
          <t>0</t>
        </is>
      </c>
      <c r="K766" t="inlineStr">
        <is>
          <t>Sherwin-White, Susan M.</t>
        </is>
      </c>
      <c r="L766" t="inlineStr">
        <is>
          <t>Göttingen : Vandenhoeck und Ruprecht, 1978.</t>
        </is>
      </c>
      <c r="M766" t="inlineStr">
        <is>
          <t>1978</t>
        </is>
      </c>
      <c r="O766" t="inlineStr">
        <is>
          <t>eng</t>
        </is>
      </c>
      <c r="P766" t="inlineStr">
        <is>
          <t xml:space="preserve">gw </t>
        </is>
      </c>
      <c r="Q766" t="inlineStr">
        <is>
          <t>Hypomnemata : Untersuchungen zur Antike und zu ihrem Nachleben ; Heft 51</t>
        </is>
      </c>
      <c r="R766" t="inlineStr">
        <is>
          <t xml:space="preserve">DF </t>
        </is>
      </c>
      <c r="S766" t="n">
        <v>1</v>
      </c>
      <c r="T766" t="n">
        <v>1</v>
      </c>
      <c r="U766" t="inlineStr">
        <is>
          <t>2009-10-27</t>
        </is>
      </c>
      <c r="V766" t="inlineStr">
        <is>
          <t>2009-10-27</t>
        </is>
      </c>
      <c r="W766" t="inlineStr">
        <is>
          <t>1990-12-28</t>
        </is>
      </c>
      <c r="X766" t="inlineStr">
        <is>
          <t>1990-12-28</t>
        </is>
      </c>
      <c r="Y766" t="n">
        <v>247</v>
      </c>
      <c r="Z766" t="n">
        <v>123</v>
      </c>
      <c r="AA766" t="n">
        <v>124</v>
      </c>
      <c r="AB766" t="n">
        <v>2</v>
      </c>
      <c r="AC766" t="n">
        <v>2</v>
      </c>
      <c r="AD766" t="n">
        <v>6</v>
      </c>
      <c r="AE766" t="n">
        <v>6</v>
      </c>
      <c r="AF766" t="n">
        <v>1</v>
      </c>
      <c r="AG766" t="n">
        <v>1</v>
      </c>
      <c r="AH766" t="n">
        <v>2</v>
      </c>
      <c r="AI766" t="n">
        <v>2</v>
      </c>
      <c r="AJ766" t="n">
        <v>4</v>
      </c>
      <c r="AK766" t="n">
        <v>4</v>
      </c>
      <c r="AL766" t="n">
        <v>1</v>
      </c>
      <c r="AM766" t="n">
        <v>1</v>
      </c>
      <c r="AN766" t="n">
        <v>0</v>
      </c>
      <c r="AO766" t="n">
        <v>0</v>
      </c>
      <c r="AP766" t="inlineStr">
        <is>
          <t>No</t>
        </is>
      </c>
      <c r="AQ766" t="inlineStr">
        <is>
          <t>Yes</t>
        </is>
      </c>
      <c r="AR766">
        <f>HYPERLINK("http://catalog.hathitrust.org/Record/000298210","HathiTrust Record")</f>
        <v/>
      </c>
      <c r="AS766">
        <f>HYPERLINK("https://creighton-primo.hosted.exlibrisgroup.com/primo-explore/search?tab=default_tab&amp;search_scope=EVERYTHING&amp;vid=01CRU&amp;lang=en_US&amp;offset=0&amp;query=any,contains,991004720269702656","Catalog Record")</f>
        <v/>
      </c>
      <c r="AT766">
        <f>HYPERLINK("http://www.worldcat.org/oclc/4802078","WorldCat Record")</f>
        <v/>
      </c>
      <c r="AU766" t="inlineStr">
        <is>
          <t>291656332:eng</t>
        </is>
      </c>
      <c r="AV766" t="inlineStr">
        <is>
          <t>4802078</t>
        </is>
      </c>
      <c r="AW766" t="inlineStr">
        <is>
          <t>991004720269702656</t>
        </is>
      </c>
      <c r="AX766" t="inlineStr">
        <is>
          <t>991004720269702656</t>
        </is>
      </c>
      <c r="AY766" t="inlineStr">
        <is>
          <t>2266704030002656</t>
        </is>
      </c>
      <c r="AZ766" t="inlineStr">
        <is>
          <t>BOOK</t>
        </is>
      </c>
      <c r="BB766" t="inlineStr">
        <is>
          <t>9783525251461</t>
        </is>
      </c>
      <c r="BC766" t="inlineStr">
        <is>
          <t>32285000405869</t>
        </is>
      </c>
      <c r="BD766" t="inlineStr">
        <is>
          <t>893776363</t>
        </is>
      </c>
    </row>
    <row r="767">
      <c r="A767" t="inlineStr">
        <is>
          <t>No</t>
        </is>
      </c>
      <c r="B767" t="inlineStr">
        <is>
          <t>DF261.C8 W52</t>
        </is>
      </c>
      <c r="C767" t="inlineStr">
        <is>
          <t>0                      DF 0261000C  8                  W  52</t>
        </is>
      </c>
      <c r="D767" t="inlineStr">
        <is>
          <t>The civilization of ancient Crete / R. F. Willetts.</t>
        </is>
      </c>
      <c r="F767" t="inlineStr">
        <is>
          <t>No</t>
        </is>
      </c>
      <c r="G767" t="inlineStr">
        <is>
          <t>1</t>
        </is>
      </c>
      <c r="H767" t="inlineStr">
        <is>
          <t>No</t>
        </is>
      </c>
      <c r="I767" t="inlineStr">
        <is>
          <t>No</t>
        </is>
      </c>
      <c r="J767" t="inlineStr">
        <is>
          <t>0</t>
        </is>
      </c>
      <c r="K767" t="inlineStr">
        <is>
          <t>Willetts, R. F. (Ronald Frederick), 1915-1999.</t>
        </is>
      </c>
      <c r="L767" t="inlineStr">
        <is>
          <t>Berkeley : University of California Press, 1977.</t>
        </is>
      </c>
      <c r="M767" t="inlineStr">
        <is>
          <t>1977</t>
        </is>
      </c>
      <c r="O767" t="inlineStr">
        <is>
          <t>eng</t>
        </is>
      </c>
      <c r="P767" t="inlineStr">
        <is>
          <t>cau</t>
        </is>
      </c>
      <c r="R767" t="inlineStr">
        <is>
          <t xml:space="preserve">DF </t>
        </is>
      </c>
      <c r="S767" t="n">
        <v>2</v>
      </c>
      <c r="T767" t="n">
        <v>2</v>
      </c>
      <c r="U767" t="inlineStr">
        <is>
          <t>1996-12-04</t>
        </is>
      </c>
      <c r="V767" t="inlineStr">
        <is>
          <t>1996-12-04</t>
        </is>
      </c>
      <c r="W767" t="inlineStr">
        <is>
          <t>1991-02-19</t>
        </is>
      </c>
      <c r="X767" t="inlineStr">
        <is>
          <t>1991-02-19</t>
        </is>
      </c>
      <c r="Y767" t="n">
        <v>742</v>
      </c>
      <c r="Z767" t="n">
        <v>686</v>
      </c>
      <c r="AA767" t="n">
        <v>850</v>
      </c>
      <c r="AB767" t="n">
        <v>5</v>
      </c>
      <c r="AC767" t="n">
        <v>7</v>
      </c>
      <c r="AD767" t="n">
        <v>28</v>
      </c>
      <c r="AE767" t="n">
        <v>33</v>
      </c>
      <c r="AF767" t="n">
        <v>11</v>
      </c>
      <c r="AG767" t="n">
        <v>13</v>
      </c>
      <c r="AH767" t="n">
        <v>8</v>
      </c>
      <c r="AI767" t="n">
        <v>9</v>
      </c>
      <c r="AJ767" t="n">
        <v>13</v>
      </c>
      <c r="AK767" t="n">
        <v>15</v>
      </c>
      <c r="AL767" t="n">
        <v>4</v>
      </c>
      <c r="AM767" t="n">
        <v>5</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HYPERLINK("https://creighton-primo.hosted.exlibrisgroup.com/primo-explore/search?tab=default_tab&amp;search_scope=EVERYTHING&amp;vid=01CRU&amp;lang=en_US&amp;offset=0&amp;query=any,contains,991004490699702656","Catalog Record")</f>
        <v/>
      </c>
      <c r="AT767">
        <f>HYPERLINK("http://www.worldcat.org/oclc/3658992","WorldCat Record")</f>
        <v/>
      </c>
      <c r="AU767" t="inlineStr">
        <is>
          <t>476697897:eng</t>
        </is>
      </c>
      <c r="AV767" t="inlineStr">
        <is>
          <t>3658992</t>
        </is>
      </c>
      <c r="AW767" t="inlineStr">
        <is>
          <t>991004490699702656</t>
        </is>
      </c>
      <c r="AX767" t="inlineStr">
        <is>
          <t>991004490699702656</t>
        </is>
      </c>
      <c r="AY767" t="inlineStr">
        <is>
          <t>2254812040002656</t>
        </is>
      </c>
      <c r="AZ767" t="inlineStr">
        <is>
          <t>BOOK</t>
        </is>
      </c>
      <c r="BB767" t="inlineStr">
        <is>
          <t>9780520034068</t>
        </is>
      </c>
      <c r="BC767" t="inlineStr">
        <is>
          <t>32285000520279</t>
        </is>
      </c>
      <c r="BD767" t="inlineStr">
        <is>
          <t>893411613</t>
        </is>
      </c>
    </row>
    <row r="768">
      <c r="A768" t="inlineStr">
        <is>
          <t>No</t>
        </is>
      </c>
      <c r="B768" t="inlineStr">
        <is>
          <t>DF261.D35 H5513 1979</t>
        </is>
      </c>
      <c r="C768" t="inlineStr">
        <is>
          <t>0                      DF 0261000D  35                 H  5513        1979</t>
        </is>
      </c>
      <c r="D768" t="inlineStr">
        <is>
          <t>Delphi and Olympia / by Erik J. Holmberg.</t>
        </is>
      </c>
      <c r="F768" t="inlineStr">
        <is>
          <t>No</t>
        </is>
      </c>
      <c r="G768" t="inlineStr">
        <is>
          <t>1</t>
        </is>
      </c>
      <c r="H768" t="inlineStr">
        <is>
          <t>No</t>
        </is>
      </c>
      <c r="I768" t="inlineStr">
        <is>
          <t>No</t>
        </is>
      </c>
      <c r="J768" t="inlineStr">
        <is>
          <t>0</t>
        </is>
      </c>
      <c r="K768" t="inlineStr">
        <is>
          <t>Holmberg, Erik J. (Erik John), 1907-1997.</t>
        </is>
      </c>
      <c r="L768" t="inlineStr">
        <is>
          <t>Gothenburg : P. Åström, 1979.</t>
        </is>
      </c>
      <c r="M768" t="inlineStr">
        <is>
          <t>1979</t>
        </is>
      </c>
      <c r="O768" t="inlineStr">
        <is>
          <t>eng</t>
        </is>
      </c>
      <c r="P768" t="inlineStr">
        <is>
          <t xml:space="preserve">gr </t>
        </is>
      </c>
      <c r="Q768" t="inlineStr">
        <is>
          <t>Studies in Mediterranean archaeology. Pocket-book, 0347-173X ; 10</t>
        </is>
      </c>
      <c r="R768" t="inlineStr">
        <is>
          <t xml:space="preserve">DF </t>
        </is>
      </c>
      <c r="S768" t="n">
        <v>12</v>
      </c>
      <c r="T768" t="n">
        <v>12</v>
      </c>
      <c r="U768" t="inlineStr">
        <is>
          <t>2006-03-14</t>
        </is>
      </c>
      <c r="V768" t="inlineStr">
        <is>
          <t>2006-03-14</t>
        </is>
      </c>
      <c r="W768" t="inlineStr">
        <is>
          <t>1997-05-04</t>
        </is>
      </c>
      <c r="X768" t="inlineStr">
        <is>
          <t>1997-05-04</t>
        </is>
      </c>
      <c r="Y768" t="n">
        <v>157</v>
      </c>
      <c r="Z768" t="n">
        <v>98</v>
      </c>
      <c r="AA768" t="n">
        <v>99</v>
      </c>
      <c r="AB768" t="n">
        <v>2</v>
      </c>
      <c r="AC768" t="n">
        <v>2</v>
      </c>
      <c r="AD768" t="n">
        <v>4</v>
      </c>
      <c r="AE768" t="n">
        <v>4</v>
      </c>
      <c r="AF768" t="n">
        <v>0</v>
      </c>
      <c r="AG768" t="n">
        <v>0</v>
      </c>
      <c r="AH768" t="n">
        <v>1</v>
      </c>
      <c r="AI768" t="n">
        <v>1</v>
      </c>
      <c r="AJ768" t="n">
        <v>2</v>
      </c>
      <c r="AK768" t="n">
        <v>2</v>
      </c>
      <c r="AL768" t="n">
        <v>1</v>
      </c>
      <c r="AM768" t="n">
        <v>1</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HYPERLINK("https://creighton-primo.hosted.exlibrisgroup.com/primo-explore/search?tab=default_tab&amp;search_scope=EVERYTHING&amp;vid=01CRU&amp;lang=en_US&amp;offset=0&amp;query=any,contains,991005044169702656","Catalog Record")</f>
        <v/>
      </c>
      <c r="AT768">
        <f>HYPERLINK("http://www.worldcat.org/oclc/6815286","WorldCat Record")</f>
        <v/>
      </c>
      <c r="AU768" t="inlineStr">
        <is>
          <t>1151025365:eng</t>
        </is>
      </c>
      <c r="AV768" t="inlineStr">
        <is>
          <t>6815286</t>
        </is>
      </c>
      <c r="AW768" t="inlineStr">
        <is>
          <t>991005044169702656</t>
        </is>
      </c>
      <c r="AX768" t="inlineStr">
        <is>
          <t>991005044169702656</t>
        </is>
      </c>
      <c r="AY768" t="inlineStr">
        <is>
          <t>2265200030002656</t>
        </is>
      </c>
      <c r="AZ768" t="inlineStr">
        <is>
          <t>BOOK</t>
        </is>
      </c>
      <c r="BB768" t="inlineStr">
        <is>
          <t>9789185058921</t>
        </is>
      </c>
      <c r="BC768" t="inlineStr">
        <is>
          <t>32285002543634</t>
        </is>
      </c>
      <c r="BD768" t="inlineStr">
        <is>
          <t>893795526</t>
        </is>
      </c>
    </row>
    <row r="769">
      <c r="A769" t="inlineStr">
        <is>
          <t>No</t>
        </is>
      </c>
      <c r="B769" t="inlineStr">
        <is>
          <t>DF261.D35 M57 1990</t>
        </is>
      </c>
      <c r="C769" t="inlineStr">
        <is>
          <t>0                      DF 0261000D  35                 M  57          1990</t>
        </is>
      </c>
      <c r="D769" t="inlineStr">
        <is>
          <t>Athletes and oracles : the transformation of Olympia and Delphi in the eighth century BC / Catherine Morgan.</t>
        </is>
      </c>
      <c r="F769" t="inlineStr">
        <is>
          <t>No</t>
        </is>
      </c>
      <c r="G769" t="inlineStr">
        <is>
          <t>1</t>
        </is>
      </c>
      <c r="H769" t="inlineStr">
        <is>
          <t>No</t>
        </is>
      </c>
      <c r="I769" t="inlineStr">
        <is>
          <t>No</t>
        </is>
      </c>
      <c r="J769" t="inlineStr">
        <is>
          <t>0</t>
        </is>
      </c>
      <c r="K769" t="inlineStr">
        <is>
          <t>Morgan, Catherine, 1961-</t>
        </is>
      </c>
      <c r="L769" t="inlineStr">
        <is>
          <t>Cambridge [England] ; New York : Cambridge University Press, 1990.</t>
        </is>
      </c>
      <c r="M769" t="inlineStr">
        <is>
          <t>1990</t>
        </is>
      </c>
      <c r="O769" t="inlineStr">
        <is>
          <t>eng</t>
        </is>
      </c>
      <c r="P769" t="inlineStr">
        <is>
          <t>enk</t>
        </is>
      </c>
      <c r="R769" t="inlineStr">
        <is>
          <t xml:space="preserve">DF </t>
        </is>
      </c>
      <c r="S769" t="n">
        <v>2</v>
      </c>
      <c r="T769" t="n">
        <v>2</v>
      </c>
      <c r="U769" t="inlineStr">
        <is>
          <t>2009-04-09</t>
        </is>
      </c>
      <c r="V769" t="inlineStr">
        <is>
          <t>2009-04-09</t>
        </is>
      </c>
      <c r="W769" t="inlineStr">
        <is>
          <t>2009-03-24</t>
        </is>
      </c>
      <c r="X769" t="inlineStr">
        <is>
          <t>2009-03-24</t>
        </is>
      </c>
      <c r="Y769" t="n">
        <v>461</v>
      </c>
      <c r="Z769" t="n">
        <v>354</v>
      </c>
      <c r="AA769" t="n">
        <v>365</v>
      </c>
      <c r="AB769" t="n">
        <v>3</v>
      </c>
      <c r="AC769" t="n">
        <v>3</v>
      </c>
      <c r="AD769" t="n">
        <v>22</v>
      </c>
      <c r="AE769" t="n">
        <v>22</v>
      </c>
      <c r="AF769" t="n">
        <v>8</v>
      </c>
      <c r="AG769" t="n">
        <v>8</v>
      </c>
      <c r="AH769" t="n">
        <v>5</v>
      </c>
      <c r="AI769" t="n">
        <v>5</v>
      </c>
      <c r="AJ769" t="n">
        <v>13</v>
      </c>
      <c r="AK769" t="n">
        <v>13</v>
      </c>
      <c r="AL769" t="n">
        <v>2</v>
      </c>
      <c r="AM769" t="n">
        <v>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HYPERLINK("https://creighton-primo.hosted.exlibrisgroup.com/primo-explore/search?tab=default_tab&amp;search_scope=EVERYTHING&amp;vid=01CRU&amp;lang=en_US&amp;offset=0&amp;query=any,contains,991005300249702656","Catalog Record")</f>
        <v/>
      </c>
      <c r="AT769">
        <f>HYPERLINK("http://www.worldcat.org/oclc/19126068","WorldCat Record")</f>
        <v/>
      </c>
      <c r="AU769" t="inlineStr">
        <is>
          <t>292688203:eng</t>
        </is>
      </c>
      <c r="AV769" t="inlineStr">
        <is>
          <t>19126068</t>
        </is>
      </c>
      <c r="AW769" t="inlineStr">
        <is>
          <t>991005300249702656</t>
        </is>
      </c>
      <c r="AX769" t="inlineStr">
        <is>
          <t>991005300249702656</t>
        </is>
      </c>
      <c r="AY769" t="inlineStr">
        <is>
          <t>2271499080002656</t>
        </is>
      </c>
      <c r="AZ769" t="inlineStr">
        <is>
          <t>BOOK</t>
        </is>
      </c>
      <c r="BB769" t="inlineStr">
        <is>
          <t>9780521035682</t>
        </is>
      </c>
      <c r="BC769" t="inlineStr">
        <is>
          <t>32285005509608</t>
        </is>
      </c>
      <c r="BD769" t="inlineStr">
        <is>
          <t>893688925</t>
        </is>
      </c>
    </row>
    <row r="770">
      <c r="A770" t="inlineStr">
        <is>
          <t>No</t>
        </is>
      </c>
      <c r="B770" t="inlineStr">
        <is>
          <t>DF261.E4 M88</t>
        </is>
      </c>
      <c r="C770" t="inlineStr">
        <is>
          <t>0                      DF 0261000E  4                  M  88</t>
        </is>
      </c>
      <c r="D770" t="inlineStr">
        <is>
          <t>Eleusis and the Eleusinian mysteries.</t>
        </is>
      </c>
      <c r="F770" t="inlineStr">
        <is>
          <t>No</t>
        </is>
      </c>
      <c r="G770" t="inlineStr">
        <is>
          <t>1</t>
        </is>
      </c>
      <c r="H770" t="inlineStr">
        <is>
          <t>No</t>
        </is>
      </c>
      <c r="I770" t="inlineStr">
        <is>
          <t>No</t>
        </is>
      </c>
      <c r="J770" t="inlineStr">
        <is>
          <t>0</t>
        </is>
      </c>
      <c r="K770" t="inlineStr">
        <is>
          <t>Mylonas, George E. (George Emmanuel), 1898-1988.</t>
        </is>
      </c>
      <c r="L770" t="inlineStr">
        <is>
          <t>Princeton, N.J., Princeton University Press, 1961.</t>
        </is>
      </c>
      <c r="M770" t="inlineStr">
        <is>
          <t>1961</t>
        </is>
      </c>
      <c r="O770" t="inlineStr">
        <is>
          <t>eng</t>
        </is>
      </c>
      <c r="P770" t="inlineStr">
        <is>
          <t>nju</t>
        </is>
      </c>
      <c r="R770" t="inlineStr">
        <is>
          <t xml:space="preserve">DF </t>
        </is>
      </c>
      <c r="S770" t="n">
        <v>9</v>
      </c>
      <c r="T770" t="n">
        <v>9</v>
      </c>
      <c r="U770" t="inlineStr">
        <is>
          <t>2007-05-29</t>
        </is>
      </c>
      <c r="V770" t="inlineStr">
        <is>
          <t>2007-05-29</t>
        </is>
      </c>
      <c r="W770" t="inlineStr">
        <is>
          <t>1997-01-30</t>
        </is>
      </c>
      <c r="X770" t="inlineStr">
        <is>
          <t>1997-01-30</t>
        </is>
      </c>
      <c r="Y770" t="n">
        <v>943</v>
      </c>
      <c r="Z770" t="n">
        <v>784</v>
      </c>
      <c r="AA770" t="n">
        <v>964</v>
      </c>
      <c r="AB770" t="n">
        <v>5</v>
      </c>
      <c r="AC770" t="n">
        <v>5</v>
      </c>
      <c r="AD770" t="n">
        <v>40</v>
      </c>
      <c r="AE770" t="n">
        <v>45</v>
      </c>
      <c r="AF770" t="n">
        <v>19</v>
      </c>
      <c r="AG770" t="n">
        <v>23</v>
      </c>
      <c r="AH770" t="n">
        <v>8</v>
      </c>
      <c r="AI770" t="n">
        <v>9</v>
      </c>
      <c r="AJ770" t="n">
        <v>22</v>
      </c>
      <c r="AK770" t="n">
        <v>23</v>
      </c>
      <c r="AL770" t="n">
        <v>3</v>
      </c>
      <c r="AM770" t="n">
        <v>3</v>
      </c>
      <c r="AN770" t="n">
        <v>0</v>
      </c>
      <c r="AO770" t="n">
        <v>0</v>
      </c>
      <c r="AP770" t="inlineStr">
        <is>
          <t>No</t>
        </is>
      </c>
      <c r="AQ770" t="inlineStr">
        <is>
          <t>Yes</t>
        </is>
      </c>
      <c r="AR770">
        <f>HYPERLINK("http://catalog.hathitrust.org/Record/003339379","HathiTrust Record")</f>
        <v/>
      </c>
      <c r="AS770">
        <f>HYPERLINK("https://creighton-primo.hosted.exlibrisgroup.com/primo-explore/search?tab=default_tab&amp;search_scope=EVERYTHING&amp;vid=01CRU&amp;lang=en_US&amp;offset=0&amp;query=any,contains,991005355179702656","Catalog Record")</f>
        <v/>
      </c>
      <c r="AT770">
        <f>HYPERLINK("http://www.worldcat.org/oclc/402047","WorldCat Record")</f>
        <v/>
      </c>
      <c r="AU770" t="inlineStr">
        <is>
          <t>141269538:eng</t>
        </is>
      </c>
      <c r="AV770" t="inlineStr">
        <is>
          <t>402047</t>
        </is>
      </c>
      <c r="AW770" t="inlineStr">
        <is>
          <t>991005355179702656</t>
        </is>
      </c>
      <c r="AX770" t="inlineStr">
        <is>
          <t>991005355179702656</t>
        </is>
      </c>
      <c r="AY770" t="inlineStr">
        <is>
          <t>2267707320002656</t>
        </is>
      </c>
      <c r="AZ770" t="inlineStr">
        <is>
          <t>BOOK</t>
        </is>
      </c>
      <c r="BC770" t="inlineStr">
        <is>
          <t>32285002418969</t>
        </is>
      </c>
      <c r="BD770" t="inlineStr">
        <is>
          <t>893326618</t>
        </is>
      </c>
    </row>
    <row r="771">
      <c r="A771" t="inlineStr">
        <is>
          <t>No</t>
        </is>
      </c>
      <c r="B771" t="inlineStr">
        <is>
          <t>DF261.E5 E7 1995</t>
        </is>
      </c>
      <c r="C771" t="inlineStr">
        <is>
          <t>0                      DF 0261000E  5                  E  7           1995</t>
        </is>
      </c>
      <c r="D771" t="inlineStr">
        <is>
          <t>Ephesos metropolis of Asia : an interdisciplinary approach to its archaeology, religion, and culture / edited by Helmut Koester.</t>
        </is>
      </c>
      <c r="F771" t="inlineStr">
        <is>
          <t>No</t>
        </is>
      </c>
      <c r="G771" t="inlineStr">
        <is>
          <t>1</t>
        </is>
      </c>
      <c r="H771" t="inlineStr">
        <is>
          <t>No</t>
        </is>
      </c>
      <c r="I771" t="inlineStr">
        <is>
          <t>No</t>
        </is>
      </c>
      <c r="J771" t="inlineStr">
        <is>
          <t>0</t>
        </is>
      </c>
      <c r="L771" t="inlineStr">
        <is>
          <t>Valley Forge, Pa. : Trinity Press International, c1995.</t>
        </is>
      </c>
      <c r="M771" t="inlineStr">
        <is>
          <t>1995</t>
        </is>
      </c>
      <c r="O771" t="inlineStr">
        <is>
          <t>eng</t>
        </is>
      </c>
      <c r="P771" t="inlineStr">
        <is>
          <t>pau</t>
        </is>
      </c>
      <c r="Q771" t="inlineStr">
        <is>
          <t>Harvard theological studies ; 41</t>
        </is>
      </c>
      <c r="R771" t="inlineStr">
        <is>
          <t xml:space="preserve">DF </t>
        </is>
      </c>
      <c r="S771" t="n">
        <v>10</v>
      </c>
      <c r="T771" t="n">
        <v>10</v>
      </c>
      <c r="U771" t="inlineStr">
        <is>
          <t>2009-04-05</t>
        </is>
      </c>
      <c r="V771" t="inlineStr">
        <is>
          <t>2009-04-05</t>
        </is>
      </c>
      <c r="W771" t="inlineStr">
        <is>
          <t>1997-01-15</t>
        </is>
      </c>
      <c r="X771" t="inlineStr">
        <is>
          <t>1997-01-15</t>
        </is>
      </c>
      <c r="Y771" t="n">
        <v>368</v>
      </c>
      <c r="Z771" t="n">
        <v>290</v>
      </c>
      <c r="AA771" t="n">
        <v>373</v>
      </c>
      <c r="AB771" t="n">
        <v>3</v>
      </c>
      <c r="AC771" t="n">
        <v>3</v>
      </c>
      <c r="AD771" t="n">
        <v>25</v>
      </c>
      <c r="AE771" t="n">
        <v>30</v>
      </c>
      <c r="AF771" t="n">
        <v>14</v>
      </c>
      <c r="AG771" t="n">
        <v>15</v>
      </c>
      <c r="AH771" t="n">
        <v>6</v>
      </c>
      <c r="AI771" t="n">
        <v>8</v>
      </c>
      <c r="AJ771" t="n">
        <v>10</v>
      </c>
      <c r="AK771" t="n">
        <v>14</v>
      </c>
      <c r="AL771" t="n">
        <v>2</v>
      </c>
      <c r="AM771" t="n">
        <v>2</v>
      </c>
      <c r="AN771" t="n">
        <v>0</v>
      </c>
      <c r="AO771" t="n">
        <v>0</v>
      </c>
      <c r="AP771" t="inlineStr">
        <is>
          <t>No</t>
        </is>
      </c>
      <c r="AQ771" t="inlineStr">
        <is>
          <t>Yes</t>
        </is>
      </c>
      <c r="AR771">
        <f>HYPERLINK("http://catalog.hathitrust.org/Record/101985530","HathiTrust Record")</f>
        <v/>
      </c>
      <c r="AS771">
        <f>HYPERLINK("https://creighton-primo.hosted.exlibrisgroup.com/primo-explore/search?tab=default_tab&amp;search_scope=EVERYTHING&amp;vid=01CRU&amp;lang=en_US&amp;offset=0&amp;query=any,contains,991005422309702656","Catalog Record")</f>
        <v/>
      </c>
      <c r="AT771">
        <f>HYPERLINK("http://www.worldcat.org/oclc/33133132","WorldCat Record")</f>
        <v/>
      </c>
      <c r="AU771" t="inlineStr">
        <is>
          <t>891477221:eng</t>
        </is>
      </c>
      <c r="AV771" t="inlineStr">
        <is>
          <t>33133132</t>
        </is>
      </c>
      <c r="AW771" t="inlineStr">
        <is>
          <t>991005422309702656</t>
        </is>
      </c>
      <c r="AX771" t="inlineStr">
        <is>
          <t>991005422309702656</t>
        </is>
      </c>
      <c r="AY771" t="inlineStr">
        <is>
          <t>2269293160002656</t>
        </is>
      </c>
      <c r="AZ771" t="inlineStr">
        <is>
          <t>BOOK</t>
        </is>
      </c>
      <c r="BB771" t="inlineStr">
        <is>
          <t>9781563381560</t>
        </is>
      </c>
      <c r="BC771" t="inlineStr">
        <is>
          <t>32285002408010</t>
        </is>
      </c>
      <c r="BD771" t="inlineStr">
        <is>
          <t>893883864</t>
        </is>
      </c>
    </row>
    <row r="772">
      <c r="A772" t="inlineStr">
        <is>
          <t>No</t>
        </is>
      </c>
      <c r="B772" t="inlineStr">
        <is>
          <t>DF261.E5 E73 1992</t>
        </is>
      </c>
      <c r="C772" t="inlineStr">
        <is>
          <t>0                      DF 0261000E  5                  E  73          1992</t>
        </is>
      </c>
      <c r="D772" t="inlineStr">
        <is>
          <t>Ephesus / Selahattin Erdemgil.</t>
        </is>
      </c>
      <c r="F772" t="inlineStr">
        <is>
          <t>No</t>
        </is>
      </c>
      <c r="G772" t="inlineStr">
        <is>
          <t>1</t>
        </is>
      </c>
      <c r="H772" t="inlineStr">
        <is>
          <t>No</t>
        </is>
      </c>
      <c r="I772" t="inlineStr">
        <is>
          <t>No</t>
        </is>
      </c>
      <c r="J772" t="inlineStr">
        <is>
          <t>0</t>
        </is>
      </c>
      <c r="K772" t="inlineStr">
        <is>
          <t>Erdemgil, Selahattin.</t>
        </is>
      </c>
      <c r="L772" t="inlineStr">
        <is>
          <t>Istanbul, Turkey : NET, Turistik Yayinlar, 1992, c1986.</t>
        </is>
      </c>
      <c r="M772" t="inlineStr">
        <is>
          <t>1992</t>
        </is>
      </c>
      <c r="N772" t="inlineStr">
        <is>
          <t>[1st ed.]</t>
        </is>
      </c>
      <c r="O772" t="inlineStr">
        <is>
          <t>eng</t>
        </is>
      </c>
      <c r="P772" t="inlineStr">
        <is>
          <t xml:space="preserve">tu </t>
        </is>
      </c>
      <c r="R772" t="inlineStr">
        <is>
          <t xml:space="preserve">DF </t>
        </is>
      </c>
      <c r="S772" t="n">
        <v>8</v>
      </c>
      <c r="T772" t="n">
        <v>8</v>
      </c>
      <c r="U772" t="inlineStr">
        <is>
          <t>2009-04-05</t>
        </is>
      </c>
      <c r="V772" t="inlineStr">
        <is>
          <t>2009-04-05</t>
        </is>
      </c>
      <c r="W772" t="inlineStr">
        <is>
          <t>1994-03-22</t>
        </is>
      </c>
      <c r="X772" t="inlineStr">
        <is>
          <t>1994-03-22</t>
        </is>
      </c>
      <c r="Y772" t="n">
        <v>37</v>
      </c>
      <c r="Z772" t="n">
        <v>32</v>
      </c>
      <c r="AA772" t="n">
        <v>32</v>
      </c>
      <c r="AB772" t="n">
        <v>1</v>
      </c>
      <c r="AC772" t="n">
        <v>1</v>
      </c>
      <c r="AD772" t="n">
        <v>2</v>
      </c>
      <c r="AE772" t="n">
        <v>2</v>
      </c>
      <c r="AF772" t="n">
        <v>2</v>
      </c>
      <c r="AG772" t="n">
        <v>2</v>
      </c>
      <c r="AH772" t="n">
        <v>0</v>
      </c>
      <c r="AI772" t="n">
        <v>0</v>
      </c>
      <c r="AJ772" t="n">
        <v>1</v>
      </c>
      <c r="AK772" t="n">
        <v>1</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HYPERLINK("https://creighton-primo.hosted.exlibrisgroup.com/primo-explore/search?tab=default_tab&amp;search_scope=EVERYTHING&amp;vid=01CRU&amp;lang=en_US&amp;offset=0&amp;query=any,contains,991002103499702656","Catalog Record")</f>
        <v/>
      </c>
      <c r="AT772">
        <f>HYPERLINK("http://www.worldcat.org/oclc/26994698","WorldCat Record")</f>
        <v/>
      </c>
      <c r="AU772" t="inlineStr">
        <is>
          <t>8908173160:eng</t>
        </is>
      </c>
      <c r="AV772" t="inlineStr">
        <is>
          <t>26994698</t>
        </is>
      </c>
      <c r="AW772" t="inlineStr">
        <is>
          <t>991002103499702656</t>
        </is>
      </c>
      <c r="AX772" t="inlineStr">
        <is>
          <t>991002103499702656</t>
        </is>
      </c>
      <c r="AY772" t="inlineStr">
        <is>
          <t>2270936720002656</t>
        </is>
      </c>
      <c r="AZ772" t="inlineStr">
        <is>
          <t>BOOK</t>
        </is>
      </c>
      <c r="BB772" t="inlineStr">
        <is>
          <t>9789754791341</t>
        </is>
      </c>
      <c r="BC772" t="inlineStr">
        <is>
          <t>32285001857019</t>
        </is>
      </c>
      <c r="BD772" t="inlineStr">
        <is>
          <t>893785722</t>
        </is>
      </c>
    </row>
    <row r="773">
      <c r="A773" t="inlineStr">
        <is>
          <t>No</t>
        </is>
      </c>
      <c r="B773" t="inlineStr">
        <is>
          <t>DF261.E5 O87 1987</t>
        </is>
      </c>
      <c r="C773" t="inlineStr">
        <is>
          <t>0                      DF 0261000E  5                  O  87          1987</t>
        </is>
      </c>
      <c r="D773" t="inlineStr">
        <is>
          <t>A bibliography of ancient Ephesus / compiled by Richard E. Oster.</t>
        </is>
      </c>
      <c r="F773" t="inlineStr">
        <is>
          <t>No</t>
        </is>
      </c>
      <c r="G773" t="inlineStr">
        <is>
          <t>1</t>
        </is>
      </c>
      <c r="H773" t="inlineStr">
        <is>
          <t>No</t>
        </is>
      </c>
      <c r="I773" t="inlineStr">
        <is>
          <t>No</t>
        </is>
      </c>
      <c r="J773" t="inlineStr">
        <is>
          <t>0</t>
        </is>
      </c>
      <c r="K773" t="inlineStr">
        <is>
          <t>Oster, Richard.</t>
        </is>
      </c>
      <c r="L773" t="inlineStr">
        <is>
          <t>[Philadelphia] : American Theological Library Association ; Metuchen, N.J. : Scarecrow Press, 1987.</t>
        </is>
      </c>
      <c r="M773" t="inlineStr">
        <is>
          <t>1987</t>
        </is>
      </c>
      <c r="O773" t="inlineStr">
        <is>
          <t>eng</t>
        </is>
      </c>
      <c r="P773" t="inlineStr">
        <is>
          <t>pau</t>
        </is>
      </c>
      <c r="Q773" t="inlineStr">
        <is>
          <t>ATLA bibliography series ; no. 19</t>
        </is>
      </c>
      <c r="R773" t="inlineStr">
        <is>
          <t xml:space="preserve">DF </t>
        </is>
      </c>
      <c r="S773" t="n">
        <v>2</v>
      </c>
      <c r="T773" t="n">
        <v>2</v>
      </c>
      <c r="U773" t="inlineStr">
        <is>
          <t>2007-06-13</t>
        </is>
      </c>
      <c r="V773" t="inlineStr">
        <is>
          <t>2007-06-13</t>
        </is>
      </c>
      <c r="W773" t="inlineStr">
        <is>
          <t>2007-06-13</t>
        </is>
      </c>
      <c r="X773" t="inlineStr">
        <is>
          <t>2007-06-13</t>
        </is>
      </c>
      <c r="Y773" t="n">
        <v>323</v>
      </c>
      <c r="Z773" t="n">
        <v>254</v>
      </c>
      <c r="AA773" t="n">
        <v>255</v>
      </c>
      <c r="AB773" t="n">
        <v>1</v>
      </c>
      <c r="AC773" t="n">
        <v>1</v>
      </c>
      <c r="AD773" t="n">
        <v>11</v>
      </c>
      <c r="AE773" t="n">
        <v>11</v>
      </c>
      <c r="AF773" t="n">
        <v>4</v>
      </c>
      <c r="AG773" t="n">
        <v>4</v>
      </c>
      <c r="AH773" t="n">
        <v>3</v>
      </c>
      <c r="AI773" t="n">
        <v>3</v>
      </c>
      <c r="AJ773" t="n">
        <v>5</v>
      </c>
      <c r="AK773" t="n">
        <v>5</v>
      </c>
      <c r="AL773" t="n">
        <v>0</v>
      </c>
      <c r="AM773" t="n">
        <v>0</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HYPERLINK("https://creighton-primo.hosted.exlibrisgroup.com/primo-explore/search?tab=default_tab&amp;search_scope=EVERYTHING&amp;vid=01CRU&amp;lang=en_US&amp;offset=0&amp;query=any,contains,991005087359702656","Catalog Record")</f>
        <v/>
      </c>
      <c r="AT773">
        <f>HYPERLINK("http://www.worldcat.org/oclc/15697264","WorldCat Record")</f>
        <v/>
      </c>
      <c r="AU773" t="inlineStr">
        <is>
          <t>19944906:eng</t>
        </is>
      </c>
      <c r="AV773" t="inlineStr">
        <is>
          <t>15697264</t>
        </is>
      </c>
      <c r="AW773" t="inlineStr">
        <is>
          <t>991005087359702656</t>
        </is>
      </c>
      <c r="AX773" t="inlineStr">
        <is>
          <t>991005087359702656</t>
        </is>
      </c>
      <c r="AY773" t="inlineStr">
        <is>
          <t>2260437250002656</t>
        </is>
      </c>
      <c r="AZ773" t="inlineStr">
        <is>
          <t>BOOK</t>
        </is>
      </c>
      <c r="BB773" t="inlineStr">
        <is>
          <t>9780810819962</t>
        </is>
      </c>
      <c r="BC773" t="inlineStr">
        <is>
          <t>32285005317176</t>
        </is>
      </c>
      <c r="BD773" t="inlineStr">
        <is>
          <t>893902078</t>
        </is>
      </c>
    </row>
    <row r="774">
      <c r="A774" t="inlineStr">
        <is>
          <t>No</t>
        </is>
      </c>
      <c r="B774" t="inlineStr">
        <is>
          <t>DF261.I6 S68 1999</t>
        </is>
      </c>
      <c r="C774" t="inlineStr">
        <is>
          <t>0                      DF 0261000I  6                  S  68          1999</t>
        </is>
      </c>
      <c r="D774" t="inlineStr">
        <is>
          <t>The Ionian Islands in the Bronze Age and Early Iron Age, 3000-800 BC / Christina Souyoudzoglou-Haywood.</t>
        </is>
      </c>
      <c r="F774" t="inlineStr">
        <is>
          <t>No</t>
        </is>
      </c>
      <c r="G774" t="inlineStr">
        <is>
          <t>1</t>
        </is>
      </c>
      <c r="H774" t="inlineStr">
        <is>
          <t>No</t>
        </is>
      </c>
      <c r="I774" t="inlineStr">
        <is>
          <t>No</t>
        </is>
      </c>
      <c r="J774" t="inlineStr">
        <is>
          <t>0</t>
        </is>
      </c>
      <c r="K774" t="inlineStr">
        <is>
          <t>Souyoudzoglou-Haywood, Christina.</t>
        </is>
      </c>
      <c r="L774" t="inlineStr">
        <is>
          <t>Liverpool : Liverpool University Press, 1999.</t>
        </is>
      </c>
      <c r="M774" t="inlineStr">
        <is>
          <t>1999</t>
        </is>
      </c>
      <c r="O774" t="inlineStr">
        <is>
          <t>eng</t>
        </is>
      </c>
      <c r="P774" t="inlineStr">
        <is>
          <t>enk</t>
        </is>
      </c>
      <c r="R774" t="inlineStr">
        <is>
          <t xml:space="preserve">DF </t>
        </is>
      </c>
      <c r="S774" t="n">
        <v>1</v>
      </c>
      <c r="T774" t="n">
        <v>1</v>
      </c>
      <c r="U774" t="inlineStr">
        <is>
          <t>2010-05-06</t>
        </is>
      </c>
      <c r="V774" t="inlineStr">
        <is>
          <t>2010-05-06</t>
        </is>
      </c>
      <c r="W774" t="inlineStr">
        <is>
          <t>2010-05-06</t>
        </is>
      </c>
      <c r="X774" t="inlineStr">
        <is>
          <t>2010-05-06</t>
        </is>
      </c>
      <c r="Y774" t="n">
        <v>138</v>
      </c>
      <c r="Z774" t="n">
        <v>91</v>
      </c>
      <c r="AA774" t="n">
        <v>112</v>
      </c>
      <c r="AB774" t="n">
        <v>1</v>
      </c>
      <c r="AC774" t="n">
        <v>1</v>
      </c>
      <c r="AD774" t="n">
        <v>1</v>
      </c>
      <c r="AE774" t="n">
        <v>1</v>
      </c>
      <c r="AF774" t="n">
        <v>0</v>
      </c>
      <c r="AG774" t="n">
        <v>0</v>
      </c>
      <c r="AH774" t="n">
        <v>0</v>
      </c>
      <c r="AI774" t="n">
        <v>0</v>
      </c>
      <c r="AJ774" t="n">
        <v>1</v>
      </c>
      <c r="AK774" t="n">
        <v>1</v>
      </c>
      <c r="AL774" t="n">
        <v>0</v>
      </c>
      <c r="AM774" t="n">
        <v>0</v>
      </c>
      <c r="AN774" t="n">
        <v>0</v>
      </c>
      <c r="AO774" t="n">
        <v>0</v>
      </c>
      <c r="AP774" t="inlineStr">
        <is>
          <t>No</t>
        </is>
      </c>
      <c r="AQ774" t="inlineStr">
        <is>
          <t>Yes</t>
        </is>
      </c>
      <c r="AR774">
        <f>HYPERLINK("http://catalog.hathitrust.org/Record/004114927","HathiTrust Record")</f>
        <v/>
      </c>
      <c r="AS774">
        <f>HYPERLINK("https://creighton-primo.hosted.exlibrisgroup.com/primo-explore/search?tab=default_tab&amp;search_scope=EVERYTHING&amp;vid=01CRU&amp;lang=en_US&amp;offset=0&amp;query=any,contains,991005392079702656","Catalog Record")</f>
        <v/>
      </c>
      <c r="AT774">
        <f>HYPERLINK("http://www.worldcat.org/oclc/44494390","WorldCat Record")</f>
        <v/>
      </c>
      <c r="AU774" t="inlineStr">
        <is>
          <t>44072731:eng</t>
        </is>
      </c>
      <c r="AV774" t="inlineStr">
        <is>
          <t>44494390</t>
        </is>
      </c>
      <c r="AW774" t="inlineStr">
        <is>
          <t>991005392079702656</t>
        </is>
      </c>
      <c r="AX774" t="inlineStr">
        <is>
          <t>991005392079702656</t>
        </is>
      </c>
      <c r="AY774" t="inlineStr">
        <is>
          <t>2269162470002656</t>
        </is>
      </c>
      <c r="AZ774" t="inlineStr">
        <is>
          <t>BOOK</t>
        </is>
      </c>
      <c r="BB774" t="inlineStr">
        <is>
          <t>9780853236542</t>
        </is>
      </c>
      <c r="BC774" t="inlineStr">
        <is>
          <t>32285005581433</t>
        </is>
      </c>
      <c r="BD774" t="inlineStr">
        <is>
          <t>893353899</t>
        </is>
      </c>
    </row>
    <row r="775">
      <c r="A775" t="inlineStr">
        <is>
          <t>No</t>
        </is>
      </c>
      <c r="B775" t="inlineStr">
        <is>
          <t>DF261.I85 B76 v.7</t>
        </is>
      </c>
      <c r="C775" t="inlineStr">
        <is>
          <t>0                      DF 0261000I  85                 B  76                                v.7</t>
        </is>
      </c>
      <c r="D775" t="inlineStr">
        <is>
          <t>The metal objects (1952-1989) / by Isabelle K. Raubitschek.</t>
        </is>
      </c>
      <c r="E775" t="inlineStr">
        <is>
          <t>V.7</t>
        </is>
      </c>
      <c r="F775" t="inlineStr">
        <is>
          <t>No</t>
        </is>
      </c>
      <c r="G775" t="inlineStr">
        <is>
          <t>1</t>
        </is>
      </c>
      <c r="H775" t="inlineStr">
        <is>
          <t>No</t>
        </is>
      </c>
      <c r="I775" t="inlineStr">
        <is>
          <t>No</t>
        </is>
      </c>
      <c r="J775" t="inlineStr">
        <is>
          <t>0</t>
        </is>
      </c>
      <c r="K775" t="inlineStr">
        <is>
          <t>Raubitschek, Isabelle K. (Isabelle Kelly), 1914-1988.</t>
        </is>
      </c>
      <c r="L775" t="inlineStr">
        <is>
          <t>Princeton, N.J. : American School of Classical Studies at Athens, 1998.</t>
        </is>
      </c>
      <c r="M775" t="inlineStr">
        <is>
          <t>1998</t>
        </is>
      </c>
      <c r="O775" t="inlineStr">
        <is>
          <t>eng</t>
        </is>
      </c>
      <c r="P775" t="inlineStr">
        <is>
          <t>nju</t>
        </is>
      </c>
      <c r="Q775" t="inlineStr">
        <is>
          <t>Isthmia ; v. 7</t>
        </is>
      </c>
      <c r="R775" t="inlineStr">
        <is>
          <t xml:space="preserve">DF </t>
        </is>
      </c>
      <c r="S775" t="n">
        <v>2</v>
      </c>
      <c r="T775" t="n">
        <v>2</v>
      </c>
      <c r="U775" t="inlineStr">
        <is>
          <t>2009-02-02</t>
        </is>
      </c>
      <c r="V775" t="inlineStr">
        <is>
          <t>2009-02-02</t>
        </is>
      </c>
      <c r="W775" t="inlineStr">
        <is>
          <t>1999-06-09</t>
        </is>
      </c>
      <c r="X775" t="inlineStr">
        <is>
          <t>1999-06-09</t>
        </is>
      </c>
      <c r="Y775" t="n">
        <v>62</v>
      </c>
      <c r="Z775" t="n">
        <v>50</v>
      </c>
      <c r="AA775" t="n">
        <v>50</v>
      </c>
      <c r="AB775" t="n">
        <v>2</v>
      </c>
      <c r="AC775" t="n">
        <v>2</v>
      </c>
      <c r="AD775" t="n">
        <v>3</v>
      </c>
      <c r="AE775" t="n">
        <v>3</v>
      </c>
      <c r="AF775" t="n">
        <v>1</v>
      </c>
      <c r="AG775" t="n">
        <v>1</v>
      </c>
      <c r="AH775" t="n">
        <v>0</v>
      </c>
      <c r="AI775" t="n">
        <v>0</v>
      </c>
      <c r="AJ775" t="n">
        <v>1</v>
      </c>
      <c r="AK775" t="n">
        <v>1</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HYPERLINK("https://creighton-primo.hosted.exlibrisgroup.com/primo-explore/search?tab=default_tab&amp;search_scope=EVERYTHING&amp;vid=01CRU&amp;lang=en_US&amp;offset=0&amp;query=any,contains,991002955609702656","Catalog Record")</f>
        <v/>
      </c>
      <c r="AT775">
        <f>HYPERLINK("http://www.worldcat.org/oclc/39452787","WorldCat Record")</f>
        <v/>
      </c>
      <c r="AU775" t="inlineStr">
        <is>
          <t>5612409008:eng</t>
        </is>
      </c>
      <c r="AV775" t="inlineStr">
        <is>
          <t>39452787</t>
        </is>
      </c>
      <c r="AW775" t="inlineStr">
        <is>
          <t>991002955609702656</t>
        </is>
      </c>
      <c r="AX775" t="inlineStr">
        <is>
          <t>991002955609702656</t>
        </is>
      </c>
      <c r="AY775" t="inlineStr">
        <is>
          <t>2269298540002656</t>
        </is>
      </c>
      <c r="AZ775" t="inlineStr">
        <is>
          <t>BOOK</t>
        </is>
      </c>
      <c r="BB775" t="inlineStr">
        <is>
          <t>9780876619377</t>
        </is>
      </c>
      <c r="BC775" t="inlineStr">
        <is>
          <t>32285003574422</t>
        </is>
      </c>
      <c r="BD775" t="inlineStr">
        <is>
          <t>893899453</t>
        </is>
      </c>
    </row>
    <row r="776">
      <c r="A776" t="inlineStr">
        <is>
          <t>No</t>
        </is>
      </c>
      <c r="B776" t="inlineStr">
        <is>
          <t>DF261.M43 L43</t>
        </is>
      </c>
      <c r="C776" t="inlineStr">
        <is>
          <t>0                      DF 0261000M  43                 L  43</t>
        </is>
      </c>
      <c r="D776" t="inlineStr">
        <is>
          <t>Megara, the political history of a Greek city-state to 336 B.C. / Ronald P. Legon.</t>
        </is>
      </c>
      <c r="F776" t="inlineStr">
        <is>
          <t>No</t>
        </is>
      </c>
      <c r="G776" t="inlineStr">
        <is>
          <t>1</t>
        </is>
      </c>
      <c r="H776" t="inlineStr">
        <is>
          <t>No</t>
        </is>
      </c>
      <c r="I776" t="inlineStr">
        <is>
          <t>No</t>
        </is>
      </c>
      <c r="J776" t="inlineStr">
        <is>
          <t>0</t>
        </is>
      </c>
      <c r="K776" t="inlineStr">
        <is>
          <t>Legon, Ronald P., 1941-</t>
        </is>
      </c>
      <c r="L776" t="inlineStr">
        <is>
          <t>Ithaca, N.Y. : Cornell University Press, 1981.</t>
        </is>
      </c>
      <c r="M776" t="inlineStr">
        <is>
          <t>1981</t>
        </is>
      </c>
      <c r="O776" t="inlineStr">
        <is>
          <t>eng</t>
        </is>
      </c>
      <c r="P776" t="inlineStr">
        <is>
          <t>nyu</t>
        </is>
      </c>
      <c r="R776" t="inlineStr">
        <is>
          <t xml:space="preserve">DF </t>
        </is>
      </c>
      <c r="S776" t="n">
        <v>6</v>
      </c>
      <c r="T776" t="n">
        <v>6</v>
      </c>
      <c r="U776" t="inlineStr">
        <is>
          <t>2002-10-08</t>
        </is>
      </c>
      <c r="V776" t="inlineStr">
        <is>
          <t>2002-10-08</t>
        </is>
      </c>
      <c r="W776" t="inlineStr">
        <is>
          <t>1991-02-19</t>
        </is>
      </c>
      <c r="X776" t="inlineStr">
        <is>
          <t>1991-02-19</t>
        </is>
      </c>
      <c r="Y776" t="n">
        <v>590</v>
      </c>
      <c r="Z776" t="n">
        <v>479</v>
      </c>
      <c r="AA776" t="n">
        <v>482</v>
      </c>
      <c r="AB776" t="n">
        <v>5</v>
      </c>
      <c r="AC776" t="n">
        <v>5</v>
      </c>
      <c r="AD776" t="n">
        <v>28</v>
      </c>
      <c r="AE776" t="n">
        <v>28</v>
      </c>
      <c r="AF776" t="n">
        <v>9</v>
      </c>
      <c r="AG776" t="n">
        <v>9</v>
      </c>
      <c r="AH776" t="n">
        <v>7</v>
      </c>
      <c r="AI776" t="n">
        <v>7</v>
      </c>
      <c r="AJ776" t="n">
        <v>19</v>
      </c>
      <c r="AK776" t="n">
        <v>19</v>
      </c>
      <c r="AL776" t="n">
        <v>4</v>
      </c>
      <c r="AM776" t="n">
        <v>4</v>
      </c>
      <c r="AN776" t="n">
        <v>0</v>
      </c>
      <c r="AO776" t="n">
        <v>0</v>
      </c>
      <c r="AP776" t="inlineStr">
        <is>
          <t>No</t>
        </is>
      </c>
      <c r="AQ776" t="inlineStr">
        <is>
          <t>Yes</t>
        </is>
      </c>
      <c r="AR776">
        <f>HYPERLINK("http://catalog.hathitrust.org/Record/000087187","HathiTrust Record")</f>
        <v/>
      </c>
      <c r="AS776">
        <f>HYPERLINK("https://creighton-primo.hosted.exlibrisgroup.com/primo-explore/search?tab=default_tab&amp;search_scope=EVERYTHING&amp;vid=01CRU&amp;lang=en_US&amp;offset=0&amp;query=any,contains,991005058499702656","Catalog Record")</f>
        <v/>
      </c>
      <c r="AT776">
        <f>HYPERLINK("http://www.worldcat.org/oclc/6915098","WorldCat Record")</f>
        <v/>
      </c>
      <c r="AU776" t="inlineStr">
        <is>
          <t>450646:eng</t>
        </is>
      </c>
      <c r="AV776" t="inlineStr">
        <is>
          <t>6915098</t>
        </is>
      </c>
      <c r="AW776" t="inlineStr">
        <is>
          <t>991005058499702656</t>
        </is>
      </c>
      <c r="AX776" t="inlineStr">
        <is>
          <t>991005058499702656</t>
        </is>
      </c>
      <c r="AY776" t="inlineStr">
        <is>
          <t>2265595760002656</t>
        </is>
      </c>
      <c r="AZ776" t="inlineStr">
        <is>
          <t>BOOK</t>
        </is>
      </c>
      <c r="BB776" t="inlineStr">
        <is>
          <t>9780801413704</t>
        </is>
      </c>
      <c r="BC776" t="inlineStr">
        <is>
          <t>32285000520303</t>
        </is>
      </c>
      <c r="BD776" t="inlineStr">
        <is>
          <t>893513964</t>
        </is>
      </c>
    </row>
    <row r="777">
      <c r="A777" t="inlineStr">
        <is>
          <t>No</t>
        </is>
      </c>
      <c r="B777" t="inlineStr">
        <is>
          <t>DF261.M45 S26 1998</t>
        </is>
      </c>
      <c r="C777" t="inlineStr">
        <is>
          <t>0                      DF 0261000M  45                 S  26          1998</t>
        </is>
      </c>
      <c r="D777" t="inlineStr">
        <is>
          <t>Sandy Pylos : an archaeological history from Nestor to Navarino / edited by Jack L. Davis ; with contributions by Susan E. Alcock ... [et al.].</t>
        </is>
      </c>
      <c r="F777" t="inlineStr">
        <is>
          <t>No</t>
        </is>
      </c>
      <c r="G777" t="inlineStr">
        <is>
          <t>1</t>
        </is>
      </c>
      <c r="H777" t="inlineStr">
        <is>
          <t>No</t>
        </is>
      </c>
      <c r="I777" t="inlineStr">
        <is>
          <t>No</t>
        </is>
      </c>
      <c r="J777" t="inlineStr">
        <is>
          <t>0</t>
        </is>
      </c>
      <c r="L777" t="inlineStr">
        <is>
          <t>Austin : University of Texas Press, 1998.</t>
        </is>
      </c>
      <c r="M777" t="inlineStr">
        <is>
          <t>1998</t>
        </is>
      </c>
      <c r="N777" t="inlineStr">
        <is>
          <t>1st ed.</t>
        </is>
      </c>
      <c r="O777" t="inlineStr">
        <is>
          <t>eng</t>
        </is>
      </c>
      <c r="P777" t="inlineStr">
        <is>
          <t>txu</t>
        </is>
      </c>
      <c r="R777" t="inlineStr">
        <is>
          <t xml:space="preserve">DF </t>
        </is>
      </c>
      <c r="S777" t="n">
        <v>8</v>
      </c>
      <c r="T777" t="n">
        <v>8</v>
      </c>
      <c r="U777" t="inlineStr">
        <is>
          <t>2009-05-12</t>
        </is>
      </c>
      <c r="V777" t="inlineStr">
        <is>
          <t>2009-05-12</t>
        </is>
      </c>
      <c r="W777" t="inlineStr">
        <is>
          <t>2000-01-04</t>
        </is>
      </c>
      <c r="X777" t="inlineStr">
        <is>
          <t>2000-01-04</t>
        </is>
      </c>
      <c r="Y777" t="n">
        <v>359</v>
      </c>
      <c r="Z777" t="n">
        <v>283</v>
      </c>
      <c r="AA777" t="n">
        <v>304</v>
      </c>
      <c r="AB777" t="n">
        <v>3</v>
      </c>
      <c r="AC777" t="n">
        <v>3</v>
      </c>
      <c r="AD777" t="n">
        <v>13</v>
      </c>
      <c r="AE777" t="n">
        <v>14</v>
      </c>
      <c r="AF777" t="n">
        <v>2</v>
      </c>
      <c r="AG777" t="n">
        <v>3</v>
      </c>
      <c r="AH777" t="n">
        <v>3</v>
      </c>
      <c r="AI777" t="n">
        <v>3</v>
      </c>
      <c r="AJ777" t="n">
        <v>10</v>
      </c>
      <c r="AK777" t="n">
        <v>10</v>
      </c>
      <c r="AL777" t="n">
        <v>2</v>
      </c>
      <c r="AM777" t="n">
        <v>2</v>
      </c>
      <c r="AN777" t="n">
        <v>0</v>
      </c>
      <c r="AO777" t="n">
        <v>0</v>
      </c>
      <c r="AP777" t="inlineStr">
        <is>
          <t>No</t>
        </is>
      </c>
      <c r="AQ777" t="inlineStr">
        <is>
          <t>Yes</t>
        </is>
      </c>
      <c r="AR777">
        <f>HYPERLINK("http://catalog.hathitrust.org/Record/003985530","HathiTrust Record")</f>
        <v/>
      </c>
      <c r="AS777">
        <f>HYPERLINK("https://creighton-primo.hosted.exlibrisgroup.com/primo-explore/search?tab=default_tab&amp;search_scope=EVERYTHING&amp;vid=01CRU&amp;lang=en_US&amp;offset=0&amp;query=any,contains,991002857809702656","Catalog Record")</f>
        <v/>
      </c>
      <c r="AT777">
        <f>HYPERLINK("http://www.worldcat.org/oclc/37663433","WorldCat Record")</f>
        <v/>
      </c>
      <c r="AU777" t="inlineStr">
        <is>
          <t>808110568:eng</t>
        </is>
      </c>
      <c r="AV777" t="inlineStr">
        <is>
          <t>37663433</t>
        </is>
      </c>
      <c r="AW777" t="inlineStr">
        <is>
          <t>991002857809702656</t>
        </is>
      </c>
      <c r="AX777" t="inlineStr">
        <is>
          <t>991002857809702656</t>
        </is>
      </c>
      <c r="AY777" t="inlineStr">
        <is>
          <t>2268995950002656</t>
        </is>
      </c>
      <c r="AZ777" t="inlineStr">
        <is>
          <t>BOOK</t>
        </is>
      </c>
      <c r="BB777" t="inlineStr">
        <is>
          <t>9780292715943</t>
        </is>
      </c>
      <c r="BC777" t="inlineStr">
        <is>
          <t>32285003636320</t>
        </is>
      </c>
      <c r="BD777" t="inlineStr">
        <is>
          <t>893227370</t>
        </is>
      </c>
    </row>
    <row r="778">
      <c r="A778" t="inlineStr">
        <is>
          <t>No</t>
        </is>
      </c>
      <c r="B778" t="inlineStr">
        <is>
          <t>DF261.M5 G67 2001</t>
        </is>
      </c>
      <c r="C778" t="inlineStr">
        <is>
          <t>0                      DF 0261000M  5                  G  67          2001</t>
        </is>
      </c>
      <c r="D778" t="inlineStr">
        <is>
          <t>Miletos, the ornament of Ionia : a history of the city to 400 B.C.E. / Vanessa B. Gorman.</t>
        </is>
      </c>
      <c r="F778" t="inlineStr">
        <is>
          <t>No</t>
        </is>
      </c>
      <c r="G778" t="inlineStr">
        <is>
          <t>1</t>
        </is>
      </c>
      <c r="H778" t="inlineStr">
        <is>
          <t>No</t>
        </is>
      </c>
      <c r="I778" t="inlineStr">
        <is>
          <t>No</t>
        </is>
      </c>
      <c r="J778" t="inlineStr">
        <is>
          <t>0</t>
        </is>
      </c>
      <c r="K778" t="inlineStr">
        <is>
          <t>Gorman, Vanessa B., 1963-</t>
        </is>
      </c>
      <c r="L778" t="inlineStr">
        <is>
          <t>Ann Arbor : University of Michigan Press, c2001.</t>
        </is>
      </c>
      <c r="M778" t="inlineStr">
        <is>
          <t>2001</t>
        </is>
      </c>
      <c r="O778" t="inlineStr">
        <is>
          <t>eng</t>
        </is>
      </c>
      <c r="P778" t="inlineStr">
        <is>
          <t>miu</t>
        </is>
      </c>
      <c r="R778" t="inlineStr">
        <is>
          <t xml:space="preserve">DF </t>
        </is>
      </c>
      <c r="S778" t="n">
        <v>7</v>
      </c>
      <c r="T778" t="n">
        <v>7</v>
      </c>
      <c r="U778" t="inlineStr">
        <is>
          <t>2006-03-21</t>
        </is>
      </c>
      <c r="V778" t="inlineStr">
        <is>
          <t>2006-03-21</t>
        </is>
      </c>
      <c r="W778" t="inlineStr">
        <is>
          <t>2003-09-30</t>
        </is>
      </c>
      <c r="X778" t="inlineStr">
        <is>
          <t>2003-09-30</t>
        </is>
      </c>
      <c r="Y778" t="n">
        <v>289</v>
      </c>
      <c r="Z778" t="n">
        <v>227</v>
      </c>
      <c r="AA778" t="n">
        <v>237</v>
      </c>
      <c r="AB778" t="n">
        <v>2</v>
      </c>
      <c r="AC778" t="n">
        <v>2</v>
      </c>
      <c r="AD778" t="n">
        <v>13</v>
      </c>
      <c r="AE778" t="n">
        <v>14</v>
      </c>
      <c r="AF778" t="n">
        <v>4</v>
      </c>
      <c r="AG778" t="n">
        <v>4</v>
      </c>
      <c r="AH778" t="n">
        <v>4</v>
      </c>
      <c r="AI778" t="n">
        <v>4</v>
      </c>
      <c r="AJ778" t="n">
        <v>9</v>
      </c>
      <c r="AK778" t="n">
        <v>10</v>
      </c>
      <c r="AL778" t="n">
        <v>1</v>
      </c>
      <c r="AM778" t="n">
        <v>1</v>
      </c>
      <c r="AN778" t="n">
        <v>0</v>
      </c>
      <c r="AO778" t="n">
        <v>0</v>
      </c>
      <c r="AP778" t="inlineStr">
        <is>
          <t>Yes</t>
        </is>
      </c>
      <c r="AQ778" t="inlineStr">
        <is>
          <t>Yes</t>
        </is>
      </c>
      <c r="AR778">
        <f>HYPERLINK("http://catalog.hathitrust.org/Record/004206959","HathiTrust Record")</f>
        <v/>
      </c>
      <c r="AS778">
        <f>HYPERLINK("https://creighton-primo.hosted.exlibrisgroup.com/primo-explore/search?tab=default_tab&amp;search_scope=EVERYTHING&amp;vid=01CRU&amp;lang=en_US&amp;offset=0&amp;query=any,contains,991004108099702656","Catalog Record")</f>
        <v/>
      </c>
      <c r="AT778">
        <f>HYPERLINK("http://www.worldcat.org/oclc/47161811","WorldCat Record")</f>
        <v/>
      </c>
      <c r="AU778" t="inlineStr">
        <is>
          <t>203310641:eng</t>
        </is>
      </c>
      <c r="AV778" t="inlineStr">
        <is>
          <t>47161811</t>
        </is>
      </c>
      <c r="AW778" t="inlineStr">
        <is>
          <t>991004108099702656</t>
        </is>
      </c>
      <c r="AX778" t="inlineStr">
        <is>
          <t>991004108099702656</t>
        </is>
      </c>
      <c r="AY778" t="inlineStr">
        <is>
          <t>2268403720002656</t>
        </is>
      </c>
      <c r="AZ778" t="inlineStr">
        <is>
          <t>BOOK</t>
        </is>
      </c>
      <c r="BB778" t="inlineStr">
        <is>
          <t>9780472111992</t>
        </is>
      </c>
      <c r="BC778" t="inlineStr">
        <is>
          <t>32285004785886</t>
        </is>
      </c>
      <c r="BD778" t="inlineStr">
        <is>
          <t>893627984</t>
        </is>
      </c>
    </row>
    <row r="779">
      <c r="A779" t="inlineStr">
        <is>
          <t>No</t>
        </is>
      </c>
      <c r="B779" t="inlineStr">
        <is>
          <t>DF261.O5 D713 1968</t>
        </is>
      </c>
      <c r="C779" t="inlineStr">
        <is>
          <t>0                      DF 0261000O  5                  D  713         1968</t>
        </is>
      </c>
      <c r="D779" t="inlineStr">
        <is>
          <t>Olympia; gods, artists, and athletes. [English translation by Gerald Onn]</t>
        </is>
      </c>
      <c r="F779" t="inlineStr">
        <is>
          <t>No</t>
        </is>
      </c>
      <c r="G779" t="inlineStr">
        <is>
          <t>1</t>
        </is>
      </c>
      <c r="H779" t="inlineStr">
        <is>
          <t>No</t>
        </is>
      </c>
      <c r="I779" t="inlineStr">
        <is>
          <t>No</t>
        </is>
      </c>
      <c r="J779" t="inlineStr">
        <is>
          <t>0</t>
        </is>
      </c>
      <c r="K779" t="inlineStr">
        <is>
          <t>Drees, Ludwig, 1910-</t>
        </is>
      </c>
      <c r="L779" t="inlineStr">
        <is>
          <t>New York, Praeger [1968]</t>
        </is>
      </c>
      <c r="M779" t="inlineStr">
        <is>
          <t>1968</t>
        </is>
      </c>
      <c r="O779" t="inlineStr">
        <is>
          <t>eng</t>
        </is>
      </c>
      <c r="P779" t="inlineStr">
        <is>
          <t>nyu</t>
        </is>
      </c>
      <c r="R779" t="inlineStr">
        <is>
          <t xml:space="preserve">DF </t>
        </is>
      </c>
      <c r="S779" t="n">
        <v>3</v>
      </c>
      <c r="T779" t="n">
        <v>3</v>
      </c>
      <c r="U779" t="inlineStr">
        <is>
          <t>2001-11-11</t>
        </is>
      </c>
      <c r="V779" t="inlineStr">
        <is>
          <t>2001-11-11</t>
        </is>
      </c>
      <c r="W779" t="inlineStr">
        <is>
          <t>1997-01-30</t>
        </is>
      </c>
      <c r="X779" t="inlineStr">
        <is>
          <t>1997-01-30</t>
        </is>
      </c>
      <c r="Y779" t="n">
        <v>758</v>
      </c>
      <c r="Z779" t="n">
        <v>718</v>
      </c>
      <c r="AA779" t="n">
        <v>766</v>
      </c>
      <c r="AB779" t="n">
        <v>9</v>
      </c>
      <c r="AC779" t="n">
        <v>10</v>
      </c>
      <c r="AD779" t="n">
        <v>26</v>
      </c>
      <c r="AE779" t="n">
        <v>27</v>
      </c>
      <c r="AF779" t="n">
        <v>7</v>
      </c>
      <c r="AG779" t="n">
        <v>7</v>
      </c>
      <c r="AH779" t="n">
        <v>7</v>
      </c>
      <c r="AI779" t="n">
        <v>7</v>
      </c>
      <c r="AJ779" t="n">
        <v>10</v>
      </c>
      <c r="AK779" t="n">
        <v>10</v>
      </c>
      <c r="AL779" t="n">
        <v>6</v>
      </c>
      <c r="AM779" t="n">
        <v>7</v>
      </c>
      <c r="AN779" t="n">
        <v>0</v>
      </c>
      <c r="AO779" t="n">
        <v>0</v>
      </c>
      <c r="AP779" t="inlineStr">
        <is>
          <t>No</t>
        </is>
      </c>
      <c r="AQ779" t="inlineStr">
        <is>
          <t>Yes</t>
        </is>
      </c>
      <c r="AR779">
        <f>HYPERLINK("http://catalog.hathitrust.org/Record/000004394","HathiTrust Record")</f>
        <v/>
      </c>
      <c r="AS779">
        <f>HYPERLINK("https://creighton-primo.hosted.exlibrisgroup.com/primo-explore/search?tab=default_tab&amp;search_scope=EVERYTHING&amp;vid=01CRU&amp;lang=en_US&amp;offset=0&amp;query=any,contains,991002269939702656","Catalog Record")</f>
        <v/>
      </c>
      <c r="AT779">
        <f>HYPERLINK("http://www.worldcat.org/oclc/307905","WorldCat Record")</f>
        <v/>
      </c>
      <c r="AU779" t="inlineStr">
        <is>
          <t>3856031046:eng</t>
        </is>
      </c>
      <c r="AV779" t="inlineStr">
        <is>
          <t>307905</t>
        </is>
      </c>
      <c r="AW779" t="inlineStr">
        <is>
          <t>991002269939702656</t>
        </is>
      </c>
      <c r="AX779" t="inlineStr">
        <is>
          <t>991002269939702656</t>
        </is>
      </c>
      <c r="AY779" t="inlineStr">
        <is>
          <t>2264456330002656</t>
        </is>
      </c>
      <c r="AZ779" t="inlineStr">
        <is>
          <t>BOOK</t>
        </is>
      </c>
      <c r="BB779" t="inlineStr">
        <is>
          <t>9780269670152</t>
        </is>
      </c>
      <c r="BC779" t="inlineStr">
        <is>
          <t>32285002418993</t>
        </is>
      </c>
      <c r="BD779" t="inlineStr">
        <is>
          <t>893691409</t>
        </is>
      </c>
    </row>
    <row r="780">
      <c r="A780" t="inlineStr">
        <is>
          <t>No</t>
        </is>
      </c>
      <c r="B780" t="inlineStr">
        <is>
          <t>DF261.R47 H45 1999</t>
        </is>
      </c>
      <c r="C780" t="inlineStr">
        <is>
          <t>0                      DF 0261000R  47                 H  45          1999</t>
        </is>
      </c>
      <c r="D780" t="inlineStr">
        <is>
          <t>Hellenistic Rhodes : politics, culture, and society / edited by Vincent Gabrielsen ... [et al.].</t>
        </is>
      </c>
      <c r="F780" t="inlineStr">
        <is>
          <t>No</t>
        </is>
      </c>
      <c r="G780" t="inlineStr">
        <is>
          <t>1</t>
        </is>
      </c>
      <c r="H780" t="inlineStr">
        <is>
          <t>No</t>
        </is>
      </c>
      <c r="I780" t="inlineStr">
        <is>
          <t>No</t>
        </is>
      </c>
      <c r="J780" t="inlineStr">
        <is>
          <t>0</t>
        </is>
      </c>
      <c r="L780" t="inlineStr">
        <is>
          <t>Aarhus, N. ; Oakville, CT : Aarhus University Press, c1999.</t>
        </is>
      </c>
      <c r="M780" t="inlineStr">
        <is>
          <t>1999</t>
        </is>
      </c>
      <c r="O780" t="inlineStr">
        <is>
          <t>eng</t>
        </is>
      </c>
      <c r="P780" t="inlineStr">
        <is>
          <t xml:space="preserve">dk </t>
        </is>
      </c>
      <c r="Q780" t="inlineStr">
        <is>
          <t>Studies in Hellenistic civilization, 0906-3463 ; 9</t>
        </is>
      </c>
      <c r="R780" t="inlineStr">
        <is>
          <t xml:space="preserve">DF </t>
        </is>
      </c>
      <c r="S780" t="n">
        <v>1</v>
      </c>
      <c r="T780" t="n">
        <v>1</v>
      </c>
      <c r="U780" t="inlineStr">
        <is>
          <t>2006-01-16</t>
        </is>
      </c>
      <c r="V780" t="inlineStr">
        <is>
          <t>2006-01-16</t>
        </is>
      </c>
      <c r="W780" t="inlineStr">
        <is>
          <t>2006-01-16</t>
        </is>
      </c>
      <c r="X780" t="inlineStr">
        <is>
          <t>2006-01-16</t>
        </is>
      </c>
      <c r="Y780" t="n">
        <v>175</v>
      </c>
      <c r="Z780" t="n">
        <v>119</v>
      </c>
      <c r="AA780" t="n">
        <v>121</v>
      </c>
      <c r="AB780" t="n">
        <v>2</v>
      </c>
      <c r="AC780" t="n">
        <v>2</v>
      </c>
      <c r="AD780" t="n">
        <v>5</v>
      </c>
      <c r="AE780" t="n">
        <v>5</v>
      </c>
      <c r="AF780" t="n">
        <v>0</v>
      </c>
      <c r="AG780" t="n">
        <v>0</v>
      </c>
      <c r="AH780" t="n">
        <v>3</v>
      </c>
      <c r="AI780" t="n">
        <v>3</v>
      </c>
      <c r="AJ780" t="n">
        <v>3</v>
      </c>
      <c r="AK780" t="n">
        <v>3</v>
      </c>
      <c r="AL780" t="n">
        <v>1</v>
      </c>
      <c r="AM780" t="n">
        <v>1</v>
      </c>
      <c r="AN780" t="n">
        <v>0</v>
      </c>
      <c r="AO780" t="n">
        <v>0</v>
      </c>
      <c r="AP780" t="inlineStr">
        <is>
          <t>No</t>
        </is>
      </c>
      <c r="AQ780" t="inlineStr">
        <is>
          <t>Yes</t>
        </is>
      </c>
      <c r="AR780">
        <f>HYPERLINK("http://catalog.hathitrust.org/Record/004102467","HathiTrust Record")</f>
        <v/>
      </c>
      <c r="AS780">
        <f>HYPERLINK("https://creighton-primo.hosted.exlibrisgroup.com/primo-explore/search?tab=default_tab&amp;search_scope=EVERYTHING&amp;vid=01CRU&amp;lang=en_US&amp;offset=0&amp;query=any,contains,991004691309702656","Catalog Record")</f>
        <v/>
      </c>
      <c r="AT780">
        <f>HYPERLINK("http://www.worldcat.org/oclc/44492247","WorldCat Record")</f>
        <v/>
      </c>
      <c r="AU780" t="inlineStr">
        <is>
          <t>807612077:eng</t>
        </is>
      </c>
      <c r="AV780" t="inlineStr">
        <is>
          <t>44492247</t>
        </is>
      </c>
      <c r="AW780" t="inlineStr">
        <is>
          <t>991004691309702656</t>
        </is>
      </c>
      <c r="AX780" t="inlineStr">
        <is>
          <t>991004691309702656</t>
        </is>
      </c>
      <c r="AY780" t="inlineStr">
        <is>
          <t>2269168030002656</t>
        </is>
      </c>
      <c r="AZ780" t="inlineStr">
        <is>
          <t>BOOK</t>
        </is>
      </c>
      <c r="BB780" t="inlineStr">
        <is>
          <t>9788772886763</t>
        </is>
      </c>
      <c r="BC780" t="inlineStr">
        <is>
          <t>32285005154926</t>
        </is>
      </c>
      <c r="BD780" t="inlineStr">
        <is>
          <t>893507124</t>
        </is>
      </c>
    </row>
    <row r="781">
      <c r="A781" t="inlineStr">
        <is>
          <t>No</t>
        </is>
      </c>
      <c r="B781" t="inlineStr">
        <is>
          <t>DF261.S8 B75 1995</t>
        </is>
      </c>
      <c r="C781" t="inlineStr">
        <is>
          <t>0                      DF 0261000S  8                  B  75          1995</t>
        </is>
      </c>
      <c r="D781" t="inlineStr">
        <is>
          <t>Sparta in Laconia : proceedings of the 19th British Museum Classical Colloquium held with the British School at Athens and King's and University Colleges, London 6-8 December 1995 / W.G. Cavanagh and S.E.C. Walker, editors.</t>
        </is>
      </c>
      <c r="F781" t="inlineStr">
        <is>
          <t>No</t>
        </is>
      </c>
      <c r="G781" t="inlineStr">
        <is>
          <t>1</t>
        </is>
      </c>
      <c r="H781" t="inlineStr">
        <is>
          <t>No</t>
        </is>
      </c>
      <c r="I781" t="inlineStr">
        <is>
          <t>No</t>
        </is>
      </c>
      <c r="J781" t="inlineStr">
        <is>
          <t>0</t>
        </is>
      </c>
      <c r="K781" t="inlineStr">
        <is>
          <t>British Museum Classical Colloquium (19th : 1995 : British Museum)</t>
        </is>
      </c>
      <c r="L781" t="inlineStr">
        <is>
          <t>London : British School at Athens, 1998.</t>
        </is>
      </c>
      <c r="M781" t="inlineStr">
        <is>
          <t>1998</t>
        </is>
      </c>
      <c r="O781" t="inlineStr">
        <is>
          <t>eng</t>
        </is>
      </c>
      <c r="P781" t="inlineStr">
        <is>
          <t>enk</t>
        </is>
      </c>
      <c r="Q781" t="inlineStr">
        <is>
          <t>British School at Athens studies ; 4</t>
        </is>
      </c>
      <c r="R781" t="inlineStr">
        <is>
          <t xml:space="preserve">DF </t>
        </is>
      </c>
      <c r="S781" t="n">
        <v>1</v>
      </c>
      <c r="T781" t="n">
        <v>1</v>
      </c>
      <c r="U781" t="inlineStr">
        <is>
          <t>2006-10-17</t>
        </is>
      </c>
      <c r="V781" t="inlineStr">
        <is>
          <t>2006-10-17</t>
        </is>
      </c>
      <c r="W781" t="inlineStr">
        <is>
          <t>2006-10-17</t>
        </is>
      </c>
      <c r="X781" t="inlineStr">
        <is>
          <t>2006-10-17</t>
        </is>
      </c>
      <c r="Y781" t="n">
        <v>138</v>
      </c>
      <c r="Z781" t="n">
        <v>79</v>
      </c>
      <c r="AA781" t="n">
        <v>83</v>
      </c>
      <c r="AB781" t="n">
        <v>1</v>
      </c>
      <c r="AC781" t="n">
        <v>1</v>
      </c>
      <c r="AD781" t="n">
        <v>3</v>
      </c>
      <c r="AE781" t="n">
        <v>3</v>
      </c>
      <c r="AF781" t="n">
        <v>1</v>
      </c>
      <c r="AG781" t="n">
        <v>1</v>
      </c>
      <c r="AH781" t="n">
        <v>0</v>
      </c>
      <c r="AI781" t="n">
        <v>0</v>
      </c>
      <c r="AJ781" t="n">
        <v>3</v>
      </c>
      <c r="AK781" t="n">
        <v>3</v>
      </c>
      <c r="AL781" t="n">
        <v>0</v>
      </c>
      <c r="AM781" t="n">
        <v>0</v>
      </c>
      <c r="AN781" t="n">
        <v>0</v>
      </c>
      <c r="AO781" t="n">
        <v>0</v>
      </c>
      <c r="AP781" t="inlineStr">
        <is>
          <t>No</t>
        </is>
      </c>
      <c r="AQ781" t="inlineStr">
        <is>
          <t>Yes</t>
        </is>
      </c>
      <c r="AR781">
        <f>HYPERLINK("http://catalog.hathitrust.org/Record/004045908","HathiTrust Record")</f>
        <v/>
      </c>
      <c r="AS781">
        <f>HYPERLINK("https://creighton-primo.hosted.exlibrisgroup.com/primo-explore/search?tab=default_tab&amp;search_scope=EVERYTHING&amp;vid=01CRU&amp;lang=en_US&amp;offset=0&amp;query=any,contains,991004691179702656","Catalog Record")</f>
        <v/>
      </c>
      <c r="AT781">
        <f>HYPERLINK("http://www.worldcat.org/oclc/41660973","WorldCat Record")</f>
        <v/>
      </c>
      <c r="AU781" t="inlineStr">
        <is>
          <t>354900746:eng</t>
        </is>
      </c>
      <c r="AV781" t="inlineStr">
        <is>
          <t>41660973</t>
        </is>
      </c>
      <c r="AW781" t="inlineStr">
        <is>
          <t>991004691179702656</t>
        </is>
      </c>
      <c r="AX781" t="inlineStr">
        <is>
          <t>991004691179702656</t>
        </is>
      </c>
      <c r="AY781" t="inlineStr">
        <is>
          <t>2271969370002656</t>
        </is>
      </c>
      <c r="AZ781" t="inlineStr">
        <is>
          <t>BOOK</t>
        </is>
      </c>
      <c r="BB781" t="inlineStr">
        <is>
          <t>9780904887310</t>
        </is>
      </c>
      <c r="BC781" t="inlineStr">
        <is>
          <t>32285005231054</t>
        </is>
      </c>
      <c r="BD781" t="inlineStr">
        <is>
          <t>893876469</t>
        </is>
      </c>
    </row>
    <row r="782">
      <c r="A782" t="inlineStr">
        <is>
          <t>No</t>
        </is>
      </c>
      <c r="B782" t="inlineStr">
        <is>
          <t>DF261.S8 C37 1979</t>
        </is>
      </c>
      <c r="C782" t="inlineStr">
        <is>
          <t>0                      DF 0261000S  8                  C  37          1979</t>
        </is>
      </c>
      <c r="D782" t="inlineStr">
        <is>
          <t>Sparta and Lakonia : a regional history, 1300-362 BC / Paul Cartledge.</t>
        </is>
      </c>
      <c r="F782" t="inlineStr">
        <is>
          <t>No</t>
        </is>
      </c>
      <c r="G782" t="inlineStr">
        <is>
          <t>1</t>
        </is>
      </c>
      <c r="H782" t="inlineStr">
        <is>
          <t>No</t>
        </is>
      </c>
      <c r="I782" t="inlineStr">
        <is>
          <t>No</t>
        </is>
      </c>
      <c r="J782" t="inlineStr">
        <is>
          <t>0</t>
        </is>
      </c>
      <c r="K782" t="inlineStr">
        <is>
          <t>Cartledge, Paul.</t>
        </is>
      </c>
      <c r="L782" t="inlineStr">
        <is>
          <t>London ; Boston : Routledge &amp; Kegan Paul, 1979.</t>
        </is>
      </c>
      <c r="M782" t="inlineStr">
        <is>
          <t>1979</t>
        </is>
      </c>
      <c r="O782" t="inlineStr">
        <is>
          <t>eng</t>
        </is>
      </c>
      <c r="P782" t="inlineStr">
        <is>
          <t>enk</t>
        </is>
      </c>
      <c r="Q782" t="inlineStr">
        <is>
          <t>States and cities of ancient Greece</t>
        </is>
      </c>
      <c r="R782" t="inlineStr">
        <is>
          <t xml:space="preserve">DF </t>
        </is>
      </c>
      <c r="S782" t="n">
        <v>4</v>
      </c>
      <c r="T782" t="n">
        <v>4</v>
      </c>
      <c r="U782" t="inlineStr">
        <is>
          <t>2002-09-29</t>
        </is>
      </c>
      <c r="V782" t="inlineStr">
        <is>
          <t>2002-09-29</t>
        </is>
      </c>
      <c r="W782" t="inlineStr">
        <is>
          <t>1991-02-19</t>
        </is>
      </c>
      <c r="X782" t="inlineStr">
        <is>
          <t>1991-02-19</t>
        </is>
      </c>
      <c r="Y782" t="n">
        <v>533</v>
      </c>
      <c r="Z782" t="n">
        <v>362</v>
      </c>
      <c r="AA782" t="n">
        <v>734</v>
      </c>
      <c r="AB782" t="n">
        <v>3</v>
      </c>
      <c r="AC782" t="n">
        <v>28</v>
      </c>
      <c r="AD782" t="n">
        <v>21</v>
      </c>
      <c r="AE782" t="n">
        <v>39</v>
      </c>
      <c r="AF782" t="n">
        <v>6</v>
      </c>
      <c r="AG782" t="n">
        <v>12</v>
      </c>
      <c r="AH782" t="n">
        <v>7</v>
      </c>
      <c r="AI782" t="n">
        <v>7</v>
      </c>
      <c r="AJ782" t="n">
        <v>13</v>
      </c>
      <c r="AK782" t="n">
        <v>16</v>
      </c>
      <c r="AL782" t="n">
        <v>2</v>
      </c>
      <c r="AM782" t="n">
        <v>13</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HYPERLINK("https://creighton-primo.hosted.exlibrisgroup.com/primo-explore/search?tab=default_tab&amp;search_scope=EVERYTHING&amp;vid=01CRU&amp;lang=en_US&amp;offset=0&amp;query=any,contains,991004907609702656","Catalog Record")</f>
        <v/>
      </c>
      <c r="AT782">
        <f>HYPERLINK("http://www.worldcat.org/oclc/5962012","WorldCat Record")</f>
        <v/>
      </c>
      <c r="AU782" t="inlineStr">
        <is>
          <t>800499493:eng</t>
        </is>
      </c>
      <c r="AV782" t="inlineStr">
        <is>
          <t>5962012</t>
        </is>
      </c>
      <c r="AW782" t="inlineStr">
        <is>
          <t>991004907609702656</t>
        </is>
      </c>
      <c r="AX782" t="inlineStr">
        <is>
          <t>991004907609702656</t>
        </is>
      </c>
      <c r="AY782" t="inlineStr">
        <is>
          <t>2268472800002656</t>
        </is>
      </c>
      <c r="AZ782" t="inlineStr">
        <is>
          <t>BOOK</t>
        </is>
      </c>
      <c r="BB782" t="inlineStr">
        <is>
          <t>9780710003775</t>
        </is>
      </c>
      <c r="BC782" t="inlineStr">
        <is>
          <t>32285000520345</t>
        </is>
      </c>
      <c r="BD782" t="inlineStr">
        <is>
          <t>893807615</t>
        </is>
      </c>
    </row>
    <row r="783">
      <c r="A783" t="inlineStr">
        <is>
          <t>No</t>
        </is>
      </c>
      <c r="B783" t="inlineStr">
        <is>
          <t>DF261.S8 H634 2000</t>
        </is>
      </c>
      <c r="C783" t="inlineStr">
        <is>
          <t>0                      DF 0261000S  8                  H  634         2000</t>
        </is>
      </c>
      <c r="D783" t="inlineStr">
        <is>
          <t>Property and wealth in classical Sparta / Stephen Hodkinson.</t>
        </is>
      </c>
      <c r="F783" t="inlineStr">
        <is>
          <t>No</t>
        </is>
      </c>
      <c r="G783" t="inlineStr">
        <is>
          <t>1</t>
        </is>
      </c>
      <c r="H783" t="inlineStr">
        <is>
          <t>No</t>
        </is>
      </c>
      <c r="I783" t="inlineStr">
        <is>
          <t>No</t>
        </is>
      </c>
      <c r="J783" t="inlineStr">
        <is>
          <t>0</t>
        </is>
      </c>
      <c r="K783" t="inlineStr">
        <is>
          <t>Hodkinson, Stephen.</t>
        </is>
      </c>
      <c r="L783" t="inlineStr">
        <is>
          <t>London : Duckworth, 2000.</t>
        </is>
      </c>
      <c r="M783" t="inlineStr">
        <is>
          <t>2000</t>
        </is>
      </c>
      <c r="O783" t="inlineStr">
        <is>
          <t>eng</t>
        </is>
      </c>
      <c r="P783" t="inlineStr">
        <is>
          <t>enk</t>
        </is>
      </c>
      <c r="R783" t="inlineStr">
        <is>
          <t xml:space="preserve">DF </t>
        </is>
      </c>
      <c r="S783" t="n">
        <v>2</v>
      </c>
      <c r="T783" t="n">
        <v>2</v>
      </c>
      <c r="U783" t="inlineStr">
        <is>
          <t>2001-03-16</t>
        </is>
      </c>
      <c r="V783" t="inlineStr">
        <is>
          <t>2001-03-16</t>
        </is>
      </c>
      <c r="W783" t="inlineStr">
        <is>
          <t>2001-02-28</t>
        </is>
      </c>
      <c r="X783" t="inlineStr">
        <is>
          <t>2001-02-28</t>
        </is>
      </c>
      <c r="Y783" t="n">
        <v>214</v>
      </c>
      <c r="Z783" t="n">
        <v>114</v>
      </c>
      <c r="AA783" t="n">
        <v>270</v>
      </c>
      <c r="AB783" t="n">
        <v>1</v>
      </c>
      <c r="AC783" t="n">
        <v>3</v>
      </c>
      <c r="AD783" t="n">
        <v>4</v>
      </c>
      <c r="AE783" t="n">
        <v>12</v>
      </c>
      <c r="AF783" t="n">
        <v>1</v>
      </c>
      <c r="AG783" t="n">
        <v>4</v>
      </c>
      <c r="AH783" t="n">
        <v>2</v>
      </c>
      <c r="AI783" t="n">
        <v>4</v>
      </c>
      <c r="AJ783" t="n">
        <v>3</v>
      </c>
      <c r="AK783" t="n">
        <v>6</v>
      </c>
      <c r="AL783" t="n">
        <v>0</v>
      </c>
      <c r="AM783" t="n">
        <v>2</v>
      </c>
      <c r="AN783" t="n">
        <v>0</v>
      </c>
      <c r="AO783" t="n">
        <v>0</v>
      </c>
      <c r="AP783" t="inlineStr">
        <is>
          <t>No</t>
        </is>
      </c>
      <c r="AQ783" t="inlineStr">
        <is>
          <t>Yes</t>
        </is>
      </c>
      <c r="AR783">
        <f>HYPERLINK("http://catalog.hathitrust.org/Record/004209046","HathiTrust Record")</f>
        <v/>
      </c>
      <c r="AS783">
        <f>HYPERLINK("https://creighton-primo.hosted.exlibrisgroup.com/primo-explore/search?tab=default_tab&amp;search_scope=EVERYTHING&amp;vid=01CRU&amp;lang=en_US&amp;offset=0&amp;query=any,contains,991003452259702656","Catalog Record")</f>
        <v/>
      </c>
      <c r="AT783">
        <f>HYPERLINK("http://www.worldcat.org/oclc/44786349","WorldCat Record")</f>
        <v/>
      </c>
      <c r="AU783" t="inlineStr">
        <is>
          <t>44148966:eng</t>
        </is>
      </c>
      <c r="AV783" t="inlineStr">
        <is>
          <t>44786349</t>
        </is>
      </c>
      <c r="AW783" t="inlineStr">
        <is>
          <t>991003452259702656</t>
        </is>
      </c>
      <c r="AX783" t="inlineStr">
        <is>
          <t>991003452259702656</t>
        </is>
      </c>
      <c r="AY783" t="inlineStr">
        <is>
          <t>2266910010002656</t>
        </is>
      </c>
      <c r="AZ783" t="inlineStr">
        <is>
          <t>BOOK</t>
        </is>
      </c>
      <c r="BB783" t="inlineStr">
        <is>
          <t>9780715630402</t>
        </is>
      </c>
      <c r="BC783" t="inlineStr">
        <is>
          <t>32285004298153</t>
        </is>
      </c>
      <c r="BD783" t="inlineStr">
        <is>
          <t>893805787</t>
        </is>
      </c>
    </row>
    <row r="784">
      <c r="A784" t="inlineStr">
        <is>
          <t>No</t>
        </is>
      </c>
      <c r="B784" t="inlineStr">
        <is>
          <t>DF27 .P4 1965</t>
        </is>
      </c>
      <c r="C784" t="inlineStr">
        <is>
          <t>0                      DF 0027000P  4           1965</t>
        </is>
      </c>
      <c r="D784" t="inlineStr">
        <is>
          <t>Pausanias's Description of Greece / translated with a commentary by J.G. Frazer.</t>
        </is>
      </c>
      <c r="E784" t="inlineStr">
        <is>
          <t>V.2</t>
        </is>
      </c>
      <c r="F784" t="inlineStr">
        <is>
          <t>Yes</t>
        </is>
      </c>
      <c r="G784" t="inlineStr">
        <is>
          <t>1</t>
        </is>
      </c>
      <c r="H784" t="inlineStr">
        <is>
          <t>No</t>
        </is>
      </c>
      <c r="I784" t="inlineStr">
        <is>
          <t>No</t>
        </is>
      </c>
      <c r="J784" t="inlineStr">
        <is>
          <t>0</t>
        </is>
      </c>
      <c r="K784" t="inlineStr">
        <is>
          <t>Pausânias.</t>
        </is>
      </c>
      <c r="L784" t="inlineStr">
        <is>
          <t>New York : Biblo and Tannen, 1965.</t>
        </is>
      </c>
      <c r="M784" t="inlineStr">
        <is>
          <t>1965</t>
        </is>
      </c>
      <c r="O784" t="inlineStr">
        <is>
          <t>eng</t>
        </is>
      </c>
      <c r="P784" t="inlineStr">
        <is>
          <t>nyu</t>
        </is>
      </c>
      <c r="R784" t="inlineStr">
        <is>
          <t xml:space="preserve">DF </t>
        </is>
      </c>
      <c r="S784" t="n">
        <v>1</v>
      </c>
      <c r="T784" t="n">
        <v>7</v>
      </c>
      <c r="V784" t="inlineStr">
        <is>
          <t>2001-11-12</t>
        </is>
      </c>
      <c r="W784" t="inlineStr">
        <is>
          <t>1993-08-09</t>
        </is>
      </c>
      <c r="X784" t="inlineStr">
        <is>
          <t>1993-08-09</t>
        </is>
      </c>
      <c r="Y784" t="n">
        <v>245</v>
      </c>
      <c r="Z784" t="n">
        <v>219</v>
      </c>
      <c r="AA784" t="n">
        <v>457</v>
      </c>
      <c r="AB784" t="n">
        <v>3</v>
      </c>
      <c r="AC784" t="n">
        <v>4</v>
      </c>
      <c r="AD784" t="n">
        <v>12</v>
      </c>
      <c r="AE784" t="n">
        <v>24</v>
      </c>
      <c r="AF784" t="n">
        <v>4</v>
      </c>
      <c r="AG784" t="n">
        <v>7</v>
      </c>
      <c r="AH784" t="n">
        <v>2</v>
      </c>
      <c r="AI784" t="n">
        <v>4</v>
      </c>
      <c r="AJ784" t="n">
        <v>7</v>
      </c>
      <c r="AK784" t="n">
        <v>16</v>
      </c>
      <c r="AL784" t="n">
        <v>2</v>
      </c>
      <c r="AM784" t="n">
        <v>3</v>
      </c>
      <c r="AN784" t="n">
        <v>0</v>
      </c>
      <c r="AO784" t="n">
        <v>0</v>
      </c>
      <c r="AP784" t="inlineStr">
        <is>
          <t>No</t>
        </is>
      </c>
      <c r="AQ784" t="inlineStr">
        <is>
          <t>Yes</t>
        </is>
      </c>
      <c r="AR784">
        <f>HYPERLINK("http://catalog.hathitrust.org/Record/001227704","HathiTrust Record")</f>
        <v/>
      </c>
      <c r="AS784">
        <f>HYPERLINK("https://creighton-primo.hosted.exlibrisgroup.com/primo-explore/search?tab=default_tab&amp;search_scope=EVERYTHING&amp;vid=01CRU&amp;lang=en_US&amp;offset=0&amp;query=any,contains,991002697889702656","Catalog Record")</f>
        <v/>
      </c>
      <c r="AT784">
        <f>HYPERLINK("http://www.worldcat.org/oclc/404333","WorldCat Record")</f>
        <v/>
      </c>
      <c r="AU784" t="inlineStr">
        <is>
          <t>3373545638:eng</t>
        </is>
      </c>
      <c r="AV784" t="inlineStr">
        <is>
          <t>404333</t>
        </is>
      </c>
      <c r="AW784" t="inlineStr">
        <is>
          <t>991002697889702656</t>
        </is>
      </c>
      <c r="AX784" t="inlineStr">
        <is>
          <t>991002697889702656</t>
        </is>
      </c>
      <c r="AY784" t="inlineStr">
        <is>
          <t>2260046200002656</t>
        </is>
      </c>
      <c r="AZ784" t="inlineStr">
        <is>
          <t>BOOK</t>
        </is>
      </c>
      <c r="BC784" t="inlineStr">
        <is>
          <t>32285001751592</t>
        </is>
      </c>
      <c r="BD784" t="inlineStr">
        <is>
          <t>893251533</t>
        </is>
      </c>
    </row>
    <row r="785">
      <c r="A785" t="inlineStr">
        <is>
          <t>No</t>
        </is>
      </c>
      <c r="B785" t="inlineStr">
        <is>
          <t>DF27 .P4 1965</t>
        </is>
      </c>
      <c r="C785" t="inlineStr">
        <is>
          <t>0                      DF 0027000P  4           1965</t>
        </is>
      </c>
      <c r="D785" t="inlineStr">
        <is>
          <t>Pausanias's Description of Greece / translated with a commentary by J.G. Frazer.</t>
        </is>
      </c>
      <c r="E785" t="inlineStr">
        <is>
          <t>V.5</t>
        </is>
      </c>
      <c r="F785" t="inlineStr">
        <is>
          <t>Yes</t>
        </is>
      </c>
      <c r="G785" t="inlineStr">
        <is>
          <t>1</t>
        </is>
      </c>
      <c r="H785" t="inlineStr">
        <is>
          <t>No</t>
        </is>
      </c>
      <c r="I785" t="inlineStr">
        <is>
          <t>No</t>
        </is>
      </c>
      <c r="J785" t="inlineStr">
        <is>
          <t>0</t>
        </is>
      </c>
      <c r="K785" t="inlineStr">
        <is>
          <t>Pausânias.</t>
        </is>
      </c>
      <c r="L785" t="inlineStr">
        <is>
          <t>New York : Biblo and Tannen, 1965.</t>
        </is>
      </c>
      <c r="M785" t="inlineStr">
        <is>
          <t>1965</t>
        </is>
      </c>
      <c r="O785" t="inlineStr">
        <is>
          <t>eng</t>
        </is>
      </c>
      <c r="P785" t="inlineStr">
        <is>
          <t>nyu</t>
        </is>
      </c>
      <c r="R785" t="inlineStr">
        <is>
          <t xml:space="preserve">DF </t>
        </is>
      </c>
      <c r="S785" t="n">
        <v>2</v>
      </c>
      <c r="T785" t="n">
        <v>7</v>
      </c>
      <c r="U785" t="inlineStr">
        <is>
          <t>2001-11-12</t>
        </is>
      </c>
      <c r="V785" t="inlineStr">
        <is>
          <t>2001-11-12</t>
        </is>
      </c>
      <c r="W785" t="inlineStr">
        <is>
          <t>1993-08-09</t>
        </is>
      </c>
      <c r="X785" t="inlineStr">
        <is>
          <t>1993-08-09</t>
        </is>
      </c>
      <c r="Y785" t="n">
        <v>245</v>
      </c>
      <c r="Z785" t="n">
        <v>219</v>
      </c>
      <c r="AA785" t="n">
        <v>457</v>
      </c>
      <c r="AB785" t="n">
        <v>3</v>
      </c>
      <c r="AC785" t="n">
        <v>4</v>
      </c>
      <c r="AD785" t="n">
        <v>12</v>
      </c>
      <c r="AE785" t="n">
        <v>24</v>
      </c>
      <c r="AF785" t="n">
        <v>4</v>
      </c>
      <c r="AG785" t="n">
        <v>7</v>
      </c>
      <c r="AH785" t="n">
        <v>2</v>
      </c>
      <c r="AI785" t="n">
        <v>4</v>
      </c>
      <c r="AJ785" t="n">
        <v>7</v>
      </c>
      <c r="AK785" t="n">
        <v>16</v>
      </c>
      <c r="AL785" t="n">
        <v>2</v>
      </c>
      <c r="AM785" t="n">
        <v>3</v>
      </c>
      <c r="AN785" t="n">
        <v>0</v>
      </c>
      <c r="AO785" t="n">
        <v>0</v>
      </c>
      <c r="AP785" t="inlineStr">
        <is>
          <t>No</t>
        </is>
      </c>
      <c r="AQ785" t="inlineStr">
        <is>
          <t>Yes</t>
        </is>
      </c>
      <c r="AR785">
        <f>HYPERLINK("http://catalog.hathitrust.org/Record/001227704","HathiTrust Record")</f>
        <v/>
      </c>
      <c r="AS785">
        <f>HYPERLINK("https://creighton-primo.hosted.exlibrisgroup.com/primo-explore/search?tab=default_tab&amp;search_scope=EVERYTHING&amp;vid=01CRU&amp;lang=en_US&amp;offset=0&amp;query=any,contains,991002697889702656","Catalog Record")</f>
        <v/>
      </c>
      <c r="AT785">
        <f>HYPERLINK("http://www.worldcat.org/oclc/404333","WorldCat Record")</f>
        <v/>
      </c>
      <c r="AU785" t="inlineStr">
        <is>
          <t>3373545638:eng</t>
        </is>
      </c>
      <c r="AV785" t="inlineStr">
        <is>
          <t>404333</t>
        </is>
      </c>
      <c r="AW785" t="inlineStr">
        <is>
          <t>991002697889702656</t>
        </is>
      </c>
      <c r="AX785" t="inlineStr">
        <is>
          <t>991002697889702656</t>
        </is>
      </c>
      <c r="AY785" t="inlineStr">
        <is>
          <t>2260046200002656</t>
        </is>
      </c>
      <c r="AZ785" t="inlineStr">
        <is>
          <t>BOOK</t>
        </is>
      </c>
      <c r="BC785" t="inlineStr">
        <is>
          <t>32285001751626</t>
        </is>
      </c>
      <c r="BD785" t="inlineStr">
        <is>
          <t>893233302</t>
        </is>
      </c>
    </row>
    <row r="786">
      <c r="A786" t="inlineStr">
        <is>
          <t>No</t>
        </is>
      </c>
      <c r="B786" t="inlineStr">
        <is>
          <t>DF27 .P4 1965</t>
        </is>
      </c>
      <c r="C786" t="inlineStr">
        <is>
          <t>0                      DF 0027000P  4           1965</t>
        </is>
      </c>
      <c r="D786" t="inlineStr">
        <is>
          <t>Pausanias's Description of Greece / translated with a commentary by J.G. Frazer.</t>
        </is>
      </c>
      <c r="E786" t="inlineStr">
        <is>
          <t>V.3</t>
        </is>
      </c>
      <c r="F786" t="inlineStr">
        <is>
          <t>Yes</t>
        </is>
      </c>
      <c r="G786" t="inlineStr">
        <is>
          <t>1</t>
        </is>
      </c>
      <c r="H786" t="inlineStr">
        <is>
          <t>No</t>
        </is>
      </c>
      <c r="I786" t="inlineStr">
        <is>
          <t>No</t>
        </is>
      </c>
      <c r="J786" t="inlineStr">
        <is>
          <t>0</t>
        </is>
      </c>
      <c r="K786" t="inlineStr">
        <is>
          <t>Pausânias.</t>
        </is>
      </c>
      <c r="L786" t="inlineStr">
        <is>
          <t>New York : Biblo and Tannen, 1965.</t>
        </is>
      </c>
      <c r="M786" t="inlineStr">
        <is>
          <t>1965</t>
        </is>
      </c>
      <c r="O786" t="inlineStr">
        <is>
          <t>eng</t>
        </is>
      </c>
      <c r="P786" t="inlineStr">
        <is>
          <t>nyu</t>
        </is>
      </c>
      <c r="R786" t="inlineStr">
        <is>
          <t xml:space="preserve">DF </t>
        </is>
      </c>
      <c r="S786" t="n">
        <v>1</v>
      </c>
      <c r="T786" t="n">
        <v>7</v>
      </c>
      <c r="V786" t="inlineStr">
        <is>
          <t>2001-11-12</t>
        </is>
      </c>
      <c r="W786" t="inlineStr">
        <is>
          <t>1993-08-09</t>
        </is>
      </c>
      <c r="X786" t="inlineStr">
        <is>
          <t>1993-08-09</t>
        </is>
      </c>
      <c r="Y786" t="n">
        <v>245</v>
      </c>
      <c r="Z786" t="n">
        <v>219</v>
      </c>
      <c r="AA786" t="n">
        <v>457</v>
      </c>
      <c r="AB786" t="n">
        <v>3</v>
      </c>
      <c r="AC786" t="n">
        <v>4</v>
      </c>
      <c r="AD786" t="n">
        <v>12</v>
      </c>
      <c r="AE786" t="n">
        <v>24</v>
      </c>
      <c r="AF786" t="n">
        <v>4</v>
      </c>
      <c r="AG786" t="n">
        <v>7</v>
      </c>
      <c r="AH786" t="n">
        <v>2</v>
      </c>
      <c r="AI786" t="n">
        <v>4</v>
      </c>
      <c r="AJ786" t="n">
        <v>7</v>
      </c>
      <c r="AK786" t="n">
        <v>16</v>
      </c>
      <c r="AL786" t="n">
        <v>2</v>
      </c>
      <c r="AM786" t="n">
        <v>3</v>
      </c>
      <c r="AN786" t="n">
        <v>0</v>
      </c>
      <c r="AO786" t="n">
        <v>0</v>
      </c>
      <c r="AP786" t="inlineStr">
        <is>
          <t>No</t>
        </is>
      </c>
      <c r="AQ786" t="inlineStr">
        <is>
          <t>Yes</t>
        </is>
      </c>
      <c r="AR786">
        <f>HYPERLINK("http://catalog.hathitrust.org/Record/001227704","HathiTrust Record")</f>
        <v/>
      </c>
      <c r="AS786">
        <f>HYPERLINK("https://creighton-primo.hosted.exlibrisgroup.com/primo-explore/search?tab=default_tab&amp;search_scope=EVERYTHING&amp;vid=01CRU&amp;lang=en_US&amp;offset=0&amp;query=any,contains,991002697889702656","Catalog Record")</f>
        <v/>
      </c>
      <c r="AT786">
        <f>HYPERLINK("http://www.worldcat.org/oclc/404333","WorldCat Record")</f>
        <v/>
      </c>
      <c r="AU786" t="inlineStr">
        <is>
          <t>3373545638:eng</t>
        </is>
      </c>
      <c r="AV786" t="inlineStr">
        <is>
          <t>404333</t>
        </is>
      </c>
      <c r="AW786" t="inlineStr">
        <is>
          <t>991002697889702656</t>
        </is>
      </c>
      <c r="AX786" t="inlineStr">
        <is>
          <t>991002697889702656</t>
        </is>
      </c>
      <c r="AY786" t="inlineStr">
        <is>
          <t>2260046200002656</t>
        </is>
      </c>
      <c r="AZ786" t="inlineStr">
        <is>
          <t>BOOK</t>
        </is>
      </c>
      <c r="BC786" t="inlineStr">
        <is>
          <t>32285001751600</t>
        </is>
      </c>
      <c r="BD786" t="inlineStr">
        <is>
          <t>893239380</t>
        </is>
      </c>
    </row>
    <row r="787">
      <c r="A787" t="inlineStr">
        <is>
          <t>No</t>
        </is>
      </c>
      <c r="B787" t="inlineStr">
        <is>
          <t>DF27 .P4 1965</t>
        </is>
      </c>
      <c r="C787" t="inlineStr">
        <is>
          <t>0                      DF 0027000P  4           1965</t>
        </is>
      </c>
      <c r="D787" t="inlineStr">
        <is>
          <t>Pausanias's Description of Greece / translated with a commentary by J.G. Frazer.</t>
        </is>
      </c>
      <c r="E787" t="inlineStr">
        <is>
          <t>V.6</t>
        </is>
      </c>
      <c r="F787" t="inlineStr">
        <is>
          <t>Yes</t>
        </is>
      </c>
      <c r="G787" t="inlineStr">
        <is>
          <t>1</t>
        </is>
      </c>
      <c r="H787" t="inlineStr">
        <is>
          <t>No</t>
        </is>
      </c>
      <c r="I787" t="inlineStr">
        <is>
          <t>No</t>
        </is>
      </c>
      <c r="J787" t="inlineStr">
        <is>
          <t>0</t>
        </is>
      </c>
      <c r="K787" t="inlineStr">
        <is>
          <t>Pausânias.</t>
        </is>
      </c>
      <c r="L787" t="inlineStr">
        <is>
          <t>New York : Biblo and Tannen, 1965.</t>
        </is>
      </c>
      <c r="M787" t="inlineStr">
        <is>
          <t>1965</t>
        </is>
      </c>
      <c r="O787" t="inlineStr">
        <is>
          <t>eng</t>
        </is>
      </c>
      <c r="P787" t="inlineStr">
        <is>
          <t>nyu</t>
        </is>
      </c>
      <c r="R787" t="inlineStr">
        <is>
          <t xml:space="preserve">DF </t>
        </is>
      </c>
      <c r="S787" t="n">
        <v>1</v>
      </c>
      <c r="T787" t="n">
        <v>7</v>
      </c>
      <c r="V787" t="inlineStr">
        <is>
          <t>2001-11-12</t>
        </is>
      </c>
      <c r="W787" t="inlineStr">
        <is>
          <t>1993-08-09</t>
        </is>
      </c>
      <c r="X787" t="inlineStr">
        <is>
          <t>1993-08-09</t>
        </is>
      </c>
      <c r="Y787" t="n">
        <v>245</v>
      </c>
      <c r="Z787" t="n">
        <v>219</v>
      </c>
      <c r="AA787" t="n">
        <v>457</v>
      </c>
      <c r="AB787" t="n">
        <v>3</v>
      </c>
      <c r="AC787" t="n">
        <v>4</v>
      </c>
      <c r="AD787" t="n">
        <v>12</v>
      </c>
      <c r="AE787" t="n">
        <v>24</v>
      </c>
      <c r="AF787" t="n">
        <v>4</v>
      </c>
      <c r="AG787" t="n">
        <v>7</v>
      </c>
      <c r="AH787" t="n">
        <v>2</v>
      </c>
      <c r="AI787" t="n">
        <v>4</v>
      </c>
      <c r="AJ787" t="n">
        <v>7</v>
      </c>
      <c r="AK787" t="n">
        <v>16</v>
      </c>
      <c r="AL787" t="n">
        <v>2</v>
      </c>
      <c r="AM787" t="n">
        <v>3</v>
      </c>
      <c r="AN787" t="n">
        <v>0</v>
      </c>
      <c r="AO787" t="n">
        <v>0</v>
      </c>
      <c r="AP787" t="inlineStr">
        <is>
          <t>No</t>
        </is>
      </c>
      <c r="AQ787" t="inlineStr">
        <is>
          <t>Yes</t>
        </is>
      </c>
      <c r="AR787">
        <f>HYPERLINK("http://catalog.hathitrust.org/Record/001227704","HathiTrust Record")</f>
        <v/>
      </c>
      <c r="AS787">
        <f>HYPERLINK("https://creighton-primo.hosted.exlibrisgroup.com/primo-explore/search?tab=default_tab&amp;search_scope=EVERYTHING&amp;vid=01CRU&amp;lang=en_US&amp;offset=0&amp;query=any,contains,991002697889702656","Catalog Record")</f>
        <v/>
      </c>
      <c r="AT787">
        <f>HYPERLINK("http://www.worldcat.org/oclc/404333","WorldCat Record")</f>
        <v/>
      </c>
      <c r="AU787" t="inlineStr">
        <is>
          <t>3373545638:eng</t>
        </is>
      </c>
      <c r="AV787" t="inlineStr">
        <is>
          <t>404333</t>
        </is>
      </c>
      <c r="AW787" t="inlineStr">
        <is>
          <t>991002697889702656</t>
        </is>
      </c>
      <c r="AX787" t="inlineStr">
        <is>
          <t>991002697889702656</t>
        </is>
      </c>
      <c r="AY787" t="inlineStr">
        <is>
          <t>2260046200002656</t>
        </is>
      </c>
      <c r="AZ787" t="inlineStr">
        <is>
          <t>BOOK</t>
        </is>
      </c>
      <c r="BC787" t="inlineStr">
        <is>
          <t>32285001751634</t>
        </is>
      </c>
      <c r="BD787" t="inlineStr">
        <is>
          <t>893257600</t>
        </is>
      </c>
    </row>
    <row r="788">
      <c r="A788" t="inlineStr">
        <is>
          <t>No</t>
        </is>
      </c>
      <c r="B788" t="inlineStr">
        <is>
          <t>DF27 .P4 1965</t>
        </is>
      </c>
      <c r="C788" t="inlineStr">
        <is>
          <t>0                      DF 0027000P  4           1965</t>
        </is>
      </c>
      <c r="D788" t="inlineStr">
        <is>
          <t>Pausanias's Description of Greece / translated with a commentary by J.G. Frazer.</t>
        </is>
      </c>
      <c r="E788" t="inlineStr">
        <is>
          <t>V.4</t>
        </is>
      </c>
      <c r="F788" t="inlineStr">
        <is>
          <t>Yes</t>
        </is>
      </c>
      <c r="G788" t="inlineStr">
        <is>
          <t>1</t>
        </is>
      </c>
      <c r="H788" t="inlineStr">
        <is>
          <t>No</t>
        </is>
      </c>
      <c r="I788" t="inlineStr">
        <is>
          <t>No</t>
        </is>
      </c>
      <c r="J788" t="inlineStr">
        <is>
          <t>0</t>
        </is>
      </c>
      <c r="K788" t="inlineStr">
        <is>
          <t>Pausânias.</t>
        </is>
      </c>
      <c r="L788" t="inlineStr">
        <is>
          <t>New York : Biblo and Tannen, 1965.</t>
        </is>
      </c>
      <c r="M788" t="inlineStr">
        <is>
          <t>1965</t>
        </is>
      </c>
      <c r="O788" t="inlineStr">
        <is>
          <t>eng</t>
        </is>
      </c>
      <c r="P788" t="inlineStr">
        <is>
          <t>nyu</t>
        </is>
      </c>
      <c r="R788" t="inlineStr">
        <is>
          <t xml:space="preserve">DF </t>
        </is>
      </c>
      <c r="S788" t="n">
        <v>1</v>
      </c>
      <c r="T788" t="n">
        <v>7</v>
      </c>
      <c r="V788" t="inlineStr">
        <is>
          <t>2001-11-12</t>
        </is>
      </c>
      <c r="W788" t="inlineStr">
        <is>
          <t>1993-08-09</t>
        </is>
      </c>
      <c r="X788" t="inlineStr">
        <is>
          <t>1993-08-09</t>
        </is>
      </c>
      <c r="Y788" t="n">
        <v>245</v>
      </c>
      <c r="Z788" t="n">
        <v>219</v>
      </c>
      <c r="AA788" t="n">
        <v>457</v>
      </c>
      <c r="AB788" t="n">
        <v>3</v>
      </c>
      <c r="AC788" t="n">
        <v>4</v>
      </c>
      <c r="AD788" t="n">
        <v>12</v>
      </c>
      <c r="AE788" t="n">
        <v>24</v>
      </c>
      <c r="AF788" t="n">
        <v>4</v>
      </c>
      <c r="AG788" t="n">
        <v>7</v>
      </c>
      <c r="AH788" t="n">
        <v>2</v>
      </c>
      <c r="AI788" t="n">
        <v>4</v>
      </c>
      <c r="AJ788" t="n">
        <v>7</v>
      </c>
      <c r="AK788" t="n">
        <v>16</v>
      </c>
      <c r="AL788" t="n">
        <v>2</v>
      </c>
      <c r="AM788" t="n">
        <v>3</v>
      </c>
      <c r="AN788" t="n">
        <v>0</v>
      </c>
      <c r="AO788" t="n">
        <v>0</v>
      </c>
      <c r="AP788" t="inlineStr">
        <is>
          <t>No</t>
        </is>
      </c>
      <c r="AQ788" t="inlineStr">
        <is>
          <t>Yes</t>
        </is>
      </c>
      <c r="AR788">
        <f>HYPERLINK("http://catalog.hathitrust.org/Record/001227704","HathiTrust Record")</f>
        <v/>
      </c>
      <c r="AS788">
        <f>HYPERLINK("https://creighton-primo.hosted.exlibrisgroup.com/primo-explore/search?tab=default_tab&amp;search_scope=EVERYTHING&amp;vid=01CRU&amp;lang=en_US&amp;offset=0&amp;query=any,contains,991002697889702656","Catalog Record")</f>
        <v/>
      </c>
      <c r="AT788">
        <f>HYPERLINK("http://www.worldcat.org/oclc/404333","WorldCat Record")</f>
        <v/>
      </c>
      <c r="AU788" t="inlineStr">
        <is>
          <t>3373545638:eng</t>
        </is>
      </c>
      <c r="AV788" t="inlineStr">
        <is>
          <t>404333</t>
        </is>
      </c>
      <c r="AW788" t="inlineStr">
        <is>
          <t>991002697889702656</t>
        </is>
      </c>
      <c r="AX788" t="inlineStr">
        <is>
          <t>991002697889702656</t>
        </is>
      </c>
      <c r="AY788" t="inlineStr">
        <is>
          <t>2260046200002656</t>
        </is>
      </c>
      <c r="AZ788" t="inlineStr">
        <is>
          <t>BOOK</t>
        </is>
      </c>
      <c r="BC788" t="inlineStr">
        <is>
          <t>32285001751618</t>
        </is>
      </c>
      <c r="BD788" t="inlineStr">
        <is>
          <t>893239379</t>
        </is>
      </c>
    </row>
    <row r="789">
      <c r="A789" t="inlineStr">
        <is>
          <t>No</t>
        </is>
      </c>
      <c r="B789" t="inlineStr">
        <is>
          <t>DF27 .P4 1965</t>
        </is>
      </c>
      <c r="C789" t="inlineStr">
        <is>
          <t>0                      DF 0027000P  4           1965</t>
        </is>
      </c>
      <c r="D789" t="inlineStr">
        <is>
          <t>Pausanias's Description of Greece / translated with a commentary by J.G. Frazer.</t>
        </is>
      </c>
      <c r="E789" t="inlineStr">
        <is>
          <t>V.1</t>
        </is>
      </c>
      <c r="F789" t="inlineStr">
        <is>
          <t>Yes</t>
        </is>
      </c>
      <c r="G789" t="inlineStr">
        <is>
          <t>1</t>
        </is>
      </c>
      <c r="H789" t="inlineStr">
        <is>
          <t>No</t>
        </is>
      </c>
      <c r="I789" t="inlineStr">
        <is>
          <t>No</t>
        </is>
      </c>
      <c r="J789" t="inlineStr">
        <is>
          <t>0</t>
        </is>
      </c>
      <c r="K789" t="inlineStr">
        <is>
          <t>Pausânias.</t>
        </is>
      </c>
      <c r="L789" t="inlineStr">
        <is>
          <t>New York : Biblo and Tannen, 1965.</t>
        </is>
      </c>
      <c r="M789" t="inlineStr">
        <is>
          <t>1965</t>
        </is>
      </c>
      <c r="O789" t="inlineStr">
        <is>
          <t>eng</t>
        </is>
      </c>
      <c r="P789" t="inlineStr">
        <is>
          <t>nyu</t>
        </is>
      </c>
      <c r="R789" t="inlineStr">
        <is>
          <t xml:space="preserve">DF </t>
        </is>
      </c>
      <c r="S789" t="n">
        <v>1</v>
      </c>
      <c r="T789" t="n">
        <v>7</v>
      </c>
      <c r="V789" t="inlineStr">
        <is>
          <t>2001-11-12</t>
        </is>
      </c>
      <c r="W789" t="inlineStr">
        <is>
          <t>1993-08-09</t>
        </is>
      </c>
      <c r="X789" t="inlineStr">
        <is>
          <t>1993-08-09</t>
        </is>
      </c>
      <c r="Y789" t="n">
        <v>245</v>
      </c>
      <c r="Z789" t="n">
        <v>219</v>
      </c>
      <c r="AA789" t="n">
        <v>457</v>
      </c>
      <c r="AB789" t="n">
        <v>3</v>
      </c>
      <c r="AC789" t="n">
        <v>4</v>
      </c>
      <c r="AD789" t="n">
        <v>12</v>
      </c>
      <c r="AE789" t="n">
        <v>24</v>
      </c>
      <c r="AF789" t="n">
        <v>4</v>
      </c>
      <c r="AG789" t="n">
        <v>7</v>
      </c>
      <c r="AH789" t="n">
        <v>2</v>
      </c>
      <c r="AI789" t="n">
        <v>4</v>
      </c>
      <c r="AJ789" t="n">
        <v>7</v>
      </c>
      <c r="AK789" t="n">
        <v>16</v>
      </c>
      <c r="AL789" t="n">
        <v>2</v>
      </c>
      <c r="AM789" t="n">
        <v>3</v>
      </c>
      <c r="AN789" t="n">
        <v>0</v>
      </c>
      <c r="AO789" t="n">
        <v>0</v>
      </c>
      <c r="AP789" t="inlineStr">
        <is>
          <t>No</t>
        </is>
      </c>
      <c r="AQ789" t="inlineStr">
        <is>
          <t>Yes</t>
        </is>
      </c>
      <c r="AR789">
        <f>HYPERLINK("http://catalog.hathitrust.org/Record/001227704","HathiTrust Record")</f>
        <v/>
      </c>
      <c r="AS789">
        <f>HYPERLINK("https://creighton-primo.hosted.exlibrisgroup.com/primo-explore/search?tab=default_tab&amp;search_scope=EVERYTHING&amp;vid=01CRU&amp;lang=en_US&amp;offset=0&amp;query=any,contains,991002697889702656","Catalog Record")</f>
        <v/>
      </c>
      <c r="AT789">
        <f>HYPERLINK("http://www.worldcat.org/oclc/404333","WorldCat Record")</f>
        <v/>
      </c>
      <c r="AU789" t="inlineStr">
        <is>
          <t>3373545638:eng</t>
        </is>
      </c>
      <c r="AV789" t="inlineStr">
        <is>
          <t>404333</t>
        </is>
      </c>
      <c r="AW789" t="inlineStr">
        <is>
          <t>991002697889702656</t>
        </is>
      </c>
      <c r="AX789" t="inlineStr">
        <is>
          <t>991002697889702656</t>
        </is>
      </c>
      <c r="AY789" t="inlineStr">
        <is>
          <t>2260046200002656</t>
        </is>
      </c>
      <c r="AZ789" t="inlineStr">
        <is>
          <t>BOOK</t>
        </is>
      </c>
      <c r="BC789" t="inlineStr">
        <is>
          <t>32285001751584</t>
        </is>
      </c>
      <c r="BD789" t="inlineStr">
        <is>
          <t>893233303</t>
        </is>
      </c>
    </row>
    <row r="790">
      <c r="A790" t="inlineStr">
        <is>
          <t>No</t>
        </is>
      </c>
      <c r="B790" t="inlineStr">
        <is>
          <t>DF27 .P4 1979</t>
        </is>
      </c>
      <c r="C790" t="inlineStr">
        <is>
          <t>0                      DF 0027000P  4           1979</t>
        </is>
      </c>
      <c r="D790" t="inlineStr">
        <is>
          <t>Guide to Greece / [by] Pausanias ; translated [from the Greek] with an introduction by Peter Levi ; illustrated with drawings from Greek coins by John Newberry ; maps and plans by Jeffery Lacey.</t>
        </is>
      </c>
      <c r="E790" t="inlineStr">
        <is>
          <t>V.1</t>
        </is>
      </c>
      <c r="F790" t="inlineStr">
        <is>
          <t>Yes</t>
        </is>
      </c>
      <c r="G790" t="inlineStr">
        <is>
          <t>1</t>
        </is>
      </c>
      <c r="H790" t="inlineStr">
        <is>
          <t>No</t>
        </is>
      </c>
      <c r="I790" t="inlineStr">
        <is>
          <t>No</t>
        </is>
      </c>
      <c r="J790" t="inlineStr">
        <is>
          <t>0</t>
        </is>
      </c>
      <c r="K790" t="inlineStr">
        <is>
          <t>Pausânias.</t>
        </is>
      </c>
      <c r="L790" t="inlineStr">
        <is>
          <t>Harmondsworth ; New York : Penguin, c1979, 1985 printing.</t>
        </is>
      </c>
      <c r="M790" t="inlineStr">
        <is>
          <t>1979</t>
        </is>
      </c>
      <c r="O790" t="inlineStr">
        <is>
          <t>eng</t>
        </is>
      </c>
      <c r="P790" t="inlineStr">
        <is>
          <t>enk</t>
        </is>
      </c>
      <c r="Q790" t="inlineStr">
        <is>
          <t>Penguin classics</t>
        </is>
      </c>
      <c r="R790" t="inlineStr">
        <is>
          <t xml:space="preserve">DF </t>
        </is>
      </c>
      <c r="S790" t="n">
        <v>6</v>
      </c>
      <c r="T790" t="n">
        <v>15</v>
      </c>
      <c r="U790" t="inlineStr">
        <is>
          <t>2001-11-12</t>
        </is>
      </c>
      <c r="V790" t="inlineStr">
        <is>
          <t>2006-04-30</t>
        </is>
      </c>
      <c r="W790" t="inlineStr">
        <is>
          <t>1991-02-11</t>
        </is>
      </c>
      <c r="X790" t="inlineStr">
        <is>
          <t>1991-02-11</t>
        </is>
      </c>
      <c r="Y790" t="n">
        <v>212</v>
      </c>
      <c r="Z790" t="n">
        <v>173</v>
      </c>
      <c r="AA790" t="n">
        <v>544</v>
      </c>
      <c r="AB790" t="n">
        <v>1</v>
      </c>
      <c r="AC790" t="n">
        <v>7</v>
      </c>
      <c r="AD790" t="n">
        <v>9</v>
      </c>
      <c r="AE790" t="n">
        <v>33</v>
      </c>
      <c r="AF790" t="n">
        <v>4</v>
      </c>
      <c r="AG790" t="n">
        <v>13</v>
      </c>
      <c r="AH790" t="n">
        <v>1</v>
      </c>
      <c r="AI790" t="n">
        <v>6</v>
      </c>
      <c r="AJ790" t="n">
        <v>7</v>
      </c>
      <c r="AK790" t="n">
        <v>16</v>
      </c>
      <c r="AL790" t="n">
        <v>0</v>
      </c>
      <c r="AM790" t="n">
        <v>6</v>
      </c>
      <c r="AN790" t="n">
        <v>0</v>
      </c>
      <c r="AO790" t="n">
        <v>0</v>
      </c>
      <c r="AP790" t="inlineStr">
        <is>
          <t>No</t>
        </is>
      </c>
      <c r="AQ790" t="inlineStr">
        <is>
          <t>Yes</t>
        </is>
      </c>
      <c r="AR790">
        <f>HYPERLINK("http://catalog.hathitrust.org/Record/007131713","HathiTrust Record")</f>
        <v/>
      </c>
      <c r="AS790">
        <f>HYPERLINK("https://creighton-primo.hosted.exlibrisgroup.com/primo-explore/search?tab=default_tab&amp;search_scope=EVERYTHING&amp;vid=01CRU&amp;lang=en_US&amp;offset=0&amp;query=any,contains,991004859189702656","Catalog Record")</f>
        <v/>
      </c>
      <c r="AT790">
        <f>HYPERLINK("http://www.worldcat.org/oclc/5679055","WorldCat Record")</f>
        <v/>
      </c>
      <c r="AU790" t="inlineStr">
        <is>
          <t>3855727490:eng</t>
        </is>
      </c>
      <c r="AV790" t="inlineStr">
        <is>
          <t>5679055</t>
        </is>
      </c>
      <c r="AW790" t="inlineStr">
        <is>
          <t>991004859189702656</t>
        </is>
      </c>
      <c r="AX790" t="inlineStr">
        <is>
          <t>991004859189702656</t>
        </is>
      </c>
      <c r="AY790" t="inlineStr">
        <is>
          <t>2262037590002656</t>
        </is>
      </c>
      <c r="AZ790" t="inlineStr">
        <is>
          <t>BOOK</t>
        </is>
      </c>
      <c r="BB790" t="inlineStr">
        <is>
          <t>9780140442250</t>
        </is>
      </c>
      <c r="BC790" t="inlineStr">
        <is>
          <t>32285000458322</t>
        </is>
      </c>
      <c r="BD790" t="inlineStr">
        <is>
          <t>893895576</t>
        </is>
      </c>
    </row>
    <row r="791">
      <c r="A791" t="inlineStr">
        <is>
          <t>No</t>
        </is>
      </c>
      <c r="B791" t="inlineStr">
        <is>
          <t>DF27 .P4 1979</t>
        </is>
      </c>
      <c r="C791" t="inlineStr">
        <is>
          <t>0                      DF 0027000P  4           1979</t>
        </is>
      </c>
      <c r="D791" t="inlineStr">
        <is>
          <t>Guide to Greece / [by] Pausanias ; translated [from the Greek] with an introduction by Peter Levi ; illustrated with drawings from Greek coins by John Newberry ; maps and plans by Jeffery Lacey.</t>
        </is>
      </c>
      <c r="E791" t="inlineStr">
        <is>
          <t>V.2</t>
        </is>
      </c>
      <c r="F791" t="inlineStr">
        <is>
          <t>Yes</t>
        </is>
      </c>
      <c r="G791" t="inlineStr">
        <is>
          <t>1</t>
        </is>
      </c>
      <c r="H791" t="inlineStr">
        <is>
          <t>No</t>
        </is>
      </c>
      <c r="I791" t="inlineStr">
        <is>
          <t>No</t>
        </is>
      </c>
      <c r="J791" t="inlineStr">
        <is>
          <t>0</t>
        </is>
      </c>
      <c r="K791" t="inlineStr">
        <is>
          <t>Pausânias.</t>
        </is>
      </c>
      <c r="L791" t="inlineStr">
        <is>
          <t>Harmondsworth ; New York : Penguin, c1979, 1985 printing.</t>
        </is>
      </c>
      <c r="M791" t="inlineStr">
        <is>
          <t>1979</t>
        </is>
      </c>
      <c r="O791" t="inlineStr">
        <is>
          <t>eng</t>
        </is>
      </c>
      <c r="P791" t="inlineStr">
        <is>
          <t>enk</t>
        </is>
      </c>
      <c r="Q791" t="inlineStr">
        <is>
          <t>Penguin classics</t>
        </is>
      </c>
      <c r="R791" t="inlineStr">
        <is>
          <t xml:space="preserve">DF </t>
        </is>
      </c>
      <c r="S791" t="n">
        <v>9</v>
      </c>
      <c r="T791" t="n">
        <v>15</v>
      </c>
      <c r="U791" t="inlineStr">
        <is>
          <t>2006-04-30</t>
        </is>
      </c>
      <c r="V791" t="inlineStr">
        <is>
          <t>2006-04-30</t>
        </is>
      </c>
      <c r="W791" t="inlineStr">
        <is>
          <t>1991-02-11</t>
        </is>
      </c>
      <c r="X791" t="inlineStr">
        <is>
          <t>1991-02-11</t>
        </is>
      </c>
      <c r="Y791" t="n">
        <v>212</v>
      </c>
      <c r="Z791" t="n">
        <v>173</v>
      </c>
      <c r="AA791" t="n">
        <v>544</v>
      </c>
      <c r="AB791" t="n">
        <v>1</v>
      </c>
      <c r="AC791" t="n">
        <v>7</v>
      </c>
      <c r="AD791" t="n">
        <v>9</v>
      </c>
      <c r="AE791" t="n">
        <v>33</v>
      </c>
      <c r="AF791" t="n">
        <v>4</v>
      </c>
      <c r="AG791" t="n">
        <v>13</v>
      </c>
      <c r="AH791" t="n">
        <v>1</v>
      </c>
      <c r="AI791" t="n">
        <v>6</v>
      </c>
      <c r="AJ791" t="n">
        <v>7</v>
      </c>
      <c r="AK791" t="n">
        <v>16</v>
      </c>
      <c r="AL791" t="n">
        <v>0</v>
      </c>
      <c r="AM791" t="n">
        <v>6</v>
      </c>
      <c r="AN791" t="n">
        <v>0</v>
      </c>
      <c r="AO791" t="n">
        <v>0</v>
      </c>
      <c r="AP791" t="inlineStr">
        <is>
          <t>No</t>
        </is>
      </c>
      <c r="AQ791" t="inlineStr">
        <is>
          <t>Yes</t>
        </is>
      </c>
      <c r="AR791">
        <f>HYPERLINK("http://catalog.hathitrust.org/Record/007131713","HathiTrust Record")</f>
        <v/>
      </c>
      <c r="AS791">
        <f>HYPERLINK("https://creighton-primo.hosted.exlibrisgroup.com/primo-explore/search?tab=default_tab&amp;search_scope=EVERYTHING&amp;vid=01CRU&amp;lang=en_US&amp;offset=0&amp;query=any,contains,991004859189702656","Catalog Record")</f>
        <v/>
      </c>
      <c r="AT791">
        <f>HYPERLINK("http://www.worldcat.org/oclc/5679055","WorldCat Record")</f>
        <v/>
      </c>
      <c r="AU791" t="inlineStr">
        <is>
          <t>3855727490:eng</t>
        </is>
      </c>
      <c r="AV791" t="inlineStr">
        <is>
          <t>5679055</t>
        </is>
      </c>
      <c r="AW791" t="inlineStr">
        <is>
          <t>991004859189702656</t>
        </is>
      </c>
      <c r="AX791" t="inlineStr">
        <is>
          <t>991004859189702656</t>
        </is>
      </c>
      <c r="AY791" t="inlineStr">
        <is>
          <t>2262037590002656</t>
        </is>
      </c>
      <c r="AZ791" t="inlineStr">
        <is>
          <t>BOOK</t>
        </is>
      </c>
      <c r="BB791" t="inlineStr">
        <is>
          <t>9780140442250</t>
        </is>
      </c>
      <c r="BC791" t="inlineStr">
        <is>
          <t>32285000458330</t>
        </is>
      </c>
      <c r="BD791" t="inlineStr">
        <is>
          <t>893876651</t>
        </is>
      </c>
    </row>
    <row r="792">
      <c r="A792" t="inlineStr">
        <is>
          <t>No</t>
        </is>
      </c>
      <c r="B792" t="inlineStr">
        <is>
          <t>DF27.P383 A73 1996</t>
        </is>
      </c>
      <c r="C792" t="inlineStr">
        <is>
          <t>0                      DF 0027000P  383                A  73          1996</t>
        </is>
      </c>
      <c r="D792" t="inlineStr">
        <is>
          <t>Pausanias' Greece : ancient artists and Roman rulers / K.W. Arafat.</t>
        </is>
      </c>
      <c r="F792" t="inlineStr">
        <is>
          <t>No</t>
        </is>
      </c>
      <c r="G792" t="inlineStr">
        <is>
          <t>1</t>
        </is>
      </c>
      <c r="H792" t="inlineStr">
        <is>
          <t>No</t>
        </is>
      </c>
      <c r="I792" t="inlineStr">
        <is>
          <t>No</t>
        </is>
      </c>
      <c r="J792" t="inlineStr">
        <is>
          <t>0</t>
        </is>
      </c>
      <c r="K792" t="inlineStr">
        <is>
          <t>Arafat, K. W. (Karim W.)</t>
        </is>
      </c>
      <c r="L792" t="inlineStr">
        <is>
          <t>Cambridge ; New York : Cambridge University Press, 1996.</t>
        </is>
      </c>
      <c r="M792" t="inlineStr">
        <is>
          <t>1996</t>
        </is>
      </c>
      <c r="O792" t="inlineStr">
        <is>
          <t>eng</t>
        </is>
      </c>
      <c r="P792" t="inlineStr">
        <is>
          <t>enk</t>
        </is>
      </c>
      <c r="R792" t="inlineStr">
        <is>
          <t xml:space="preserve">DF </t>
        </is>
      </c>
      <c r="S792" t="n">
        <v>5</v>
      </c>
      <c r="T792" t="n">
        <v>5</v>
      </c>
      <c r="U792" t="inlineStr">
        <is>
          <t>2001-11-12</t>
        </is>
      </c>
      <c r="V792" t="inlineStr">
        <is>
          <t>2001-11-12</t>
        </is>
      </c>
      <c r="W792" t="inlineStr">
        <is>
          <t>1998-11-16</t>
        </is>
      </c>
      <c r="X792" t="inlineStr">
        <is>
          <t>1998-11-16</t>
        </is>
      </c>
      <c r="Y792" t="n">
        <v>370</v>
      </c>
      <c r="Z792" t="n">
        <v>256</v>
      </c>
      <c r="AA792" t="n">
        <v>270</v>
      </c>
      <c r="AB792" t="n">
        <v>3</v>
      </c>
      <c r="AC792" t="n">
        <v>3</v>
      </c>
      <c r="AD792" t="n">
        <v>15</v>
      </c>
      <c r="AE792" t="n">
        <v>15</v>
      </c>
      <c r="AF792" t="n">
        <v>5</v>
      </c>
      <c r="AG792" t="n">
        <v>5</v>
      </c>
      <c r="AH792" t="n">
        <v>4</v>
      </c>
      <c r="AI792" t="n">
        <v>4</v>
      </c>
      <c r="AJ792" t="n">
        <v>10</v>
      </c>
      <c r="AK792" t="n">
        <v>10</v>
      </c>
      <c r="AL792" t="n">
        <v>2</v>
      </c>
      <c r="AM792" t="n">
        <v>2</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HYPERLINK("https://creighton-primo.hosted.exlibrisgroup.com/primo-explore/search?tab=default_tab&amp;search_scope=EVERYTHING&amp;vid=01CRU&amp;lang=en_US&amp;offset=0&amp;query=any,contains,991002519609702656","Catalog Record")</f>
        <v/>
      </c>
      <c r="AT792">
        <f>HYPERLINK("http://www.worldcat.org/oclc/32778749","WorldCat Record")</f>
        <v/>
      </c>
      <c r="AU792" t="inlineStr">
        <is>
          <t>806673867:eng</t>
        </is>
      </c>
      <c r="AV792" t="inlineStr">
        <is>
          <t>32778749</t>
        </is>
      </c>
      <c r="AW792" t="inlineStr">
        <is>
          <t>991002519609702656</t>
        </is>
      </c>
      <c r="AX792" t="inlineStr">
        <is>
          <t>991002519609702656</t>
        </is>
      </c>
      <c r="AY792" t="inlineStr">
        <is>
          <t>2260137770002656</t>
        </is>
      </c>
      <c r="AZ792" t="inlineStr">
        <is>
          <t>BOOK</t>
        </is>
      </c>
      <c r="BB792" t="inlineStr">
        <is>
          <t>9780521553407</t>
        </is>
      </c>
      <c r="BC792" t="inlineStr">
        <is>
          <t>32285003489142</t>
        </is>
      </c>
      <c r="BD792" t="inlineStr">
        <is>
          <t>893809536</t>
        </is>
      </c>
    </row>
    <row r="793">
      <c r="A793" t="inlineStr">
        <is>
          <t>No</t>
        </is>
      </c>
      <c r="B793" t="inlineStr">
        <is>
          <t>DF275 .C3613 1989</t>
        </is>
      </c>
      <c r="C793" t="inlineStr">
        <is>
          <t>0                      DF 0275000C  3613        1989</t>
        </is>
      </c>
      <c r="D793" t="inlineStr">
        <is>
          <t>A city of images : iconography and society in Ancient Greece / by Claude Bérard ... [et al.] ; translated by Deborah Lyons.</t>
        </is>
      </c>
      <c r="F793" t="inlineStr">
        <is>
          <t>No</t>
        </is>
      </c>
      <c r="G793" t="inlineStr">
        <is>
          <t>1</t>
        </is>
      </c>
      <c r="H793" t="inlineStr">
        <is>
          <t>No</t>
        </is>
      </c>
      <c r="I793" t="inlineStr">
        <is>
          <t>No</t>
        </is>
      </c>
      <c r="J793" t="inlineStr">
        <is>
          <t>0</t>
        </is>
      </c>
      <c r="K793" t="inlineStr">
        <is>
          <t>Cite des images. English.</t>
        </is>
      </c>
      <c r="L793" t="inlineStr">
        <is>
          <t>Princeton, N.J. : Princeton University Press, c1989.</t>
        </is>
      </c>
      <c r="M793" t="inlineStr">
        <is>
          <t>1989</t>
        </is>
      </c>
      <c r="O793" t="inlineStr">
        <is>
          <t>eng</t>
        </is>
      </c>
      <c r="P793" t="inlineStr">
        <is>
          <t>nju</t>
        </is>
      </c>
      <c r="R793" t="inlineStr">
        <is>
          <t xml:space="preserve">DF </t>
        </is>
      </c>
      <c r="S793" t="n">
        <v>5</v>
      </c>
      <c r="T793" t="n">
        <v>5</v>
      </c>
      <c r="U793" t="inlineStr">
        <is>
          <t>2004-11-29</t>
        </is>
      </c>
      <c r="V793" t="inlineStr">
        <is>
          <t>2004-11-29</t>
        </is>
      </c>
      <c r="W793" t="inlineStr">
        <is>
          <t>1989-11-16</t>
        </is>
      </c>
      <c r="X793" t="inlineStr">
        <is>
          <t>1989-11-16</t>
        </is>
      </c>
      <c r="Y793" t="n">
        <v>573</v>
      </c>
      <c r="Z793" t="n">
        <v>452</v>
      </c>
      <c r="AA793" t="n">
        <v>459</v>
      </c>
      <c r="AB793" t="n">
        <v>2</v>
      </c>
      <c r="AC793" t="n">
        <v>2</v>
      </c>
      <c r="AD793" t="n">
        <v>23</v>
      </c>
      <c r="AE793" t="n">
        <v>23</v>
      </c>
      <c r="AF793" t="n">
        <v>9</v>
      </c>
      <c r="AG793" t="n">
        <v>9</v>
      </c>
      <c r="AH793" t="n">
        <v>6</v>
      </c>
      <c r="AI793" t="n">
        <v>6</v>
      </c>
      <c r="AJ793" t="n">
        <v>15</v>
      </c>
      <c r="AK793" t="n">
        <v>15</v>
      </c>
      <c r="AL793" t="n">
        <v>1</v>
      </c>
      <c r="AM793" t="n">
        <v>1</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HYPERLINK("https://creighton-primo.hosted.exlibrisgroup.com/primo-explore/search?tab=default_tab&amp;search_scope=EVERYTHING&amp;vid=01CRU&amp;lang=en_US&amp;offset=0&amp;query=any,contains,991001322659702656","Catalog Record")</f>
        <v/>
      </c>
      <c r="AT793">
        <f>HYPERLINK("http://www.worldcat.org/oclc/18255095","WorldCat Record")</f>
        <v/>
      </c>
      <c r="AU793" t="inlineStr">
        <is>
          <t>117972452:eng</t>
        </is>
      </c>
      <c r="AV793" t="inlineStr">
        <is>
          <t>18255095</t>
        </is>
      </c>
      <c r="AW793" t="inlineStr">
        <is>
          <t>991001322659702656</t>
        </is>
      </c>
      <c r="AX793" t="inlineStr">
        <is>
          <t>991001322659702656</t>
        </is>
      </c>
      <c r="AY793" t="inlineStr">
        <is>
          <t>2258994560002656</t>
        </is>
      </c>
      <c r="AZ793" t="inlineStr">
        <is>
          <t>BOOK</t>
        </is>
      </c>
      <c r="BB793" t="inlineStr">
        <is>
          <t>9780691035918</t>
        </is>
      </c>
      <c r="BC793" t="inlineStr">
        <is>
          <t>32285000013770</t>
        </is>
      </c>
      <c r="BD793" t="inlineStr">
        <is>
          <t>893608766</t>
        </is>
      </c>
    </row>
    <row r="794">
      <c r="A794" t="inlineStr">
        <is>
          <t>No</t>
        </is>
      </c>
      <c r="B794" t="inlineStr">
        <is>
          <t>DF275 .D3 2007</t>
        </is>
      </c>
      <c r="C794" t="inlineStr">
        <is>
          <t>0                      DF 0275000D  3           2007</t>
        </is>
      </c>
      <c r="D794" t="inlineStr">
        <is>
          <t>Debating the Athenian cultural revolution : art, literature, philosophy, and politics, 430-380 BC / edited by Robin Osborne.</t>
        </is>
      </c>
      <c r="F794" t="inlineStr">
        <is>
          <t>No</t>
        </is>
      </c>
      <c r="G794" t="inlineStr">
        <is>
          <t>1</t>
        </is>
      </c>
      <c r="H794" t="inlineStr">
        <is>
          <t>No</t>
        </is>
      </c>
      <c r="I794" t="inlineStr">
        <is>
          <t>No</t>
        </is>
      </c>
      <c r="J794" t="inlineStr">
        <is>
          <t>0</t>
        </is>
      </c>
      <c r="L794" t="inlineStr">
        <is>
          <t>Cambridge, UK ; New York : Cambridge University Press, 2007.</t>
        </is>
      </c>
      <c r="M794" t="inlineStr">
        <is>
          <t>2007</t>
        </is>
      </c>
      <c r="O794" t="inlineStr">
        <is>
          <t>eng</t>
        </is>
      </c>
      <c r="P794" t="inlineStr">
        <is>
          <t>enk</t>
        </is>
      </c>
      <c r="R794" t="inlineStr">
        <is>
          <t xml:space="preserve">DF </t>
        </is>
      </c>
      <c r="S794" t="n">
        <v>1</v>
      </c>
      <c r="T794" t="n">
        <v>1</v>
      </c>
      <c r="U794" t="inlineStr">
        <is>
          <t>2008-05-16</t>
        </is>
      </c>
      <c r="V794" t="inlineStr">
        <is>
          <t>2008-05-16</t>
        </is>
      </c>
      <c r="W794" t="inlineStr">
        <is>
          <t>2008-05-16</t>
        </is>
      </c>
      <c r="X794" t="inlineStr">
        <is>
          <t>2008-05-16</t>
        </is>
      </c>
      <c r="Y794" t="n">
        <v>272</v>
      </c>
      <c r="Z794" t="n">
        <v>174</v>
      </c>
      <c r="AA794" t="n">
        <v>180</v>
      </c>
      <c r="AB794" t="n">
        <v>3</v>
      </c>
      <c r="AC794" t="n">
        <v>3</v>
      </c>
      <c r="AD794" t="n">
        <v>10</v>
      </c>
      <c r="AE794" t="n">
        <v>11</v>
      </c>
      <c r="AF794" t="n">
        <v>2</v>
      </c>
      <c r="AG794" t="n">
        <v>3</v>
      </c>
      <c r="AH794" t="n">
        <v>3</v>
      </c>
      <c r="AI794" t="n">
        <v>3</v>
      </c>
      <c r="AJ794" t="n">
        <v>7</v>
      </c>
      <c r="AK794" t="n">
        <v>8</v>
      </c>
      <c r="AL794" t="n">
        <v>2</v>
      </c>
      <c r="AM794" t="n">
        <v>2</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HYPERLINK("https://creighton-primo.hosted.exlibrisgroup.com/primo-explore/search?tab=default_tab&amp;search_scope=EVERYTHING&amp;vid=01CRU&amp;lang=en_US&amp;offset=0&amp;query=any,contains,991005204919702656","Catalog Record")</f>
        <v/>
      </c>
      <c r="AT794">
        <f>HYPERLINK("http://www.worldcat.org/oclc/154682293","WorldCat Record")</f>
        <v/>
      </c>
      <c r="AU794" t="inlineStr">
        <is>
          <t>104637375:eng</t>
        </is>
      </c>
      <c r="AV794" t="inlineStr">
        <is>
          <t>154682293</t>
        </is>
      </c>
      <c r="AW794" t="inlineStr">
        <is>
          <t>991005204919702656</t>
        </is>
      </c>
      <c r="AX794" t="inlineStr">
        <is>
          <t>991005204919702656</t>
        </is>
      </c>
      <c r="AY794" t="inlineStr">
        <is>
          <t>2265957920002656</t>
        </is>
      </c>
      <c r="AZ794" t="inlineStr">
        <is>
          <t>BOOK</t>
        </is>
      </c>
      <c r="BB794" t="inlineStr">
        <is>
          <t>9780521879163</t>
        </is>
      </c>
      <c r="BC794" t="inlineStr">
        <is>
          <t>32285005408637</t>
        </is>
      </c>
      <c r="BD794" t="inlineStr">
        <is>
          <t>893320238</t>
        </is>
      </c>
    </row>
    <row r="795">
      <c r="A795" t="inlineStr">
        <is>
          <t>No</t>
        </is>
      </c>
      <c r="B795" t="inlineStr">
        <is>
          <t>DF275 .D35 1998</t>
        </is>
      </c>
      <c r="C795" t="inlineStr">
        <is>
          <t>0                      DF 0275000D  35          1998</t>
        </is>
      </c>
      <c r="D795" t="inlineStr">
        <is>
          <t>Democracy, empire, and the arts in fifth-century Athens / edited by Deborah Boedeker &amp; Kurt A. Raaflaub.</t>
        </is>
      </c>
      <c r="F795" t="inlineStr">
        <is>
          <t>No</t>
        </is>
      </c>
      <c r="G795" t="inlineStr">
        <is>
          <t>1</t>
        </is>
      </c>
      <c r="H795" t="inlineStr">
        <is>
          <t>No</t>
        </is>
      </c>
      <c r="I795" t="inlineStr">
        <is>
          <t>No</t>
        </is>
      </c>
      <c r="J795" t="inlineStr">
        <is>
          <t>0</t>
        </is>
      </c>
      <c r="L795" t="inlineStr">
        <is>
          <t>Cambridge, Mass. : Harvard University Press, 1998.</t>
        </is>
      </c>
      <c r="M795" t="inlineStr">
        <is>
          <t>1998</t>
        </is>
      </c>
      <c r="O795" t="inlineStr">
        <is>
          <t>eng</t>
        </is>
      </c>
      <c r="P795" t="inlineStr">
        <is>
          <t>mau</t>
        </is>
      </c>
      <c r="Q795" t="inlineStr">
        <is>
          <t>Center for Hellenic Studies colloquia ; 2</t>
        </is>
      </c>
      <c r="R795" t="inlineStr">
        <is>
          <t xml:space="preserve">DF </t>
        </is>
      </c>
      <c r="S795" t="n">
        <v>9</v>
      </c>
      <c r="T795" t="n">
        <v>9</v>
      </c>
      <c r="U795" t="inlineStr">
        <is>
          <t>2005-10-21</t>
        </is>
      </c>
      <c r="V795" t="inlineStr">
        <is>
          <t>2005-10-21</t>
        </is>
      </c>
      <c r="W795" t="inlineStr">
        <is>
          <t>1999-08-17</t>
        </is>
      </c>
      <c r="X795" t="inlineStr">
        <is>
          <t>1999-08-17</t>
        </is>
      </c>
      <c r="Y795" t="n">
        <v>452</v>
      </c>
      <c r="Z795" t="n">
        <v>328</v>
      </c>
      <c r="AA795" t="n">
        <v>342</v>
      </c>
      <c r="AB795" t="n">
        <v>2</v>
      </c>
      <c r="AC795" t="n">
        <v>2</v>
      </c>
      <c r="AD795" t="n">
        <v>28</v>
      </c>
      <c r="AE795" t="n">
        <v>28</v>
      </c>
      <c r="AF795" t="n">
        <v>14</v>
      </c>
      <c r="AG795" t="n">
        <v>14</v>
      </c>
      <c r="AH795" t="n">
        <v>7</v>
      </c>
      <c r="AI795" t="n">
        <v>7</v>
      </c>
      <c r="AJ795" t="n">
        <v>17</v>
      </c>
      <c r="AK795" t="n">
        <v>17</v>
      </c>
      <c r="AL795" t="n">
        <v>1</v>
      </c>
      <c r="AM795" t="n">
        <v>1</v>
      </c>
      <c r="AN795" t="n">
        <v>0</v>
      </c>
      <c r="AO795" t="n">
        <v>0</v>
      </c>
      <c r="AP795" t="inlineStr">
        <is>
          <t>No</t>
        </is>
      </c>
      <c r="AQ795" t="inlineStr">
        <is>
          <t>Yes</t>
        </is>
      </c>
      <c r="AR795">
        <f>HYPERLINK("http://catalog.hathitrust.org/Record/004021158","HathiTrust Record")</f>
        <v/>
      </c>
      <c r="AS795">
        <f>HYPERLINK("https://creighton-primo.hosted.exlibrisgroup.com/primo-explore/search?tab=default_tab&amp;search_scope=EVERYTHING&amp;vid=01CRU&amp;lang=en_US&amp;offset=0&amp;query=any,contains,991000023499702656","Catalog Record")</f>
        <v/>
      </c>
      <c r="AT795">
        <f>HYPERLINK("http://www.worldcat.org/oclc/38886028","WorldCat Record")</f>
        <v/>
      </c>
      <c r="AU795" t="inlineStr">
        <is>
          <t>350337524:eng</t>
        </is>
      </c>
      <c r="AV795" t="inlineStr">
        <is>
          <t>38886028</t>
        </is>
      </c>
      <c r="AW795" t="inlineStr">
        <is>
          <t>991000023499702656</t>
        </is>
      </c>
      <c r="AX795" t="inlineStr">
        <is>
          <t>991000023499702656</t>
        </is>
      </c>
      <c r="AY795" t="inlineStr">
        <is>
          <t>2263141580002656</t>
        </is>
      </c>
      <c r="AZ795" t="inlineStr">
        <is>
          <t>BOOK</t>
        </is>
      </c>
      <c r="BB795" t="inlineStr">
        <is>
          <t>9780674197695</t>
        </is>
      </c>
      <c r="BC795" t="inlineStr">
        <is>
          <t>32285003581989</t>
        </is>
      </c>
      <c r="BD795" t="inlineStr">
        <is>
          <t>893502150</t>
        </is>
      </c>
    </row>
    <row r="796">
      <c r="A796" t="inlineStr">
        <is>
          <t>No</t>
        </is>
      </c>
      <c r="B796" t="inlineStr">
        <is>
          <t>DF275 .J66 1997</t>
        </is>
      </c>
      <c r="C796" t="inlineStr">
        <is>
          <t>0                      DF 0275000J  66          1997</t>
        </is>
      </c>
      <c r="D796" t="inlineStr">
        <is>
          <t>Ancient Greece : state and society / Nicholas F. Jones.</t>
        </is>
      </c>
      <c r="F796" t="inlineStr">
        <is>
          <t>No</t>
        </is>
      </c>
      <c r="G796" t="inlineStr">
        <is>
          <t>1</t>
        </is>
      </c>
      <c r="H796" t="inlineStr">
        <is>
          <t>No</t>
        </is>
      </c>
      <c r="I796" t="inlineStr">
        <is>
          <t>No</t>
        </is>
      </c>
      <c r="J796" t="inlineStr">
        <is>
          <t>0</t>
        </is>
      </c>
      <c r="K796" t="inlineStr">
        <is>
          <t>Jones, Nicholas F.</t>
        </is>
      </c>
      <c r="L796" t="inlineStr">
        <is>
          <t>Upper Saddle River, N.J. : Prentice Hall, c1997.</t>
        </is>
      </c>
      <c r="M796" t="inlineStr">
        <is>
          <t>1997</t>
        </is>
      </c>
      <c r="O796" t="inlineStr">
        <is>
          <t>eng</t>
        </is>
      </c>
      <c r="P796" t="inlineStr">
        <is>
          <t>nju</t>
        </is>
      </c>
      <c r="R796" t="inlineStr">
        <is>
          <t xml:space="preserve">DF </t>
        </is>
      </c>
      <c r="S796" t="n">
        <v>3</v>
      </c>
      <c r="T796" t="n">
        <v>3</v>
      </c>
      <c r="U796" t="inlineStr">
        <is>
          <t>2010-10-07</t>
        </is>
      </c>
      <c r="V796" t="inlineStr">
        <is>
          <t>2010-10-07</t>
        </is>
      </c>
      <c r="W796" t="inlineStr">
        <is>
          <t>2009-01-12</t>
        </is>
      </c>
      <c r="X796" t="inlineStr">
        <is>
          <t>2009-01-12</t>
        </is>
      </c>
      <c r="Y796" t="n">
        <v>147</v>
      </c>
      <c r="Z796" t="n">
        <v>118</v>
      </c>
      <c r="AA796" t="n">
        <v>121</v>
      </c>
      <c r="AB796" t="n">
        <v>1</v>
      </c>
      <c r="AC796" t="n">
        <v>1</v>
      </c>
      <c r="AD796" t="n">
        <v>5</v>
      </c>
      <c r="AE796" t="n">
        <v>6</v>
      </c>
      <c r="AF796" t="n">
        <v>3</v>
      </c>
      <c r="AG796" t="n">
        <v>3</v>
      </c>
      <c r="AH796" t="n">
        <v>1</v>
      </c>
      <c r="AI796" t="n">
        <v>2</v>
      </c>
      <c r="AJ796" t="n">
        <v>3</v>
      </c>
      <c r="AK796" t="n">
        <v>4</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HYPERLINK("https://creighton-primo.hosted.exlibrisgroup.com/primo-explore/search?tab=default_tab&amp;search_scope=EVERYTHING&amp;vid=01CRU&amp;lang=en_US&amp;offset=0&amp;query=any,contains,991005289529702656","Catalog Record")</f>
        <v/>
      </c>
      <c r="AT796">
        <f>HYPERLINK("http://www.worldcat.org/oclc/34244522","WorldCat Record")</f>
        <v/>
      </c>
      <c r="AU796" t="inlineStr">
        <is>
          <t>436083665:eng</t>
        </is>
      </c>
      <c r="AV796" t="inlineStr">
        <is>
          <t>34244522</t>
        </is>
      </c>
      <c r="AW796" t="inlineStr">
        <is>
          <t>991005289529702656</t>
        </is>
      </c>
      <c r="AX796" t="inlineStr">
        <is>
          <t>991005289529702656</t>
        </is>
      </c>
      <c r="AY796" t="inlineStr">
        <is>
          <t>2271865040002656</t>
        </is>
      </c>
      <c r="AZ796" t="inlineStr">
        <is>
          <t>BOOK</t>
        </is>
      </c>
      <c r="BB796" t="inlineStr">
        <is>
          <t>9780133397482</t>
        </is>
      </c>
      <c r="BC796" t="inlineStr">
        <is>
          <t>32285005477434</t>
        </is>
      </c>
      <c r="BD796" t="inlineStr">
        <is>
          <t>893507918</t>
        </is>
      </c>
    </row>
    <row r="797">
      <c r="A797" t="inlineStr">
        <is>
          <t>No</t>
        </is>
      </c>
      <c r="B797" t="inlineStr">
        <is>
          <t>DF277 .A84 1990</t>
        </is>
      </c>
      <c r="C797" t="inlineStr">
        <is>
          <t>0                      DF 0277000A  84          1990</t>
        </is>
      </c>
      <c r="D797" t="inlineStr">
        <is>
          <t>Athenian politics, c. 800-500 B.C. : a sourcebook / [compiled by] G.R. Stanton.</t>
        </is>
      </c>
      <c r="F797" t="inlineStr">
        <is>
          <t>No</t>
        </is>
      </c>
      <c r="G797" t="inlineStr">
        <is>
          <t>1</t>
        </is>
      </c>
      <c r="H797" t="inlineStr">
        <is>
          <t>No</t>
        </is>
      </c>
      <c r="I797" t="inlineStr">
        <is>
          <t>No</t>
        </is>
      </c>
      <c r="J797" t="inlineStr">
        <is>
          <t>0</t>
        </is>
      </c>
      <c r="L797" t="inlineStr">
        <is>
          <t>London ; New York : Routledge, 1990.</t>
        </is>
      </c>
      <c r="M797" t="inlineStr">
        <is>
          <t>1990</t>
        </is>
      </c>
      <c r="O797" t="inlineStr">
        <is>
          <t>eng</t>
        </is>
      </c>
      <c r="P797" t="inlineStr">
        <is>
          <t>enk</t>
        </is>
      </c>
      <c r="R797" t="inlineStr">
        <is>
          <t xml:space="preserve">DF </t>
        </is>
      </c>
      <c r="S797" t="n">
        <v>4</v>
      </c>
      <c r="T797" t="n">
        <v>4</v>
      </c>
      <c r="U797" t="inlineStr">
        <is>
          <t>2009-04-26</t>
        </is>
      </c>
      <c r="V797" t="inlineStr">
        <is>
          <t>2009-04-26</t>
        </is>
      </c>
      <c r="W797" t="inlineStr">
        <is>
          <t>1991-10-24</t>
        </is>
      </c>
      <c r="X797" t="inlineStr">
        <is>
          <t>1991-10-24</t>
        </is>
      </c>
      <c r="Y797" t="n">
        <v>383</v>
      </c>
      <c r="Z797" t="n">
        <v>262</v>
      </c>
      <c r="AA797" t="n">
        <v>298</v>
      </c>
      <c r="AB797" t="n">
        <v>2</v>
      </c>
      <c r="AC797" t="n">
        <v>2</v>
      </c>
      <c r="AD797" t="n">
        <v>17</v>
      </c>
      <c r="AE797" t="n">
        <v>17</v>
      </c>
      <c r="AF797" t="n">
        <v>4</v>
      </c>
      <c r="AG797" t="n">
        <v>4</v>
      </c>
      <c r="AH797" t="n">
        <v>7</v>
      </c>
      <c r="AI797" t="n">
        <v>7</v>
      </c>
      <c r="AJ797" t="n">
        <v>11</v>
      </c>
      <c r="AK797" t="n">
        <v>11</v>
      </c>
      <c r="AL797" t="n">
        <v>1</v>
      </c>
      <c r="AM797" t="n">
        <v>1</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HYPERLINK("https://creighton-primo.hosted.exlibrisgroup.com/primo-explore/search?tab=default_tab&amp;search_scope=EVERYTHING&amp;vid=01CRU&amp;lang=en_US&amp;offset=0&amp;query=any,contains,991001624109702656","Catalog Record")</f>
        <v/>
      </c>
      <c r="AT797">
        <f>HYPERLINK("http://www.worldcat.org/oclc/20827428","WorldCat Record")</f>
        <v/>
      </c>
      <c r="AU797" t="inlineStr">
        <is>
          <t>5573176133:eng</t>
        </is>
      </c>
      <c r="AV797" t="inlineStr">
        <is>
          <t>20827428</t>
        </is>
      </c>
      <c r="AW797" t="inlineStr">
        <is>
          <t>991001624109702656</t>
        </is>
      </c>
      <c r="AX797" t="inlineStr">
        <is>
          <t>991001624109702656</t>
        </is>
      </c>
      <c r="AY797" t="inlineStr">
        <is>
          <t>2261750650002656</t>
        </is>
      </c>
      <c r="AZ797" t="inlineStr">
        <is>
          <t>BOOK</t>
        </is>
      </c>
      <c r="BB797" t="inlineStr">
        <is>
          <t>9780415040600</t>
        </is>
      </c>
      <c r="BC797" t="inlineStr">
        <is>
          <t>32285000727825</t>
        </is>
      </c>
      <c r="BD797" t="inlineStr">
        <is>
          <t>893803718</t>
        </is>
      </c>
    </row>
    <row r="798">
      <c r="A798" t="inlineStr">
        <is>
          <t>No</t>
        </is>
      </c>
      <c r="B798" t="inlineStr">
        <is>
          <t>DF277 .G74</t>
        </is>
      </c>
      <c r="C798" t="inlineStr">
        <is>
          <t>0                      DF 0277000G  74</t>
        </is>
      </c>
      <c r="D798" t="inlineStr">
        <is>
          <t>Panathenaia : studies in Athenian life and thought in the classical age / edited by T. E. Gregory and A. J. Podlecki.</t>
        </is>
      </c>
      <c r="F798" t="inlineStr">
        <is>
          <t>No</t>
        </is>
      </c>
      <c r="G798" t="inlineStr">
        <is>
          <t>1</t>
        </is>
      </c>
      <c r="H798" t="inlineStr">
        <is>
          <t>No</t>
        </is>
      </c>
      <c r="I798" t="inlineStr">
        <is>
          <t>No</t>
        </is>
      </c>
      <c r="J798" t="inlineStr">
        <is>
          <t>0</t>
        </is>
      </c>
      <c r="K798" t="inlineStr">
        <is>
          <t>Gregory, T. E., editor.</t>
        </is>
      </c>
      <c r="L798" t="inlineStr">
        <is>
          <t>Lawrence, Kansas : Coronado Press, 1979.</t>
        </is>
      </c>
      <c r="M798" t="inlineStr">
        <is>
          <t>1979</t>
        </is>
      </c>
      <c r="O798" t="inlineStr">
        <is>
          <t>eng</t>
        </is>
      </c>
      <c r="P798" t="inlineStr">
        <is>
          <t>ksu</t>
        </is>
      </c>
      <c r="R798" t="inlineStr">
        <is>
          <t xml:space="preserve">DF </t>
        </is>
      </c>
      <c r="S798" t="n">
        <v>1</v>
      </c>
      <c r="T798" t="n">
        <v>1</v>
      </c>
      <c r="U798" t="inlineStr">
        <is>
          <t>2006-04-24</t>
        </is>
      </c>
      <c r="V798" t="inlineStr">
        <is>
          <t>2006-04-24</t>
        </is>
      </c>
      <c r="W798" t="inlineStr">
        <is>
          <t>1991-02-19</t>
        </is>
      </c>
      <c r="X798" t="inlineStr">
        <is>
          <t>1991-02-19</t>
        </is>
      </c>
      <c r="Y798" t="n">
        <v>141</v>
      </c>
      <c r="Z798" t="n">
        <v>110</v>
      </c>
      <c r="AA798" t="n">
        <v>111</v>
      </c>
      <c r="AB798" t="n">
        <v>3</v>
      </c>
      <c r="AC798" t="n">
        <v>3</v>
      </c>
      <c r="AD798" t="n">
        <v>8</v>
      </c>
      <c r="AE798" t="n">
        <v>8</v>
      </c>
      <c r="AF798" t="n">
        <v>1</v>
      </c>
      <c r="AG798" t="n">
        <v>1</v>
      </c>
      <c r="AH798" t="n">
        <v>3</v>
      </c>
      <c r="AI798" t="n">
        <v>3</v>
      </c>
      <c r="AJ798" t="n">
        <v>4</v>
      </c>
      <c r="AK798" t="n">
        <v>4</v>
      </c>
      <c r="AL798" t="n">
        <v>2</v>
      </c>
      <c r="AM798" t="n">
        <v>2</v>
      </c>
      <c r="AN798" t="n">
        <v>0</v>
      </c>
      <c r="AO798" t="n">
        <v>0</v>
      </c>
      <c r="AP798" t="inlineStr">
        <is>
          <t>No</t>
        </is>
      </c>
      <c r="AQ798" t="inlineStr">
        <is>
          <t>Yes</t>
        </is>
      </c>
      <c r="AR798">
        <f>HYPERLINK("http://catalog.hathitrust.org/Record/006038046","HathiTrust Record")</f>
        <v/>
      </c>
      <c r="AS798">
        <f>HYPERLINK("https://creighton-primo.hosted.exlibrisgroup.com/primo-explore/search?tab=default_tab&amp;search_scope=EVERYTHING&amp;vid=01CRU&amp;lang=en_US&amp;offset=0&amp;query=any,contains,991004785349702656","Catalog Record")</f>
        <v/>
      </c>
      <c r="AT798">
        <f>HYPERLINK("http://www.worldcat.org/oclc/5138699","WorldCat Record")</f>
        <v/>
      </c>
      <c r="AU798" t="inlineStr">
        <is>
          <t>16792386:eng</t>
        </is>
      </c>
      <c r="AV798" t="inlineStr">
        <is>
          <t>5138699</t>
        </is>
      </c>
      <c r="AW798" t="inlineStr">
        <is>
          <t>991004785349702656</t>
        </is>
      </c>
      <c r="AX798" t="inlineStr">
        <is>
          <t>991004785349702656</t>
        </is>
      </c>
      <c r="AY798" t="inlineStr">
        <is>
          <t>2265802030002656</t>
        </is>
      </c>
      <c r="AZ798" t="inlineStr">
        <is>
          <t>BOOK</t>
        </is>
      </c>
      <c r="BB798" t="inlineStr">
        <is>
          <t>9780872911260</t>
        </is>
      </c>
      <c r="BC798" t="inlineStr">
        <is>
          <t>32285000520436</t>
        </is>
      </c>
      <c r="BD798" t="inlineStr">
        <is>
          <t>893263436</t>
        </is>
      </c>
    </row>
    <row r="799">
      <c r="A799" t="inlineStr">
        <is>
          <t>No</t>
        </is>
      </c>
      <c r="B799" t="inlineStr">
        <is>
          <t>DF277 .M713</t>
        </is>
      </c>
      <c r="C799" t="inlineStr">
        <is>
          <t>0                      DF 0277000M  713</t>
        </is>
      </c>
      <c r="D799" t="inlineStr">
        <is>
          <t>Athens in decline, 404-86 B.C., translated from the French by Jean Stewart.</t>
        </is>
      </c>
      <c r="F799" t="inlineStr">
        <is>
          <t>No</t>
        </is>
      </c>
      <c r="G799" t="inlineStr">
        <is>
          <t>1</t>
        </is>
      </c>
      <c r="H799" t="inlineStr">
        <is>
          <t>No</t>
        </is>
      </c>
      <c r="I799" t="inlineStr">
        <is>
          <t>No</t>
        </is>
      </c>
      <c r="J799" t="inlineStr">
        <is>
          <t>0</t>
        </is>
      </c>
      <c r="K799" t="inlineStr">
        <is>
          <t>Mossé, Claude, 1924-</t>
        </is>
      </c>
      <c r="L799" t="inlineStr">
        <is>
          <t>London, Boston, Routledge &amp; K. Paul [1973]</t>
        </is>
      </c>
      <c r="M799" t="inlineStr">
        <is>
          <t>1973</t>
        </is>
      </c>
      <c r="O799" t="inlineStr">
        <is>
          <t>eng</t>
        </is>
      </c>
      <c r="P799" t="inlineStr">
        <is>
          <t>enk</t>
        </is>
      </c>
      <c r="R799" t="inlineStr">
        <is>
          <t xml:space="preserve">DF </t>
        </is>
      </c>
      <c r="S799" t="n">
        <v>1</v>
      </c>
      <c r="T799" t="n">
        <v>1</v>
      </c>
      <c r="U799" t="inlineStr">
        <is>
          <t>1997-09-29</t>
        </is>
      </c>
      <c r="V799" t="inlineStr">
        <is>
          <t>1997-09-29</t>
        </is>
      </c>
      <c r="W799" t="inlineStr">
        <is>
          <t>1997-01-30</t>
        </is>
      </c>
      <c r="X799" t="inlineStr">
        <is>
          <t>1997-01-30</t>
        </is>
      </c>
      <c r="Y799" t="n">
        <v>636</v>
      </c>
      <c r="Z799" t="n">
        <v>462</v>
      </c>
      <c r="AA799" t="n">
        <v>475</v>
      </c>
      <c r="AB799" t="n">
        <v>4</v>
      </c>
      <c r="AC799" t="n">
        <v>4</v>
      </c>
      <c r="AD799" t="n">
        <v>21</v>
      </c>
      <c r="AE799" t="n">
        <v>21</v>
      </c>
      <c r="AF799" t="n">
        <v>6</v>
      </c>
      <c r="AG799" t="n">
        <v>6</v>
      </c>
      <c r="AH799" t="n">
        <v>6</v>
      </c>
      <c r="AI799" t="n">
        <v>6</v>
      </c>
      <c r="AJ799" t="n">
        <v>15</v>
      </c>
      <c r="AK799" t="n">
        <v>15</v>
      </c>
      <c r="AL799" t="n">
        <v>2</v>
      </c>
      <c r="AM799" t="n">
        <v>2</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HYPERLINK("https://creighton-primo.hosted.exlibrisgroup.com/primo-explore/search?tab=default_tab&amp;search_scope=EVERYTHING&amp;vid=01CRU&amp;lang=en_US&amp;offset=0&amp;query=any,contains,991003241139702656","Catalog Record")</f>
        <v/>
      </c>
      <c r="AT799">
        <f>HYPERLINK("http://www.worldcat.org/oclc/763786","WorldCat Record")</f>
        <v/>
      </c>
      <c r="AU799" t="inlineStr">
        <is>
          <t>367436051:eng</t>
        </is>
      </c>
      <c r="AV799" t="inlineStr">
        <is>
          <t>763786</t>
        </is>
      </c>
      <c r="AW799" t="inlineStr">
        <is>
          <t>991003241139702656</t>
        </is>
      </c>
      <c r="AX799" t="inlineStr">
        <is>
          <t>991003241139702656</t>
        </is>
      </c>
      <c r="AY799" t="inlineStr">
        <is>
          <t>2266537040002656</t>
        </is>
      </c>
      <c r="AZ799" t="inlineStr">
        <is>
          <t>BOOK</t>
        </is>
      </c>
      <c r="BB799" t="inlineStr">
        <is>
          <t>9780710076496</t>
        </is>
      </c>
      <c r="BC799" t="inlineStr">
        <is>
          <t>32285002419074</t>
        </is>
      </c>
      <c r="BD799" t="inlineStr">
        <is>
          <t>893592317</t>
        </is>
      </c>
    </row>
    <row r="800">
      <c r="A800" t="inlineStr">
        <is>
          <t>No</t>
        </is>
      </c>
      <c r="B800" t="inlineStr">
        <is>
          <t>DF277 .S77 1987</t>
        </is>
      </c>
      <c r="C800" t="inlineStr">
        <is>
          <t>0                      DF 0277000S  77          1987</t>
        </is>
      </c>
      <c r="D800" t="inlineStr">
        <is>
          <t>Athens after the Peloponnesian War : class, faction and policy, 403-386 BC / Barry S. Strauss.</t>
        </is>
      </c>
      <c r="F800" t="inlineStr">
        <is>
          <t>No</t>
        </is>
      </c>
      <c r="G800" t="inlineStr">
        <is>
          <t>1</t>
        </is>
      </c>
      <c r="H800" t="inlineStr">
        <is>
          <t>No</t>
        </is>
      </c>
      <c r="I800" t="inlineStr">
        <is>
          <t>No</t>
        </is>
      </c>
      <c r="J800" t="inlineStr">
        <is>
          <t>0</t>
        </is>
      </c>
      <c r="K800" t="inlineStr">
        <is>
          <t>Strauss, Barry S.</t>
        </is>
      </c>
      <c r="L800" t="inlineStr">
        <is>
          <t>Ithaca, N.Y. : Cornell University Press, 1987, c1986.</t>
        </is>
      </c>
      <c r="M800" t="inlineStr">
        <is>
          <t>1987</t>
        </is>
      </c>
      <c r="O800" t="inlineStr">
        <is>
          <t>eng</t>
        </is>
      </c>
      <c r="P800" t="inlineStr">
        <is>
          <t>nyu</t>
        </is>
      </c>
      <c r="R800" t="inlineStr">
        <is>
          <t xml:space="preserve">DF </t>
        </is>
      </c>
      <c r="S800" t="n">
        <v>1</v>
      </c>
      <c r="T800" t="n">
        <v>1</v>
      </c>
      <c r="U800" t="inlineStr">
        <is>
          <t>1997-09-29</t>
        </is>
      </c>
      <c r="V800" t="inlineStr">
        <is>
          <t>1997-09-29</t>
        </is>
      </c>
      <c r="W800" t="inlineStr">
        <is>
          <t>1991-02-21</t>
        </is>
      </c>
      <c r="X800" t="inlineStr">
        <is>
          <t>1991-02-21</t>
        </is>
      </c>
      <c r="Y800" t="n">
        <v>379</v>
      </c>
      <c r="Z800" t="n">
        <v>333</v>
      </c>
      <c r="AA800" t="n">
        <v>397</v>
      </c>
      <c r="AB800" t="n">
        <v>1</v>
      </c>
      <c r="AC800" t="n">
        <v>3</v>
      </c>
      <c r="AD800" t="n">
        <v>24</v>
      </c>
      <c r="AE800" t="n">
        <v>27</v>
      </c>
      <c r="AF800" t="n">
        <v>11</v>
      </c>
      <c r="AG800" t="n">
        <v>11</v>
      </c>
      <c r="AH800" t="n">
        <v>4</v>
      </c>
      <c r="AI800" t="n">
        <v>5</v>
      </c>
      <c r="AJ800" t="n">
        <v>16</v>
      </c>
      <c r="AK800" t="n">
        <v>17</v>
      </c>
      <c r="AL800" t="n">
        <v>0</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HYPERLINK("https://creighton-primo.hosted.exlibrisgroup.com/primo-explore/search?tab=default_tab&amp;search_scope=EVERYTHING&amp;vid=01CRU&amp;lang=en_US&amp;offset=0&amp;query=any,contains,991000886719702656","Catalog Record")</f>
        <v/>
      </c>
      <c r="AT800">
        <f>HYPERLINK("http://www.worldcat.org/oclc/13861641","WorldCat Record")</f>
        <v/>
      </c>
      <c r="AU800" t="inlineStr">
        <is>
          <t>6895041:eng</t>
        </is>
      </c>
      <c r="AV800" t="inlineStr">
        <is>
          <t>13861641</t>
        </is>
      </c>
      <c r="AW800" t="inlineStr">
        <is>
          <t>991000886719702656</t>
        </is>
      </c>
      <c r="AX800" t="inlineStr">
        <is>
          <t>991000886719702656</t>
        </is>
      </c>
      <c r="AY800" t="inlineStr">
        <is>
          <t>2262255440002656</t>
        </is>
      </c>
      <c r="AZ800" t="inlineStr">
        <is>
          <t>BOOK</t>
        </is>
      </c>
      <c r="BB800" t="inlineStr">
        <is>
          <t>9780801419423</t>
        </is>
      </c>
      <c r="BC800" t="inlineStr">
        <is>
          <t>32285000520451</t>
        </is>
      </c>
      <c r="BD800" t="inlineStr">
        <is>
          <t>893897309</t>
        </is>
      </c>
    </row>
    <row r="801">
      <c r="A801" t="inlineStr">
        <is>
          <t>No</t>
        </is>
      </c>
      <c r="B801" t="inlineStr">
        <is>
          <t>DF285 .C67 1992</t>
        </is>
      </c>
      <c r="C801" t="inlineStr">
        <is>
          <t>0                      DF 0285000C  67          1992</t>
        </is>
      </c>
      <c r="D801" t="inlineStr">
        <is>
          <t>The new politicians of fifth-century Athens / W. Robert Connor.</t>
        </is>
      </c>
      <c r="F801" t="inlineStr">
        <is>
          <t>No</t>
        </is>
      </c>
      <c r="G801" t="inlineStr">
        <is>
          <t>1</t>
        </is>
      </c>
      <c r="H801" t="inlineStr">
        <is>
          <t>No</t>
        </is>
      </c>
      <c r="I801" t="inlineStr">
        <is>
          <t>No</t>
        </is>
      </c>
      <c r="J801" t="inlineStr">
        <is>
          <t>0</t>
        </is>
      </c>
      <c r="K801" t="inlineStr">
        <is>
          <t>Connor, W. Robert (Walter Robert), 1934-</t>
        </is>
      </c>
      <c r="L801" t="inlineStr">
        <is>
          <t>Indianapolis : Hackett, c1992.</t>
        </is>
      </c>
      <c r="M801" t="inlineStr">
        <is>
          <t>1992</t>
        </is>
      </c>
      <c r="O801" t="inlineStr">
        <is>
          <t>eng</t>
        </is>
      </c>
      <c r="P801" t="inlineStr">
        <is>
          <t>inu</t>
        </is>
      </c>
      <c r="R801" t="inlineStr">
        <is>
          <t xml:space="preserve">DF </t>
        </is>
      </c>
      <c r="S801" t="n">
        <v>1</v>
      </c>
      <c r="T801" t="n">
        <v>1</v>
      </c>
      <c r="U801" t="inlineStr">
        <is>
          <t>2002-11-19</t>
        </is>
      </c>
      <c r="V801" t="inlineStr">
        <is>
          <t>2002-11-19</t>
        </is>
      </c>
      <c r="W801" t="inlineStr">
        <is>
          <t>1997-05-21</t>
        </is>
      </c>
      <c r="X801" t="inlineStr">
        <is>
          <t>1997-05-21</t>
        </is>
      </c>
      <c r="Y801" t="n">
        <v>98</v>
      </c>
      <c r="Z801" t="n">
        <v>77</v>
      </c>
      <c r="AA801" t="n">
        <v>591</v>
      </c>
      <c r="AB801" t="n">
        <v>1</v>
      </c>
      <c r="AC801" t="n">
        <v>5</v>
      </c>
      <c r="AD801" t="n">
        <v>9</v>
      </c>
      <c r="AE801" t="n">
        <v>39</v>
      </c>
      <c r="AF801" t="n">
        <v>6</v>
      </c>
      <c r="AG801" t="n">
        <v>17</v>
      </c>
      <c r="AH801" t="n">
        <v>3</v>
      </c>
      <c r="AI801" t="n">
        <v>8</v>
      </c>
      <c r="AJ801" t="n">
        <v>4</v>
      </c>
      <c r="AK801" t="n">
        <v>23</v>
      </c>
      <c r="AL801" t="n">
        <v>0</v>
      </c>
      <c r="AM801" t="n">
        <v>4</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HYPERLINK("https://creighton-primo.hosted.exlibrisgroup.com/primo-explore/search?tab=default_tab&amp;search_scope=EVERYTHING&amp;vid=01CRU&amp;lang=en_US&amp;offset=0&amp;query=any,contains,991002050079702656","Catalog Record")</f>
        <v/>
      </c>
      <c r="AT801">
        <f>HYPERLINK("http://www.worldcat.org/oclc/26160307","WorldCat Record")</f>
        <v/>
      </c>
      <c r="AU801" t="inlineStr">
        <is>
          <t>1190263:eng</t>
        </is>
      </c>
      <c r="AV801" t="inlineStr">
        <is>
          <t>26160307</t>
        </is>
      </c>
      <c r="AW801" t="inlineStr">
        <is>
          <t>991002050079702656</t>
        </is>
      </c>
      <c r="AX801" t="inlineStr">
        <is>
          <t>991002050079702656</t>
        </is>
      </c>
      <c r="AY801" t="inlineStr">
        <is>
          <t>2272166030002656</t>
        </is>
      </c>
      <c r="AZ801" t="inlineStr">
        <is>
          <t>BOOK</t>
        </is>
      </c>
      <c r="BB801" t="inlineStr">
        <is>
          <t>9780872201422</t>
        </is>
      </c>
      <c r="BC801" t="inlineStr">
        <is>
          <t>32285002610516</t>
        </is>
      </c>
      <c r="BD801" t="inlineStr">
        <is>
          <t>893715987</t>
        </is>
      </c>
    </row>
    <row r="802">
      <c r="A802" t="inlineStr">
        <is>
          <t>No</t>
        </is>
      </c>
      <c r="B802" t="inlineStr">
        <is>
          <t>DF285 .F76 2005</t>
        </is>
      </c>
      <c r="C802" t="inlineStr">
        <is>
          <t>0                      DF 0285000F  76          2005</t>
        </is>
      </c>
      <c r="D802" t="inlineStr">
        <is>
          <t>Politics and the Athenians : essays on Athenian history and historiography / Frank J. Frost.</t>
        </is>
      </c>
      <c r="F802" t="inlineStr">
        <is>
          <t>No</t>
        </is>
      </c>
      <c r="G802" t="inlineStr">
        <is>
          <t>1</t>
        </is>
      </c>
      <c r="H802" t="inlineStr">
        <is>
          <t>No</t>
        </is>
      </c>
      <c r="I802" t="inlineStr">
        <is>
          <t>No</t>
        </is>
      </c>
      <c r="J802" t="inlineStr">
        <is>
          <t>0</t>
        </is>
      </c>
      <c r="K802" t="inlineStr">
        <is>
          <t>Frost, Frank J., 1929-</t>
        </is>
      </c>
      <c r="L802" t="inlineStr">
        <is>
          <t>Toronto : E. Kent, 2005.</t>
        </is>
      </c>
      <c r="M802" t="inlineStr">
        <is>
          <t>2005</t>
        </is>
      </c>
      <c r="O802" t="inlineStr">
        <is>
          <t>eng</t>
        </is>
      </c>
      <c r="P802" t="inlineStr">
        <is>
          <t>onc</t>
        </is>
      </c>
      <c r="R802" t="inlineStr">
        <is>
          <t xml:space="preserve">DF </t>
        </is>
      </c>
      <c r="S802" t="n">
        <v>3</v>
      </c>
      <c r="T802" t="n">
        <v>3</v>
      </c>
      <c r="U802" t="inlineStr">
        <is>
          <t>2009-08-30</t>
        </is>
      </c>
      <c r="V802" t="inlineStr">
        <is>
          <t>2009-08-30</t>
        </is>
      </c>
      <c r="W802" t="inlineStr">
        <is>
          <t>2007-03-05</t>
        </is>
      </c>
      <c r="X802" t="inlineStr">
        <is>
          <t>2007-03-05</t>
        </is>
      </c>
      <c r="Y802" t="n">
        <v>134</v>
      </c>
      <c r="Z802" t="n">
        <v>96</v>
      </c>
      <c r="AA802" t="n">
        <v>98</v>
      </c>
      <c r="AB802" t="n">
        <v>1</v>
      </c>
      <c r="AC802" t="n">
        <v>1</v>
      </c>
      <c r="AD802" t="n">
        <v>3</v>
      </c>
      <c r="AE802" t="n">
        <v>3</v>
      </c>
      <c r="AF802" t="n">
        <v>2</v>
      </c>
      <c r="AG802" t="n">
        <v>2</v>
      </c>
      <c r="AH802" t="n">
        <v>0</v>
      </c>
      <c r="AI802" t="n">
        <v>0</v>
      </c>
      <c r="AJ802" t="n">
        <v>3</v>
      </c>
      <c r="AK802" t="n">
        <v>3</v>
      </c>
      <c r="AL802" t="n">
        <v>0</v>
      </c>
      <c r="AM802" t="n">
        <v>0</v>
      </c>
      <c r="AN802" t="n">
        <v>0</v>
      </c>
      <c r="AO802" t="n">
        <v>0</v>
      </c>
      <c r="AP802" t="inlineStr">
        <is>
          <t>No</t>
        </is>
      </c>
      <c r="AQ802" t="inlineStr">
        <is>
          <t>Yes</t>
        </is>
      </c>
      <c r="AR802">
        <f>HYPERLINK("http://catalog.hathitrust.org/Record/004929588","HathiTrust Record")</f>
        <v/>
      </c>
      <c r="AS802">
        <f>HYPERLINK("https://creighton-primo.hosted.exlibrisgroup.com/primo-explore/search?tab=default_tab&amp;search_scope=EVERYTHING&amp;vid=01CRU&amp;lang=en_US&amp;offset=0&amp;query=any,contains,991005032129702656","Catalog Record")</f>
        <v/>
      </c>
      <c r="AT802">
        <f>HYPERLINK("http://www.worldcat.org/oclc/56920887","WorldCat Record")</f>
        <v/>
      </c>
      <c r="AU802" t="inlineStr">
        <is>
          <t>20788:eng</t>
        </is>
      </c>
      <c r="AV802" t="inlineStr">
        <is>
          <t>56920887</t>
        </is>
      </c>
      <c r="AW802" t="inlineStr">
        <is>
          <t>991005032129702656</t>
        </is>
      </c>
      <c r="AX802" t="inlineStr">
        <is>
          <t>991005032129702656</t>
        </is>
      </c>
      <c r="AY802" t="inlineStr">
        <is>
          <t>2257999930002656</t>
        </is>
      </c>
      <c r="AZ802" t="inlineStr">
        <is>
          <t>BOOK</t>
        </is>
      </c>
      <c r="BB802" t="inlineStr">
        <is>
          <t>9780888666505</t>
        </is>
      </c>
      <c r="BC802" t="inlineStr">
        <is>
          <t>32285005280168</t>
        </is>
      </c>
      <c r="BD802" t="inlineStr">
        <is>
          <t>893606721</t>
        </is>
      </c>
    </row>
    <row r="803">
      <c r="A803" t="inlineStr">
        <is>
          <t>No</t>
        </is>
      </c>
      <c r="B803" t="inlineStr">
        <is>
          <t>DF285 .W47 1999</t>
        </is>
      </c>
      <c r="C803" t="inlineStr">
        <is>
          <t>0                      DF 0285000W  47          1999</t>
        </is>
      </c>
      <c r="D803" t="inlineStr">
        <is>
          <t>Das klassische Athen : Demokratie und Machtpolitik im 5. und 4. Jahrhundert / Karl-Wilhelm Welwei.</t>
        </is>
      </c>
      <c r="F803" t="inlineStr">
        <is>
          <t>No</t>
        </is>
      </c>
      <c r="G803" t="inlineStr">
        <is>
          <t>1</t>
        </is>
      </c>
      <c r="H803" t="inlineStr">
        <is>
          <t>No</t>
        </is>
      </c>
      <c r="I803" t="inlineStr">
        <is>
          <t>No</t>
        </is>
      </c>
      <c r="J803" t="inlineStr">
        <is>
          <t>0</t>
        </is>
      </c>
      <c r="K803" t="inlineStr">
        <is>
          <t>Welwei, Karl-Wilhelm.</t>
        </is>
      </c>
      <c r="L803" t="inlineStr">
        <is>
          <t>[Darmstadt] : Primus Verlag, c1999.</t>
        </is>
      </c>
      <c r="M803" t="inlineStr">
        <is>
          <t>1999</t>
        </is>
      </c>
      <c r="O803" t="inlineStr">
        <is>
          <t>ger</t>
        </is>
      </c>
      <c r="P803" t="inlineStr">
        <is>
          <t xml:space="preserve">gw </t>
        </is>
      </c>
      <c r="R803" t="inlineStr">
        <is>
          <t xml:space="preserve">DF </t>
        </is>
      </c>
      <c r="S803" t="n">
        <v>2</v>
      </c>
      <c r="T803" t="n">
        <v>2</v>
      </c>
      <c r="U803" t="inlineStr">
        <is>
          <t>2007-08-17</t>
        </is>
      </c>
      <c r="V803" t="inlineStr">
        <is>
          <t>2007-08-17</t>
        </is>
      </c>
      <c r="W803" t="inlineStr">
        <is>
          <t>2000-01-13</t>
        </is>
      </c>
      <c r="X803" t="inlineStr">
        <is>
          <t>2000-01-13</t>
        </is>
      </c>
      <c r="Y803" t="n">
        <v>71</v>
      </c>
      <c r="Z803" t="n">
        <v>38</v>
      </c>
      <c r="AA803" t="n">
        <v>40</v>
      </c>
      <c r="AB803" t="n">
        <v>1</v>
      </c>
      <c r="AC803" t="n">
        <v>1</v>
      </c>
      <c r="AD803" t="n">
        <v>0</v>
      </c>
      <c r="AE803" t="n">
        <v>0</v>
      </c>
      <c r="AF803" t="n">
        <v>0</v>
      </c>
      <c r="AG803" t="n">
        <v>0</v>
      </c>
      <c r="AH803" t="n">
        <v>0</v>
      </c>
      <c r="AI803" t="n">
        <v>0</v>
      </c>
      <c r="AJ803" t="n">
        <v>0</v>
      </c>
      <c r="AK803" t="n">
        <v>0</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HYPERLINK("https://creighton-primo.hosted.exlibrisgroup.com/primo-explore/search?tab=default_tab&amp;search_scope=EVERYTHING&amp;vid=01CRU&amp;lang=en_US&amp;offset=0&amp;query=any,contains,991003039029702656","Catalog Record")</f>
        <v/>
      </c>
      <c r="AT803">
        <f>HYPERLINK("http://www.worldcat.org/oclc/41980744","WorldCat Record")</f>
        <v/>
      </c>
      <c r="AU803" t="inlineStr">
        <is>
          <t>349372110:ger</t>
        </is>
      </c>
      <c r="AV803" t="inlineStr">
        <is>
          <t>41980744</t>
        </is>
      </c>
      <c r="AW803" t="inlineStr">
        <is>
          <t>991003039029702656</t>
        </is>
      </c>
      <c r="AX803" t="inlineStr">
        <is>
          <t>991003039029702656</t>
        </is>
      </c>
      <c r="AY803" t="inlineStr">
        <is>
          <t>2260054710002656</t>
        </is>
      </c>
      <c r="AZ803" t="inlineStr">
        <is>
          <t>BOOK</t>
        </is>
      </c>
      <c r="BB803" t="inlineStr">
        <is>
          <t>9783896781178</t>
        </is>
      </c>
      <c r="BC803" t="inlineStr">
        <is>
          <t>32285003642138</t>
        </is>
      </c>
      <c r="BD803" t="inlineStr">
        <is>
          <t>893511516</t>
        </is>
      </c>
    </row>
    <row r="804">
      <c r="A804" t="inlineStr">
        <is>
          <t>No</t>
        </is>
      </c>
      <c r="B804" t="inlineStr">
        <is>
          <t>DF285.5 .J3 1973</t>
        </is>
      </c>
      <c r="C804" t="inlineStr">
        <is>
          <t>0                      DF 0285500J  3           1973</t>
        </is>
      </c>
      <c r="D804" t="inlineStr">
        <is>
          <t>Atthis: the local chronicles of ancient Athens.</t>
        </is>
      </c>
      <c r="F804" t="inlineStr">
        <is>
          <t>No</t>
        </is>
      </c>
      <c r="G804" t="inlineStr">
        <is>
          <t>1</t>
        </is>
      </c>
      <c r="H804" t="inlineStr">
        <is>
          <t>No</t>
        </is>
      </c>
      <c r="I804" t="inlineStr">
        <is>
          <t>No</t>
        </is>
      </c>
      <c r="J804" t="inlineStr">
        <is>
          <t>0</t>
        </is>
      </c>
      <c r="K804" t="inlineStr">
        <is>
          <t>Jacoby, Felix, 1876-1959.</t>
        </is>
      </c>
      <c r="L804" t="inlineStr">
        <is>
          <t>New York, Arno Press, 1973.</t>
        </is>
      </c>
      <c r="M804" t="inlineStr">
        <is>
          <t>1973</t>
        </is>
      </c>
      <c r="O804" t="inlineStr">
        <is>
          <t>eng</t>
        </is>
      </c>
      <c r="P804" t="inlineStr">
        <is>
          <t>nyu</t>
        </is>
      </c>
      <c r="Q804" t="inlineStr">
        <is>
          <t>Greek history</t>
        </is>
      </c>
      <c r="R804" t="inlineStr">
        <is>
          <t xml:space="preserve">DF </t>
        </is>
      </c>
      <c r="S804" t="n">
        <v>5</v>
      </c>
      <c r="T804" t="n">
        <v>5</v>
      </c>
      <c r="U804" t="inlineStr">
        <is>
          <t>2004-10-01</t>
        </is>
      </c>
      <c r="V804" t="inlineStr">
        <is>
          <t>2004-10-01</t>
        </is>
      </c>
      <c r="W804" t="inlineStr">
        <is>
          <t>1997-01-30</t>
        </is>
      </c>
      <c r="X804" t="inlineStr">
        <is>
          <t>1997-01-30</t>
        </is>
      </c>
      <c r="Y804" t="n">
        <v>167</v>
      </c>
      <c r="Z804" t="n">
        <v>139</v>
      </c>
      <c r="AA804" t="n">
        <v>353</v>
      </c>
      <c r="AB804" t="n">
        <v>1</v>
      </c>
      <c r="AC804" t="n">
        <v>2</v>
      </c>
      <c r="AD804" t="n">
        <v>8</v>
      </c>
      <c r="AE804" t="n">
        <v>21</v>
      </c>
      <c r="AF804" t="n">
        <v>3</v>
      </c>
      <c r="AG804" t="n">
        <v>7</v>
      </c>
      <c r="AH804" t="n">
        <v>2</v>
      </c>
      <c r="AI804" t="n">
        <v>6</v>
      </c>
      <c r="AJ804" t="n">
        <v>6</v>
      </c>
      <c r="AK804" t="n">
        <v>16</v>
      </c>
      <c r="AL804" t="n">
        <v>0</v>
      </c>
      <c r="AM804" t="n">
        <v>1</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HYPERLINK("https://creighton-primo.hosted.exlibrisgroup.com/primo-explore/search?tab=default_tab&amp;search_scope=EVERYTHING&amp;vid=01CRU&amp;lang=en_US&amp;offset=0&amp;query=any,contains,991002899539702656","Catalog Record")</f>
        <v/>
      </c>
      <c r="AT804">
        <f>HYPERLINK("http://www.worldcat.org/oclc/516199","WorldCat Record")</f>
        <v/>
      </c>
      <c r="AU804" t="inlineStr">
        <is>
          <t>1102673229:eng</t>
        </is>
      </c>
      <c r="AV804" t="inlineStr">
        <is>
          <t>516199</t>
        </is>
      </c>
      <c r="AW804" t="inlineStr">
        <is>
          <t>991002899539702656</t>
        </is>
      </c>
      <c r="AX804" t="inlineStr">
        <is>
          <t>991002899539702656</t>
        </is>
      </c>
      <c r="AY804" t="inlineStr">
        <is>
          <t>2256709060002656</t>
        </is>
      </c>
      <c r="AZ804" t="inlineStr">
        <is>
          <t>BOOK</t>
        </is>
      </c>
      <c r="BB804" t="inlineStr">
        <is>
          <t>9780405047961</t>
        </is>
      </c>
      <c r="BC804" t="inlineStr">
        <is>
          <t>32285002419090</t>
        </is>
      </c>
      <c r="BD804" t="inlineStr">
        <is>
          <t>893335868</t>
        </is>
      </c>
    </row>
    <row r="805">
      <c r="A805" t="inlineStr">
        <is>
          <t>No</t>
        </is>
      </c>
      <c r="B805" t="inlineStr">
        <is>
          <t>DF287.A23 A5 v. 12</t>
        </is>
      </c>
      <c r="C805" t="inlineStr">
        <is>
          <t>0                      DF 0287000A  23                 A  5                                 v. 12</t>
        </is>
      </c>
      <c r="D805" t="inlineStr">
        <is>
          <t>An ancient shopping center : the Athenian Agora / [prepared by Dorothy Burr Thompson]</t>
        </is>
      </c>
      <c r="E805" t="inlineStr">
        <is>
          <t>V. 12</t>
        </is>
      </c>
      <c r="F805" t="inlineStr">
        <is>
          <t>No</t>
        </is>
      </c>
      <c r="G805" t="inlineStr">
        <is>
          <t>1</t>
        </is>
      </c>
      <c r="H805" t="inlineStr">
        <is>
          <t>No</t>
        </is>
      </c>
      <c r="I805" t="inlineStr">
        <is>
          <t>No</t>
        </is>
      </c>
      <c r="J805" t="inlineStr">
        <is>
          <t>0</t>
        </is>
      </c>
      <c r="K805" t="inlineStr">
        <is>
          <t>Thompson, Dorothy Burr, 1900-2001.</t>
        </is>
      </c>
      <c r="L805" t="inlineStr">
        <is>
          <t>Princeton, N.J. : American School of Classical Studies at Athens, 1993.</t>
        </is>
      </c>
      <c r="M805" t="inlineStr">
        <is>
          <t>1993</t>
        </is>
      </c>
      <c r="O805" t="inlineStr">
        <is>
          <t>eng</t>
        </is>
      </c>
      <c r="P805" t="inlineStr">
        <is>
          <t>nju</t>
        </is>
      </c>
      <c r="Q805" t="inlineStr">
        <is>
          <t>Excavations of the Athenian Agora. Picture book ; no. 12</t>
        </is>
      </c>
      <c r="R805" t="inlineStr">
        <is>
          <t xml:space="preserve">DF </t>
        </is>
      </c>
      <c r="S805" t="n">
        <v>1</v>
      </c>
      <c r="T805" t="n">
        <v>1</v>
      </c>
      <c r="U805" t="inlineStr">
        <is>
          <t>2004-07-14</t>
        </is>
      </c>
      <c r="V805" t="inlineStr">
        <is>
          <t>2004-07-14</t>
        </is>
      </c>
      <c r="W805" t="inlineStr">
        <is>
          <t>2004-07-14</t>
        </is>
      </c>
      <c r="X805" t="inlineStr">
        <is>
          <t>2004-07-14</t>
        </is>
      </c>
      <c r="Y805" t="n">
        <v>32</v>
      </c>
      <c r="Z805" t="n">
        <v>25</v>
      </c>
      <c r="AA805" t="n">
        <v>182</v>
      </c>
      <c r="AB805" t="n">
        <v>1</v>
      </c>
      <c r="AC805" t="n">
        <v>2</v>
      </c>
      <c r="AD805" t="n">
        <v>1</v>
      </c>
      <c r="AE805" t="n">
        <v>9</v>
      </c>
      <c r="AF805" t="n">
        <v>1</v>
      </c>
      <c r="AG805" t="n">
        <v>3</v>
      </c>
      <c r="AH805" t="n">
        <v>0</v>
      </c>
      <c r="AI805" t="n">
        <v>0</v>
      </c>
      <c r="AJ805" t="n">
        <v>1</v>
      </c>
      <c r="AK805" t="n">
        <v>8</v>
      </c>
      <c r="AL805" t="n">
        <v>0</v>
      </c>
      <c r="AM805" t="n">
        <v>1</v>
      </c>
      <c r="AN805" t="n">
        <v>0</v>
      </c>
      <c r="AO805" t="n">
        <v>0</v>
      </c>
      <c r="AP805" t="inlineStr">
        <is>
          <t>No</t>
        </is>
      </c>
      <c r="AQ805" t="inlineStr">
        <is>
          <t>Yes</t>
        </is>
      </c>
      <c r="AR805">
        <f>HYPERLINK("http://catalog.hathitrust.org/Record/003854480","HathiTrust Record")</f>
        <v/>
      </c>
      <c r="AS805">
        <f>HYPERLINK("https://creighton-primo.hosted.exlibrisgroup.com/primo-explore/search?tab=default_tab&amp;search_scope=EVERYTHING&amp;vid=01CRU&amp;lang=en_US&amp;offset=0&amp;query=any,contains,991004107559702656","Catalog Record")</f>
        <v/>
      </c>
      <c r="AT805">
        <f>HYPERLINK("http://www.worldcat.org/oclc/35203268","WorldCat Record")</f>
        <v/>
      </c>
      <c r="AU805" t="inlineStr">
        <is>
          <t>321788941:eng</t>
        </is>
      </c>
      <c r="AV805" t="inlineStr">
        <is>
          <t>35203268</t>
        </is>
      </c>
      <c r="AW805" t="inlineStr">
        <is>
          <t>991004107559702656</t>
        </is>
      </c>
      <c r="AX805" t="inlineStr">
        <is>
          <t>991004107559702656</t>
        </is>
      </c>
      <c r="AY805" t="inlineStr">
        <is>
          <t>2269876250002656</t>
        </is>
      </c>
      <c r="AZ805" t="inlineStr">
        <is>
          <t>BOOK</t>
        </is>
      </c>
      <c r="BB805" t="inlineStr">
        <is>
          <t>9780876616352</t>
        </is>
      </c>
      <c r="BC805" t="inlineStr">
        <is>
          <t>32285004922984</t>
        </is>
      </c>
      <c r="BD805" t="inlineStr">
        <is>
          <t>893687375</t>
        </is>
      </c>
    </row>
    <row r="806">
      <c r="A806" t="inlineStr">
        <is>
          <t>No</t>
        </is>
      </c>
      <c r="B806" t="inlineStr">
        <is>
          <t>DF287.A23 A5 v.15</t>
        </is>
      </c>
      <c r="C806" t="inlineStr">
        <is>
          <t>0                      DF 0287000A  23                 A  5                                 v.15</t>
        </is>
      </c>
      <c r="D806" t="inlineStr">
        <is>
          <t>Inscriptions : the Athenian councillors / by Benjamin D. Meritt and John S. Traill.</t>
        </is>
      </c>
      <c r="E806" t="inlineStr">
        <is>
          <t>V.15</t>
        </is>
      </c>
      <c r="F806" t="inlineStr">
        <is>
          <t>No</t>
        </is>
      </c>
      <c r="G806" t="inlineStr">
        <is>
          <t>1</t>
        </is>
      </c>
      <c r="H806" t="inlineStr">
        <is>
          <t>No</t>
        </is>
      </c>
      <c r="I806" t="inlineStr">
        <is>
          <t>No</t>
        </is>
      </c>
      <c r="J806" t="inlineStr">
        <is>
          <t>0</t>
        </is>
      </c>
      <c r="K806" t="inlineStr">
        <is>
          <t>Meritt, Benjamin Dean, 1899-1989.</t>
        </is>
      </c>
      <c r="L806" t="inlineStr">
        <is>
          <t>Princeton, N.J. : American School of Classical Studies at Athens, 1974.</t>
        </is>
      </c>
      <c r="M806" t="inlineStr">
        <is>
          <t>1974</t>
        </is>
      </c>
      <c r="O806" t="inlineStr">
        <is>
          <t>eng</t>
        </is>
      </c>
      <c r="P806" t="inlineStr">
        <is>
          <t>nju</t>
        </is>
      </c>
      <c r="Q806" t="inlineStr">
        <is>
          <t>Athenian Agora ; v. 15</t>
        </is>
      </c>
      <c r="R806" t="inlineStr">
        <is>
          <t xml:space="preserve">DF </t>
        </is>
      </c>
      <c r="S806" t="n">
        <v>8</v>
      </c>
      <c r="T806" t="n">
        <v>8</v>
      </c>
      <c r="U806" t="inlineStr">
        <is>
          <t>2007-03-21</t>
        </is>
      </c>
      <c r="V806" t="inlineStr">
        <is>
          <t>2007-03-21</t>
        </is>
      </c>
      <c r="W806" t="inlineStr">
        <is>
          <t>1999-02-17</t>
        </is>
      </c>
      <c r="X806" t="inlineStr">
        <is>
          <t>1999-02-17</t>
        </is>
      </c>
      <c r="Y806" t="n">
        <v>225</v>
      </c>
      <c r="Z806" t="n">
        <v>145</v>
      </c>
      <c r="AA806" t="n">
        <v>146</v>
      </c>
      <c r="AB806" t="n">
        <v>1</v>
      </c>
      <c r="AC806" t="n">
        <v>1</v>
      </c>
      <c r="AD806" t="n">
        <v>5</v>
      </c>
      <c r="AE806" t="n">
        <v>5</v>
      </c>
      <c r="AF806" t="n">
        <v>1</v>
      </c>
      <c r="AG806" t="n">
        <v>1</v>
      </c>
      <c r="AH806" t="n">
        <v>2</v>
      </c>
      <c r="AI806" t="n">
        <v>2</v>
      </c>
      <c r="AJ806" t="n">
        <v>4</v>
      </c>
      <c r="AK806" t="n">
        <v>4</v>
      </c>
      <c r="AL806" t="n">
        <v>0</v>
      </c>
      <c r="AM806" t="n">
        <v>0</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HYPERLINK("https://creighton-primo.hosted.exlibrisgroup.com/primo-explore/search?tab=default_tab&amp;search_scope=EVERYTHING&amp;vid=01CRU&amp;lang=en_US&amp;offset=0&amp;query=any,contains,991004030109702656","Catalog Record")</f>
        <v/>
      </c>
      <c r="AT806">
        <f>HYPERLINK("http://www.worldcat.org/oclc/2150848","WorldCat Record")</f>
        <v/>
      </c>
      <c r="AU806" t="inlineStr">
        <is>
          <t>2590189591:eng</t>
        </is>
      </c>
      <c r="AV806" t="inlineStr">
        <is>
          <t>2150848</t>
        </is>
      </c>
      <c r="AW806" t="inlineStr">
        <is>
          <t>991004030109702656</t>
        </is>
      </c>
      <c r="AX806" t="inlineStr">
        <is>
          <t>991004030109702656</t>
        </is>
      </c>
      <c r="AY806" t="inlineStr">
        <is>
          <t>2261638720002656</t>
        </is>
      </c>
      <c r="AZ806" t="inlineStr">
        <is>
          <t>BOOK</t>
        </is>
      </c>
      <c r="BC806" t="inlineStr">
        <is>
          <t>32285003526372</t>
        </is>
      </c>
      <c r="BD806" t="inlineStr">
        <is>
          <t>893442095</t>
        </is>
      </c>
    </row>
    <row r="807">
      <c r="A807" t="inlineStr">
        <is>
          <t>No</t>
        </is>
      </c>
      <c r="B807" t="inlineStr">
        <is>
          <t>DF287.A23 A5 v.16</t>
        </is>
      </c>
      <c r="C807" t="inlineStr">
        <is>
          <t>0                      DF 0287000A  23                 A  5                                 v.16</t>
        </is>
      </c>
      <c r="D807" t="inlineStr">
        <is>
          <t>Inscriptions : the decrees / by A. Geoffrey Woodhead.</t>
        </is>
      </c>
      <c r="E807" t="inlineStr">
        <is>
          <t>V.16</t>
        </is>
      </c>
      <c r="F807" t="inlineStr">
        <is>
          <t>No</t>
        </is>
      </c>
      <c r="G807" t="inlineStr">
        <is>
          <t>1</t>
        </is>
      </c>
      <c r="H807" t="inlineStr">
        <is>
          <t>No</t>
        </is>
      </c>
      <c r="I807" t="inlineStr">
        <is>
          <t>No</t>
        </is>
      </c>
      <c r="J807" t="inlineStr">
        <is>
          <t>0</t>
        </is>
      </c>
      <c r="K807" t="inlineStr">
        <is>
          <t>Woodhead, A. G. (Arthur Geoffrey)</t>
        </is>
      </c>
      <c r="L807" t="inlineStr">
        <is>
          <t>Princeton, N.J. : American School of Classical Studies at Athens, 1997.</t>
        </is>
      </c>
      <c r="M807" t="inlineStr">
        <is>
          <t>1997</t>
        </is>
      </c>
      <c r="O807" t="inlineStr">
        <is>
          <t>eng</t>
        </is>
      </c>
      <c r="P807" t="inlineStr">
        <is>
          <t>nju</t>
        </is>
      </c>
      <c r="Q807" t="inlineStr">
        <is>
          <t>The Athenian Agora ; v. 16</t>
        </is>
      </c>
      <c r="R807" t="inlineStr">
        <is>
          <t xml:space="preserve">DF </t>
        </is>
      </c>
      <c r="S807" t="n">
        <v>0</v>
      </c>
      <c r="T807" t="n">
        <v>0</v>
      </c>
      <c r="U807" t="inlineStr">
        <is>
          <t>2010-01-29</t>
        </is>
      </c>
      <c r="V807" t="inlineStr">
        <is>
          <t>2010-01-29</t>
        </is>
      </c>
      <c r="W807" t="inlineStr">
        <is>
          <t>1999-01-21</t>
        </is>
      </c>
      <c r="X807" t="inlineStr">
        <is>
          <t>1999-01-21</t>
        </is>
      </c>
      <c r="Y807" t="n">
        <v>205</v>
      </c>
      <c r="Z807" t="n">
        <v>124</v>
      </c>
      <c r="AA807" t="n">
        <v>124</v>
      </c>
      <c r="AB807" t="n">
        <v>1</v>
      </c>
      <c r="AC807" t="n">
        <v>1</v>
      </c>
      <c r="AD807" t="n">
        <v>5</v>
      </c>
      <c r="AE807" t="n">
        <v>5</v>
      </c>
      <c r="AF807" t="n">
        <v>2</v>
      </c>
      <c r="AG807" t="n">
        <v>2</v>
      </c>
      <c r="AH807" t="n">
        <v>1</v>
      </c>
      <c r="AI807" t="n">
        <v>1</v>
      </c>
      <c r="AJ807" t="n">
        <v>5</v>
      </c>
      <c r="AK807" t="n">
        <v>5</v>
      </c>
      <c r="AL807" t="n">
        <v>0</v>
      </c>
      <c r="AM807" t="n">
        <v>0</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HYPERLINK("https://creighton-primo.hosted.exlibrisgroup.com/primo-explore/search?tab=default_tab&amp;search_scope=EVERYTHING&amp;vid=01CRU&amp;lang=en_US&amp;offset=0&amp;query=any,contains,991002767989702656","Catalog Record")</f>
        <v/>
      </c>
      <c r="AT807">
        <f>HYPERLINK("http://www.worldcat.org/oclc/36327271","WorldCat Record")</f>
        <v/>
      </c>
      <c r="AU807" t="inlineStr">
        <is>
          <t>891385429:eng</t>
        </is>
      </c>
      <c r="AV807" t="inlineStr">
        <is>
          <t>36327271</t>
        </is>
      </c>
      <c r="AW807" t="inlineStr">
        <is>
          <t>991002767989702656</t>
        </is>
      </c>
      <c r="AX807" t="inlineStr">
        <is>
          <t>991002767989702656</t>
        </is>
      </c>
      <c r="AY807" t="inlineStr">
        <is>
          <t>2265086730002656</t>
        </is>
      </c>
      <c r="AZ807" t="inlineStr">
        <is>
          <t>BOOK</t>
        </is>
      </c>
      <c r="BB807" t="inlineStr">
        <is>
          <t>9780876612163</t>
        </is>
      </c>
      <c r="BC807" t="inlineStr">
        <is>
          <t>32285003514931</t>
        </is>
      </c>
      <c r="BD807" t="inlineStr">
        <is>
          <t>893805014</t>
        </is>
      </c>
    </row>
    <row r="808">
      <c r="A808" t="inlineStr">
        <is>
          <t>No</t>
        </is>
      </c>
      <c r="B808" t="inlineStr">
        <is>
          <t>DF287.A23 A5 v.19</t>
        </is>
      </c>
      <c r="C808" t="inlineStr">
        <is>
          <t>0                      DF 0287000A  23                 A  5                                 v.19</t>
        </is>
      </c>
      <c r="D808" t="inlineStr">
        <is>
          <t>Inscriptions.</t>
        </is>
      </c>
      <c r="E808" t="inlineStr">
        <is>
          <t>V.19</t>
        </is>
      </c>
      <c r="F808" t="inlineStr">
        <is>
          <t>No</t>
        </is>
      </c>
      <c r="G808" t="inlineStr">
        <is>
          <t>1</t>
        </is>
      </c>
      <c r="H808" t="inlineStr">
        <is>
          <t>No</t>
        </is>
      </c>
      <c r="I808" t="inlineStr">
        <is>
          <t>No</t>
        </is>
      </c>
      <c r="J808" t="inlineStr">
        <is>
          <t>0</t>
        </is>
      </c>
      <c r="K808" t="inlineStr">
        <is>
          <t>Lalonde, Gerald V., 1938-</t>
        </is>
      </c>
      <c r="L808" t="inlineStr">
        <is>
          <t>Princeton, N.J. : American School of Classical Studies at Athens, 1991.</t>
        </is>
      </c>
      <c r="M808" t="inlineStr">
        <is>
          <t>1991</t>
        </is>
      </c>
      <c r="O808" t="inlineStr">
        <is>
          <t>eng</t>
        </is>
      </c>
      <c r="P808" t="inlineStr">
        <is>
          <t>nju</t>
        </is>
      </c>
      <c r="Q808" t="inlineStr">
        <is>
          <t>The Athenian Agora ; v. 19</t>
        </is>
      </c>
      <c r="R808" t="inlineStr">
        <is>
          <t xml:space="preserve">DF </t>
        </is>
      </c>
      <c r="S808" t="n">
        <v>11</v>
      </c>
      <c r="T808" t="n">
        <v>11</v>
      </c>
      <c r="U808" t="inlineStr">
        <is>
          <t>2007-03-21</t>
        </is>
      </c>
      <c r="V808" t="inlineStr">
        <is>
          <t>2007-03-21</t>
        </is>
      </c>
      <c r="W808" t="inlineStr">
        <is>
          <t>1999-02-17</t>
        </is>
      </c>
      <c r="X808" t="inlineStr">
        <is>
          <t>1999-02-17</t>
        </is>
      </c>
      <c r="Y808" t="n">
        <v>171</v>
      </c>
      <c r="Z808" t="n">
        <v>113</v>
      </c>
      <c r="AA808" t="n">
        <v>114</v>
      </c>
      <c r="AB808" t="n">
        <v>1</v>
      </c>
      <c r="AC808" t="n">
        <v>1</v>
      </c>
      <c r="AD808" t="n">
        <v>2</v>
      </c>
      <c r="AE808" t="n">
        <v>2</v>
      </c>
      <c r="AF808" t="n">
        <v>1</v>
      </c>
      <c r="AG808" t="n">
        <v>1</v>
      </c>
      <c r="AH808" t="n">
        <v>0</v>
      </c>
      <c r="AI808" t="n">
        <v>0</v>
      </c>
      <c r="AJ808" t="n">
        <v>2</v>
      </c>
      <c r="AK808" t="n">
        <v>2</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HYPERLINK("https://creighton-primo.hosted.exlibrisgroup.com/primo-explore/search?tab=default_tab&amp;search_scope=EVERYTHING&amp;vid=01CRU&amp;lang=en_US&amp;offset=0&amp;query=any,contains,991001786809702656","Catalog Record")</f>
        <v/>
      </c>
      <c r="AT808">
        <f>HYPERLINK("http://www.worldcat.org/oclc/22507821","WorldCat Record")</f>
        <v/>
      </c>
      <c r="AU808" t="inlineStr">
        <is>
          <t>8907483078:eng</t>
        </is>
      </c>
      <c r="AV808" t="inlineStr">
        <is>
          <t>22507821</t>
        </is>
      </c>
      <c r="AW808" t="inlineStr">
        <is>
          <t>991001786809702656</t>
        </is>
      </c>
      <c r="AX808" t="inlineStr">
        <is>
          <t>991001786809702656</t>
        </is>
      </c>
      <c r="AY808" t="inlineStr">
        <is>
          <t>2272138130002656</t>
        </is>
      </c>
      <c r="AZ808" t="inlineStr">
        <is>
          <t>BOOK</t>
        </is>
      </c>
      <c r="BB808" t="inlineStr">
        <is>
          <t>9780876612194</t>
        </is>
      </c>
      <c r="BC808" t="inlineStr">
        <is>
          <t>32285003526398</t>
        </is>
      </c>
      <c r="BD808" t="inlineStr">
        <is>
          <t>893609142</t>
        </is>
      </c>
    </row>
    <row r="809">
      <c r="A809" t="inlineStr">
        <is>
          <t>No</t>
        </is>
      </c>
      <c r="B809" t="inlineStr">
        <is>
          <t>DF287.A23 A5 v.28</t>
        </is>
      </c>
      <c r="C809" t="inlineStr">
        <is>
          <t>0                      DF 0287000A  23                 A  5                                 v.28</t>
        </is>
      </c>
      <c r="D809" t="inlineStr">
        <is>
          <t>The lawcourts at Athens : sites, buildings, equipment, procedure, and testimonia / by Alan L. Boegehold with contributions by John McK. Camp II ... [et al.].</t>
        </is>
      </c>
      <c r="E809" t="inlineStr">
        <is>
          <t>V.28</t>
        </is>
      </c>
      <c r="F809" t="inlineStr">
        <is>
          <t>No</t>
        </is>
      </c>
      <c r="G809" t="inlineStr">
        <is>
          <t>1</t>
        </is>
      </c>
      <c r="H809" t="inlineStr">
        <is>
          <t>No</t>
        </is>
      </c>
      <c r="I809" t="inlineStr">
        <is>
          <t>No</t>
        </is>
      </c>
      <c r="J809" t="inlineStr">
        <is>
          <t>0</t>
        </is>
      </c>
      <c r="K809" t="inlineStr">
        <is>
          <t>Boegehold, Alan L. (Alan Lindley)</t>
        </is>
      </c>
      <c r="L809" t="inlineStr">
        <is>
          <t>Princeton, N.J. : American School of Classical Studies at Athens, 1995.</t>
        </is>
      </c>
      <c r="M809" t="inlineStr">
        <is>
          <t>1995</t>
        </is>
      </c>
      <c r="O809" t="inlineStr">
        <is>
          <t>eng</t>
        </is>
      </c>
      <c r="P809" t="inlineStr">
        <is>
          <t>nju</t>
        </is>
      </c>
      <c r="Q809" t="inlineStr">
        <is>
          <t>The Athenian Agora ; v. 28</t>
        </is>
      </c>
      <c r="R809" t="inlineStr">
        <is>
          <t xml:space="preserve">DF </t>
        </is>
      </c>
      <c r="S809" t="n">
        <v>12</v>
      </c>
      <c r="T809" t="n">
        <v>12</v>
      </c>
      <c r="U809" t="inlineStr">
        <is>
          <t>2005-09-27</t>
        </is>
      </c>
      <c r="V809" t="inlineStr">
        <is>
          <t>2005-09-27</t>
        </is>
      </c>
      <c r="W809" t="inlineStr">
        <is>
          <t>1997-09-15</t>
        </is>
      </c>
      <c r="X809" t="inlineStr">
        <is>
          <t>1997-09-15</t>
        </is>
      </c>
      <c r="Y809" t="n">
        <v>279</v>
      </c>
      <c r="Z809" t="n">
        <v>183</v>
      </c>
      <c r="AA809" t="n">
        <v>183</v>
      </c>
      <c r="AB809" t="n">
        <v>1</v>
      </c>
      <c r="AC809" t="n">
        <v>1</v>
      </c>
      <c r="AD809" t="n">
        <v>9</v>
      </c>
      <c r="AE809" t="n">
        <v>9</v>
      </c>
      <c r="AF809" t="n">
        <v>3</v>
      </c>
      <c r="AG809" t="n">
        <v>3</v>
      </c>
      <c r="AH809" t="n">
        <v>1</v>
      </c>
      <c r="AI809" t="n">
        <v>1</v>
      </c>
      <c r="AJ809" t="n">
        <v>5</v>
      </c>
      <c r="AK809" t="n">
        <v>5</v>
      </c>
      <c r="AL809" t="n">
        <v>0</v>
      </c>
      <c r="AM809" t="n">
        <v>0</v>
      </c>
      <c r="AN809" t="n">
        <v>3</v>
      </c>
      <c r="AO809" t="n">
        <v>3</v>
      </c>
      <c r="AP809" t="inlineStr">
        <is>
          <t>No</t>
        </is>
      </c>
      <c r="AQ809" t="inlineStr">
        <is>
          <t>No</t>
        </is>
      </c>
      <c r="AS809">
        <f>HYPERLINK("https://creighton-primo.hosted.exlibrisgroup.com/primo-explore/search?tab=default_tab&amp;search_scope=EVERYTHING&amp;vid=01CRU&amp;lang=en_US&amp;offset=0&amp;query=any,contains,991005421279702656","Catalog Record")</f>
        <v/>
      </c>
      <c r="AT809">
        <f>HYPERLINK("http://www.worldcat.org/oclc/32545689","WorldCat Record")</f>
        <v/>
      </c>
      <c r="AU809" t="inlineStr">
        <is>
          <t>890455407:eng</t>
        </is>
      </c>
      <c r="AV809" t="inlineStr">
        <is>
          <t>32545689</t>
        </is>
      </c>
      <c r="AW809" t="inlineStr">
        <is>
          <t>991005421279702656</t>
        </is>
      </c>
      <c r="AX809" t="inlineStr">
        <is>
          <t>991005421279702656</t>
        </is>
      </c>
      <c r="AY809" t="inlineStr">
        <is>
          <t>2265128450002656</t>
        </is>
      </c>
      <c r="AZ809" t="inlineStr">
        <is>
          <t>BOOK</t>
        </is>
      </c>
      <c r="BB809" t="inlineStr">
        <is>
          <t>9780876612286</t>
        </is>
      </c>
      <c r="BC809" t="inlineStr">
        <is>
          <t>32285003176095</t>
        </is>
      </c>
      <c r="BD809" t="inlineStr">
        <is>
          <t>893345169</t>
        </is>
      </c>
    </row>
    <row r="810">
      <c r="A810" t="inlineStr">
        <is>
          <t>No</t>
        </is>
      </c>
      <c r="B810" t="inlineStr">
        <is>
          <t>DF287.A23 A52 no. 1</t>
        </is>
      </c>
      <c r="C810" t="inlineStr">
        <is>
          <t>0                      DF 0287000A  23                 A  52                                no. 1</t>
        </is>
      </c>
      <c r="D810" t="inlineStr">
        <is>
          <t>Pots and pans of classical Athens / American School of Classical Studies at Athens ; [prepared by Brian A. Sparkes and Lucy Talcott].</t>
        </is>
      </c>
      <c r="E810" t="inlineStr">
        <is>
          <t>no. 1*</t>
        </is>
      </c>
      <c r="F810" t="inlineStr">
        <is>
          <t>No</t>
        </is>
      </c>
      <c r="G810" t="inlineStr">
        <is>
          <t>1</t>
        </is>
      </c>
      <c r="H810" t="inlineStr">
        <is>
          <t>No</t>
        </is>
      </c>
      <c r="I810" t="inlineStr">
        <is>
          <t>No</t>
        </is>
      </c>
      <c r="J810" t="inlineStr">
        <is>
          <t>0</t>
        </is>
      </c>
      <c r="K810" t="inlineStr">
        <is>
          <t>Sparkes, Brian A.</t>
        </is>
      </c>
      <c r="L810" t="inlineStr">
        <is>
          <t>Princeton, N.J. : The School, 1977, [c1951?]</t>
        </is>
      </c>
      <c r="M810" t="inlineStr">
        <is>
          <t>1977</t>
        </is>
      </c>
      <c r="O810" t="inlineStr">
        <is>
          <t>eng</t>
        </is>
      </c>
      <c r="P810" t="inlineStr">
        <is>
          <t>nju</t>
        </is>
      </c>
      <c r="Q810" t="inlineStr">
        <is>
          <t>Excavations of the Athenian Agora : Picture Books ; no. 1.</t>
        </is>
      </c>
      <c r="R810" t="inlineStr">
        <is>
          <t xml:space="preserve">DF </t>
        </is>
      </c>
      <c r="S810" t="n">
        <v>1</v>
      </c>
      <c r="T810" t="n">
        <v>1</v>
      </c>
      <c r="U810" t="inlineStr">
        <is>
          <t>2003-09-09</t>
        </is>
      </c>
      <c r="V810" t="inlineStr">
        <is>
          <t>2003-09-09</t>
        </is>
      </c>
      <c r="W810" t="inlineStr">
        <is>
          <t>2003-09-09</t>
        </is>
      </c>
      <c r="X810" t="inlineStr">
        <is>
          <t>2003-09-09</t>
        </is>
      </c>
      <c r="Y810" t="n">
        <v>49</v>
      </c>
      <c r="Z810" t="n">
        <v>44</v>
      </c>
      <c r="AA810" t="n">
        <v>258</v>
      </c>
      <c r="AB810" t="n">
        <v>1</v>
      </c>
      <c r="AC810" t="n">
        <v>2</v>
      </c>
      <c r="AD810" t="n">
        <v>3</v>
      </c>
      <c r="AE810" t="n">
        <v>10</v>
      </c>
      <c r="AF810" t="n">
        <v>2</v>
      </c>
      <c r="AG810" t="n">
        <v>4</v>
      </c>
      <c r="AH810" t="n">
        <v>0</v>
      </c>
      <c r="AI810" t="n">
        <v>1</v>
      </c>
      <c r="AJ810" t="n">
        <v>2</v>
      </c>
      <c r="AK810" t="n">
        <v>8</v>
      </c>
      <c r="AL810" t="n">
        <v>0</v>
      </c>
      <c r="AM810" t="n">
        <v>1</v>
      </c>
      <c r="AN810" t="n">
        <v>0</v>
      </c>
      <c r="AO810" t="n">
        <v>0</v>
      </c>
      <c r="AP810" t="inlineStr">
        <is>
          <t>No</t>
        </is>
      </c>
      <c r="AQ810" t="inlineStr">
        <is>
          <t>Yes</t>
        </is>
      </c>
      <c r="AR810">
        <f>HYPERLINK("http://catalog.hathitrust.org/Record/003854403","HathiTrust Record")</f>
        <v/>
      </c>
      <c r="AS810">
        <f>HYPERLINK("https://creighton-primo.hosted.exlibrisgroup.com/primo-explore/search?tab=default_tab&amp;search_scope=EVERYTHING&amp;vid=01CRU&amp;lang=en_US&amp;offset=0&amp;query=any,contains,991004107299702656","Catalog Record")</f>
        <v/>
      </c>
      <c r="AT810">
        <f>HYPERLINK("http://www.worldcat.org/oclc/9541800","WorldCat Record")</f>
        <v/>
      </c>
      <c r="AU810" t="inlineStr">
        <is>
          <t>111549960:eng</t>
        </is>
      </c>
      <c r="AV810" t="inlineStr">
        <is>
          <t>9541800</t>
        </is>
      </c>
      <c r="AW810" t="inlineStr">
        <is>
          <t>991004107299702656</t>
        </is>
      </c>
      <c r="AX810" t="inlineStr">
        <is>
          <t>991004107299702656</t>
        </is>
      </c>
      <c r="AY810" t="inlineStr">
        <is>
          <t>2266836190002656</t>
        </is>
      </c>
      <c r="AZ810" t="inlineStr">
        <is>
          <t>BOOK</t>
        </is>
      </c>
      <c r="BC810" t="inlineStr">
        <is>
          <t>32285004780523</t>
        </is>
      </c>
      <c r="BD810" t="inlineStr">
        <is>
          <t>893599426</t>
        </is>
      </c>
    </row>
    <row r="811">
      <c r="A811" t="inlineStr">
        <is>
          <t>No</t>
        </is>
      </c>
      <c r="B811" t="inlineStr">
        <is>
          <t>DF287.A23 A52 no. 14</t>
        </is>
      </c>
      <c r="C811" t="inlineStr">
        <is>
          <t>0                      DF 0287000A  23                 A  52                                no. 14</t>
        </is>
      </c>
      <c r="D811" t="inlineStr">
        <is>
          <t>Graffiti in the Athenian Agora / [prepared by Mabel Lang].</t>
        </is>
      </c>
      <c r="E811" t="inlineStr">
        <is>
          <t>no. 14*</t>
        </is>
      </c>
      <c r="F811" t="inlineStr">
        <is>
          <t>No</t>
        </is>
      </c>
      <c r="G811" t="inlineStr">
        <is>
          <t>1</t>
        </is>
      </c>
      <c r="H811" t="inlineStr">
        <is>
          <t>No</t>
        </is>
      </c>
      <c r="I811" t="inlineStr">
        <is>
          <t>No</t>
        </is>
      </c>
      <c r="J811" t="inlineStr">
        <is>
          <t>0</t>
        </is>
      </c>
      <c r="K811" t="inlineStr">
        <is>
          <t>Lang, Mabel L., 1917-2010.</t>
        </is>
      </c>
      <c r="L811" t="inlineStr">
        <is>
          <t>Princeton, N.J. : American School of Classical Studies at Athens, 1988.</t>
        </is>
      </c>
      <c r="M811" t="inlineStr">
        <is>
          <t>1988</t>
        </is>
      </c>
      <c r="N811" t="inlineStr">
        <is>
          <t>Rev. ed.</t>
        </is>
      </c>
      <c r="O811" t="inlineStr">
        <is>
          <t>eng</t>
        </is>
      </c>
      <c r="P811" t="inlineStr">
        <is>
          <t>nju</t>
        </is>
      </c>
      <c r="Q811" t="inlineStr">
        <is>
          <t>Excavations of the Athenian Agora. Picture book ; no. 14</t>
        </is>
      </c>
      <c r="R811" t="inlineStr">
        <is>
          <t xml:space="preserve">DF </t>
        </is>
      </c>
      <c r="S811" t="n">
        <v>1</v>
      </c>
      <c r="T811" t="n">
        <v>1</v>
      </c>
      <c r="U811" t="inlineStr">
        <is>
          <t>2003-09-11</t>
        </is>
      </c>
      <c r="V811" t="inlineStr">
        <is>
          <t>2003-09-11</t>
        </is>
      </c>
      <c r="W811" t="inlineStr">
        <is>
          <t>2003-09-11</t>
        </is>
      </c>
      <c r="X811" t="inlineStr">
        <is>
          <t>2003-09-11</t>
        </is>
      </c>
      <c r="Y811" t="n">
        <v>44</v>
      </c>
      <c r="Z811" t="n">
        <v>41</v>
      </c>
      <c r="AA811" t="n">
        <v>172</v>
      </c>
      <c r="AB811" t="n">
        <v>1</v>
      </c>
      <c r="AC811" t="n">
        <v>2</v>
      </c>
      <c r="AD811" t="n">
        <v>3</v>
      </c>
      <c r="AE811" t="n">
        <v>9</v>
      </c>
      <c r="AF811" t="n">
        <v>2</v>
      </c>
      <c r="AG811" t="n">
        <v>5</v>
      </c>
      <c r="AH811" t="n">
        <v>0</v>
      </c>
      <c r="AI811" t="n">
        <v>0</v>
      </c>
      <c r="AJ811" t="n">
        <v>2</v>
      </c>
      <c r="AK811" t="n">
        <v>6</v>
      </c>
      <c r="AL811" t="n">
        <v>0</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HYPERLINK("https://creighton-primo.hosted.exlibrisgroup.com/primo-explore/search?tab=default_tab&amp;search_scope=EVERYTHING&amp;vid=01CRU&amp;lang=en_US&amp;offset=0&amp;query=any,contains,991004107159702656","Catalog Record")</f>
        <v/>
      </c>
      <c r="AT811">
        <f>HYPERLINK("http://www.worldcat.org/oclc/20063799","WorldCat Record")</f>
        <v/>
      </c>
      <c r="AU811" t="inlineStr">
        <is>
          <t>762392717:eng</t>
        </is>
      </c>
      <c r="AV811" t="inlineStr">
        <is>
          <t>20063799</t>
        </is>
      </c>
      <c r="AW811" t="inlineStr">
        <is>
          <t>991004107159702656</t>
        </is>
      </c>
      <c r="AX811" t="inlineStr">
        <is>
          <t>991004107159702656</t>
        </is>
      </c>
      <c r="AY811" t="inlineStr">
        <is>
          <t>2268863870002656</t>
        </is>
      </c>
      <c r="AZ811" t="inlineStr">
        <is>
          <t>BOOK</t>
        </is>
      </c>
      <c r="BC811" t="inlineStr">
        <is>
          <t>32285004782263</t>
        </is>
      </c>
      <c r="BD811" t="inlineStr">
        <is>
          <t>893904705</t>
        </is>
      </c>
    </row>
    <row r="812">
      <c r="A812" t="inlineStr">
        <is>
          <t>No</t>
        </is>
      </c>
      <c r="B812" t="inlineStr">
        <is>
          <t>DF287.A23 A52 no. 15</t>
        </is>
      </c>
      <c r="C812" t="inlineStr">
        <is>
          <t>0                      DF 0287000A  23                 A  52                                no. 15</t>
        </is>
      </c>
      <c r="D812" t="inlineStr">
        <is>
          <t>Greek and Roman coins in the Athenian Agora / [prepared by Fred S. Kleiner ; photos. by Eugene Vanderpool, Jr.].</t>
        </is>
      </c>
      <c r="E812" t="inlineStr">
        <is>
          <t>no. 15*</t>
        </is>
      </c>
      <c r="F812" t="inlineStr">
        <is>
          <t>No</t>
        </is>
      </c>
      <c r="G812" t="inlineStr">
        <is>
          <t>1</t>
        </is>
      </c>
      <c r="H812" t="inlineStr">
        <is>
          <t>No</t>
        </is>
      </c>
      <c r="I812" t="inlineStr">
        <is>
          <t>No</t>
        </is>
      </c>
      <c r="J812" t="inlineStr">
        <is>
          <t>0</t>
        </is>
      </c>
      <c r="K812" t="inlineStr">
        <is>
          <t>Kleiner, Fred S.</t>
        </is>
      </c>
      <c r="L812" t="inlineStr">
        <is>
          <t>Princeton, N.J. : American School of Classical Studies at Athens, 1975.</t>
        </is>
      </c>
      <c r="M812" t="inlineStr">
        <is>
          <t>1975</t>
        </is>
      </c>
      <c r="O812" t="inlineStr">
        <is>
          <t>eng</t>
        </is>
      </c>
      <c r="P812" t="inlineStr">
        <is>
          <t>nju</t>
        </is>
      </c>
      <c r="Q812" t="inlineStr">
        <is>
          <t>Excavations of the Athenian Agora. Picture book ; no. 15</t>
        </is>
      </c>
      <c r="R812" t="inlineStr">
        <is>
          <t xml:space="preserve">DF </t>
        </is>
      </c>
      <c r="S812" t="n">
        <v>1</v>
      </c>
      <c r="T812" t="n">
        <v>1</v>
      </c>
      <c r="U812" t="inlineStr">
        <is>
          <t>2003-09-09</t>
        </is>
      </c>
      <c r="V812" t="inlineStr">
        <is>
          <t>2003-09-09</t>
        </is>
      </c>
      <c r="W812" t="inlineStr">
        <is>
          <t>2003-09-09</t>
        </is>
      </c>
      <c r="X812" t="inlineStr">
        <is>
          <t>2003-09-09</t>
        </is>
      </c>
      <c r="Y812" t="n">
        <v>219</v>
      </c>
      <c r="Z812" t="n">
        <v>150</v>
      </c>
      <c r="AA812" t="n">
        <v>150</v>
      </c>
      <c r="AB812" t="n">
        <v>2</v>
      </c>
      <c r="AC812" t="n">
        <v>2</v>
      </c>
      <c r="AD812" t="n">
        <v>7</v>
      </c>
      <c r="AE812" t="n">
        <v>7</v>
      </c>
      <c r="AF812" t="n">
        <v>3</v>
      </c>
      <c r="AG812" t="n">
        <v>3</v>
      </c>
      <c r="AH812" t="n">
        <v>1</v>
      </c>
      <c r="AI812" t="n">
        <v>1</v>
      </c>
      <c r="AJ812" t="n">
        <v>5</v>
      </c>
      <c r="AK812" t="n">
        <v>5</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HYPERLINK("https://creighton-primo.hosted.exlibrisgroup.com/primo-explore/search?tab=default_tab&amp;search_scope=EVERYTHING&amp;vid=01CRU&amp;lang=en_US&amp;offset=0&amp;query=any,contains,991004107389702656","Catalog Record")</f>
        <v/>
      </c>
      <c r="AT812">
        <f>HYPERLINK("http://www.worldcat.org/oclc/2213505","WorldCat Record")</f>
        <v/>
      </c>
      <c r="AU812" t="inlineStr">
        <is>
          <t>4007248:eng</t>
        </is>
      </c>
      <c r="AV812" t="inlineStr">
        <is>
          <t>2213505</t>
        </is>
      </c>
      <c r="AW812" t="inlineStr">
        <is>
          <t>991004107389702656</t>
        </is>
      </c>
      <c r="AX812" t="inlineStr">
        <is>
          <t>991004107389702656</t>
        </is>
      </c>
      <c r="AY812" t="inlineStr">
        <is>
          <t>2256166190002656</t>
        </is>
      </c>
      <c r="AZ812" t="inlineStr">
        <is>
          <t>BOOK</t>
        </is>
      </c>
      <c r="BC812" t="inlineStr">
        <is>
          <t>32285004780564</t>
        </is>
      </c>
      <c r="BD812" t="inlineStr">
        <is>
          <t>893519247</t>
        </is>
      </c>
    </row>
    <row r="813">
      <c r="A813" t="inlineStr">
        <is>
          <t>No</t>
        </is>
      </c>
      <c r="B813" t="inlineStr">
        <is>
          <t>DF287.A23 A52 no. 17</t>
        </is>
      </c>
      <c r="C813" t="inlineStr">
        <is>
          <t>0                      DF 0287000A  23                 A  52                                no. 17</t>
        </is>
      </c>
      <c r="D813" t="inlineStr">
        <is>
          <t>Socrates in the Agora / [prepared by Mabel L. Lang].</t>
        </is>
      </c>
      <c r="E813" t="inlineStr">
        <is>
          <t>no. 17*</t>
        </is>
      </c>
      <c r="F813" t="inlineStr">
        <is>
          <t>No</t>
        </is>
      </c>
      <c r="G813" t="inlineStr">
        <is>
          <t>1</t>
        </is>
      </c>
      <c r="H813" t="inlineStr">
        <is>
          <t>No</t>
        </is>
      </c>
      <c r="I813" t="inlineStr">
        <is>
          <t>No</t>
        </is>
      </c>
      <c r="J813" t="inlineStr">
        <is>
          <t>0</t>
        </is>
      </c>
      <c r="K813" t="inlineStr">
        <is>
          <t>Lang, Mabel L., 1917-2010.</t>
        </is>
      </c>
      <c r="L813" t="inlineStr">
        <is>
          <t>Princeton, N.J. : American School of Classical Studies at Athens, 1978.</t>
        </is>
      </c>
      <c r="M813" t="inlineStr">
        <is>
          <t>1978</t>
        </is>
      </c>
      <c r="O813" t="inlineStr">
        <is>
          <t>eng</t>
        </is>
      </c>
      <c r="P813" t="inlineStr">
        <is>
          <t>nju</t>
        </is>
      </c>
      <c r="Q813" t="inlineStr">
        <is>
          <t>Excavations of the Athenian Agora. Picture book ; no. 17</t>
        </is>
      </c>
      <c r="R813" t="inlineStr">
        <is>
          <t xml:space="preserve">DF </t>
        </is>
      </c>
      <c r="S813" t="n">
        <v>1</v>
      </c>
      <c r="T813" t="n">
        <v>1</v>
      </c>
      <c r="U813" t="inlineStr">
        <is>
          <t>2003-09-09</t>
        </is>
      </c>
      <c r="V813" t="inlineStr">
        <is>
          <t>2003-09-09</t>
        </is>
      </c>
      <c r="W813" t="inlineStr">
        <is>
          <t>2003-09-09</t>
        </is>
      </c>
      <c r="X813" t="inlineStr">
        <is>
          <t>2003-09-09</t>
        </is>
      </c>
      <c r="Y813" t="n">
        <v>261</v>
      </c>
      <c r="Z813" t="n">
        <v>172</v>
      </c>
      <c r="AA813" t="n">
        <v>172</v>
      </c>
      <c r="AB813" t="n">
        <v>2</v>
      </c>
      <c r="AC813" t="n">
        <v>2</v>
      </c>
      <c r="AD813" t="n">
        <v>10</v>
      </c>
      <c r="AE813" t="n">
        <v>10</v>
      </c>
      <c r="AF813" t="n">
        <v>4</v>
      </c>
      <c r="AG813" t="n">
        <v>4</v>
      </c>
      <c r="AH813" t="n">
        <v>0</v>
      </c>
      <c r="AI813" t="n">
        <v>0</v>
      </c>
      <c r="AJ813" t="n">
        <v>8</v>
      </c>
      <c r="AK813" t="n">
        <v>8</v>
      </c>
      <c r="AL813" t="n">
        <v>1</v>
      </c>
      <c r="AM813" t="n">
        <v>1</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HYPERLINK("https://creighton-primo.hosted.exlibrisgroup.com/primo-explore/search?tab=default_tab&amp;search_scope=EVERYTHING&amp;vid=01CRU&amp;lang=en_US&amp;offset=0&amp;query=any,contains,991004107249702656","Catalog Record")</f>
        <v/>
      </c>
      <c r="AT813">
        <f>HYPERLINK("http://www.worldcat.org/oclc/3925542","WorldCat Record")</f>
        <v/>
      </c>
      <c r="AU813" t="inlineStr">
        <is>
          <t>355174608:eng</t>
        </is>
      </c>
      <c r="AV813" t="inlineStr">
        <is>
          <t>3925542</t>
        </is>
      </c>
      <c r="AW813" t="inlineStr">
        <is>
          <t>991004107249702656</t>
        </is>
      </c>
      <c r="AX813" t="inlineStr">
        <is>
          <t>991004107249702656</t>
        </is>
      </c>
      <c r="AY813" t="inlineStr">
        <is>
          <t>2263210990002656</t>
        </is>
      </c>
      <c r="AZ813" t="inlineStr">
        <is>
          <t>BOOK</t>
        </is>
      </c>
      <c r="BB813" t="inlineStr">
        <is>
          <t>9780876616178</t>
        </is>
      </c>
      <c r="BC813" t="inlineStr">
        <is>
          <t>32285004780572</t>
        </is>
      </c>
      <c r="BD813" t="inlineStr">
        <is>
          <t>893693527</t>
        </is>
      </c>
    </row>
    <row r="814">
      <c r="A814" t="inlineStr">
        <is>
          <t>No</t>
        </is>
      </c>
      <c r="B814" t="inlineStr">
        <is>
          <t>DF287.A23 A52 no. 18</t>
        </is>
      </c>
      <c r="C814" t="inlineStr">
        <is>
          <t>0                      DF 0287000A  23                 A  52                                no. 18</t>
        </is>
      </c>
      <c r="D814" t="inlineStr">
        <is>
          <t>Mediaeval and modern coins in the Athenian Agora.</t>
        </is>
      </c>
      <c r="E814" t="inlineStr">
        <is>
          <t>no. 18*</t>
        </is>
      </c>
      <c r="F814" t="inlineStr">
        <is>
          <t>No</t>
        </is>
      </c>
      <c r="G814" t="inlineStr">
        <is>
          <t>1</t>
        </is>
      </c>
      <c r="H814" t="inlineStr">
        <is>
          <t>No</t>
        </is>
      </c>
      <c r="I814" t="inlineStr">
        <is>
          <t>No</t>
        </is>
      </c>
      <c r="J814" t="inlineStr">
        <is>
          <t>0</t>
        </is>
      </c>
      <c r="K814" t="inlineStr">
        <is>
          <t>Kleiner, Fred S.</t>
        </is>
      </c>
      <c r="L814" t="inlineStr">
        <is>
          <t>Princeton, N.J. : American School of Classical Studies at Athens, 1978.</t>
        </is>
      </c>
      <c r="M814" t="inlineStr">
        <is>
          <t>1978</t>
        </is>
      </c>
      <c r="O814" t="inlineStr">
        <is>
          <t>eng</t>
        </is>
      </c>
      <c r="P814" t="inlineStr">
        <is>
          <t>nju</t>
        </is>
      </c>
      <c r="Q814" t="inlineStr">
        <is>
          <t>Excavations of the Athenian Agora. Picture book ; no. 18</t>
        </is>
      </c>
      <c r="R814" t="inlineStr">
        <is>
          <t xml:space="preserve">DF </t>
        </is>
      </c>
      <c r="S814" t="n">
        <v>1</v>
      </c>
      <c r="T814" t="n">
        <v>1</v>
      </c>
      <c r="U814" t="inlineStr">
        <is>
          <t>2003-09-09</t>
        </is>
      </c>
      <c r="V814" t="inlineStr">
        <is>
          <t>2003-09-09</t>
        </is>
      </c>
      <c r="W814" t="inlineStr">
        <is>
          <t>2003-09-09</t>
        </is>
      </c>
      <c r="X814" t="inlineStr">
        <is>
          <t>2003-09-09</t>
        </is>
      </c>
      <c r="Y814" t="n">
        <v>181</v>
      </c>
      <c r="Z814" t="n">
        <v>122</v>
      </c>
      <c r="AA814" t="n">
        <v>123</v>
      </c>
      <c r="AB814" t="n">
        <v>2</v>
      </c>
      <c r="AC814" t="n">
        <v>2</v>
      </c>
      <c r="AD814" t="n">
        <v>6</v>
      </c>
      <c r="AE814" t="n">
        <v>6</v>
      </c>
      <c r="AF814" t="n">
        <v>3</v>
      </c>
      <c r="AG814" t="n">
        <v>3</v>
      </c>
      <c r="AH814" t="n">
        <v>0</v>
      </c>
      <c r="AI814" t="n">
        <v>0</v>
      </c>
      <c r="AJ814" t="n">
        <v>5</v>
      </c>
      <c r="AK814" t="n">
        <v>5</v>
      </c>
      <c r="AL814" t="n">
        <v>1</v>
      </c>
      <c r="AM814" t="n">
        <v>1</v>
      </c>
      <c r="AN814" t="n">
        <v>0</v>
      </c>
      <c r="AO814" t="n">
        <v>0</v>
      </c>
      <c r="AP814" t="inlineStr">
        <is>
          <t>No</t>
        </is>
      </c>
      <c r="AQ814" t="inlineStr">
        <is>
          <t>Yes</t>
        </is>
      </c>
      <c r="AR814">
        <f>HYPERLINK("http://catalog.hathitrust.org/Record/003849148","HathiTrust Record")</f>
        <v/>
      </c>
      <c r="AS814">
        <f>HYPERLINK("https://creighton-primo.hosted.exlibrisgroup.com/primo-explore/search?tab=default_tab&amp;search_scope=EVERYTHING&amp;vid=01CRU&amp;lang=en_US&amp;offset=0&amp;query=any,contains,991004107189702656","Catalog Record")</f>
        <v/>
      </c>
      <c r="AT814">
        <f>HYPERLINK("http://www.worldcat.org/oclc/5222140","WorldCat Record")</f>
        <v/>
      </c>
      <c r="AU814" t="inlineStr">
        <is>
          <t>180448908:eng</t>
        </is>
      </c>
      <c r="AV814" t="inlineStr">
        <is>
          <t>5222140</t>
        </is>
      </c>
      <c r="AW814" t="inlineStr">
        <is>
          <t>991004107189702656</t>
        </is>
      </c>
      <c r="AX814" t="inlineStr">
        <is>
          <t>991004107189702656</t>
        </is>
      </c>
      <c r="AY814" t="inlineStr">
        <is>
          <t>2270887940002656</t>
        </is>
      </c>
      <c r="AZ814" t="inlineStr">
        <is>
          <t>BOOK</t>
        </is>
      </c>
      <c r="BC814" t="inlineStr">
        <is>
          <t>32285004780580</t>
        </is>
      </c>
      <c r="BD814" t="inlineStr">
        <is>
          <t>893417238</t>
        </is>
      </c>
    </row>
    <row r="815">
      <c r="A815" t="inlineStr">
        <is>
          <t>No</t>
        </is>
      </c>
      <c r="B815" t="inlineStr">
        <is>
          <t>DF287.A23 A52 no. 2</t>
        </is>
      </c>
      <c r="C815" t="inlineStr">
        <is>
          <t>0                      DF 0287000A  23                 A  52                                no. 2</t>
        </is>
      </c>
      <c r="D815" t="inlineStr">
        <is>
          <t>The stoa of Attalos II in Athens / [prepared by Homer A. Thompson ; photography by Alison Frantz].</t>
        </is>
      </c>
      <c r="E815" t="inlineStr">
        <is>
          <t>no. 2*</t>
        </is>
      </c>
      <c r="F815" t="inlineStr">
        <is>
          <t>No</t>
        </is>
      </c>
      <c r="G815" t="inlineStr">
        <is>
          <t>1</t>
        </is>
      </c>
      <c r="H815" t="inlineStr">
        <is>
          <t>No</t>
        </is>
      </c>
      <c r="I815" t="inlineStr">
        <is>
          <t>No</t>
        </is>
      </c>
      <c r="J815" t="inlineStr">
        <is>
          <t>0</t>
        </is>
      </c>
      <c r="K815" t="inlineStr">
        <is>
          <t>Thompson, Homer A.</t>
        </is>
      </c>
      <c r="L815" t="inlineStr">
        <is>
          <t>Princeton, N.J. : American School of Classical Studies at Athens, 1992.</t>
        </is>
      </c>
      <c r="M815" t="inlineStr">
        <is>
          <t>1992</t>
        </is>
      </c>
      <c r="O815" t="inlineStr">
        <is>
          <t>eng</t>
        </is>
      </c>
      <c r="P815" t="inlineStr">
        <is>
          <t>nju</t>
        </is>
      </c>
      <c r="Q815" t="inlineStr">
        <is>
          <t>Excavations of the Athenian Agora. Picture book ; no. 2</t>
        </is>
      </c>
      <c r="R815" t="inlineStr">
        <is>
          <t xml:space="preserve">DF </t>
        </is>
      </c>
      <c r="S815" t="n">
        <v>1</v>
      </c>
      <c r="T815" t="n">
        <v>1</v>
      </c>
      <c r="U815" t="inlineStr">
        <is>
          <t>2010-09-30</t>
        </is>
      </c>
      <c r="V815" t="inlineStr">
        <is>
          <t>2010-09-30</t>
        </is>
      </c>
      <c r="W815" t="inlineStr">
        <is>
          <t>2003-09-09</t>
        </is>
      </c>
      <c r="X815" t="inlineStr">
        <is>
          <t>2003-09-09</t>
        </is>
      </c>
      <c r="Y815" t="n">
        <v>33</v>
      </c>
      <c r="Z815" t="n">
        <v>29</v>
      </c>
      <c r="AA815" t="n">
        <v>29</v>
      </c>
      <c r="AB815" t="n">
        <v>1</v>
      </c>
      <c r="AC815" t="n">
        <v>1</v>
      </c>
      <c r="AD815" t="n">
        <v>2</v>
      </c>
      <c r="AE815" t="n">
        <v>2</v>
      </c>
      <c r="AF815" t="n">
        <v>1</v>
      </c>
      <c r="AG815" t="n">
        <v>1</v>
      </c>
      <c r="AH815" t="n">
        <v>0</v>
      </c>
      <c r="AI815" t="n">
        <v>0</v>
      </c>
      <c r="AJ815" t="n">
        <v>1</v>
      </c>
      <c r="AK815" t="n">
        <v>1</v>
      </c>
      <c r="AL815" t="n">
        <v>0</v>
      </c>
      <c r="AM815" t="n">
        <v>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HYPERLINK("https://creighton-primo.hosted.exlibrisgroup.com/primo-explore/search?tab=default_tab&amp;search_scope=EVERYTHING&amp;vid=01CRU&amp;lang=en_US&amp;offset=0&amp;query=any,contains,991004107279702656","Catalog Record")</f>
        <v/>
      </c>
      <c r="AT815">
        <f>HYPERLINK("http://www.worldcat.org/oclc/26614575","WorldCat Record")</f>
        <v/>
      </c>
      <c r="AU815" t="inlineStr">
        <is>
          <t>5611269921:eng</t>
        </is>
      </c>
      <c r="AV815" t="inlineStr">
        <is>
          <t>26614575</t>
        </is>
      </c>
      <c r="AW815" t="inlineStr">
        <is>
          <t>991004107279702656</t>
        </is>
      </c>
      <c r="AX815" t="inlineStr">
        <is>
          <t>991004107279702656</t>
        </is>
      </c>
      <c r="AY815" t="inlineStr">
        <is>
          <t>2269107190002656</t>
        </is>
      </c>
      <c r="AZ815" t="inlineStr">
        <is>
          <t>BOOK</t>
        </is>
      </c>
      <c r="BB815" t="inlineStr">
        <is>
          <t>9780876616345</t>
        </is>
      </c>
      <c r="BC815" t="inlineStr">
        <is>
          <t>32285004780531</t>
        </is>
      </c>
      <c r="BD815" t="inlineStr">
        <is>
          <t>893417223</t>
        </is>
      </c>
    </row>
    <row r="816">
      <c r="A816" t="inlineStr">
        <is>
          <t>No</t>
        </is>
      </c>
      <c r="B816" t="inlineStr">
        <is>
          <t>DF287.A23 A52 no. 21</t>
        </is>
      </c>
      <c r="C816" t="inlineStr">
        <is>
          <t>0                      DF 0287000A  23                 A  52                                no. 21</t>
        </is>
      </c>
      <c r="D816" t="inlineStr">
        <is>
          <t>Ancient Athenian building methods / prepared by John McK. Camp II and William B. Dinsmoor, Jr.</t>
        </is>
      </c>
      <c r="E816" t="inlineStr">
        <is>
          <t>no. 21*</t>
        </is>
      </c>
      <c r="F816" t="inlineStr">
        <is>
          <t>No</t>
        </is>
      </c>
      <c r="G816" t="inlineStr">
        <is>
          <t>1</t>
        </is>
      </c>
      <c r="H816" t="inlineStr">
        <is>
          <t>No</t>
        </is>
      </c>
      <c r="I816" t="inlineStr">
        <is>
          <t>No</t>
        </is>
      </c>
      <c r="J816" t="inlineStr">
        <is>
          <t>0</t>
        </is>
      </c>
      <c r="K816" t="inlineStr">
        <is>
          <t>Camp, John McK., II, 1946-</t>
        </is>
      </c>
      <c r="L816" t="inlineStr">
        <is>
          <t>[Athens] : American School of Classical Studies at Athens, 1984.</t>
        </is>
      </c>
      <c r="M816" t="inlineStr">
        <is>
          <t>1984</t>
        </is>
      </c>
      <c r="O816" t="inlineStr">
        <is>
          <t>eng</t>
        </is>
      </c>
      <c r="P816" t="inlineStr">
        <is>
          <t xml:space="preserve">gr </t>
        </is>
      </c>
      <c r="Q816" t="inlineStr">
        <is>
          <t>Excavations of the Athenian Agora. Picture book ; no. 21</t>
        </is>
      </c>
      <c r="R816" t="inlineStr">
        <is>
          <t xml:space="preserve">DF </t>
        </is>
      </c>
      <c r="S816" t="n">
        <v>2</v>
      </c>
      <c r="T816" t="n">
        <v>2</v>
      </c>
      <c r="U816" t="inlineStr">
        <is>
          <t>2009-02-02</t>
        </is>
      </c>
      <c r="V816" t="inlineStr">
        <is>
          <t>2009-02-02</t>
        </is>
      </c>
      <c r="W816" t="inlineStr">
        <is>
          <t>2003-08-28</t>
        </is>
      </c>
      <c r="X816" t="inlineStr">
        <is>
          <t>2003-08-28</t>
        </is>
      </c>
      <c r="Y816" t="n">
        <v>215</v>
      </c>
      <c r="Z816" t="n">
        <v>160</v>
      </c>
      <c r="AA816" t="n">
        <v>178</v>
      </c>
      <c r="AB816" t="n">
        <v>2</v>
      </c>
      <c r="AC816" t="n">
        <v>2</v>
      </c>
      <c r="AD816" t="n">
        <v>5</v>
      </c>
      <c r="AE816" t="n">
        <v>5</v>
      </c>
      <c r="AF816" t="n">
        <v>3</v>
      </c>
      <c r="AG816" t="n">
        <v>3</v>
      </c>
      <c r="AH816" t="n">
        <v>0</v>
      </c>
      <c r="AI816" t="n">
        <v>0</v>
      </c>
      <c r="AJ816" t="n">
        <v>4</v>
      </c>
      <c r="AK816" t="n">
        <v>4</v>
      </c>
      <c r="AL816" t="n">
        <v>1</v>
      </c>
      <c r="AM816" t="n">
        <v>1</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HYPERLINK("https://creighton-primo.hosted.exlibrisgroup.com/primo-explore/search?tab=default_tab&amp;search_scope=EVERYTHING&amp;vid=01CRU&amp;lang=en_US&amp;offset=0&amp;query=any,contains,991004110139702656","Catalog Record")</f>
        <v/>
      </c>
      <c r="AT816">
        <f>HYPERLINK("http://www.worldcat.org/oclc/11573596","WorldCat Record")</f>
        <v/>
      </c>
      <c r="AU816" t="inlineStr">
        <is>
          <t>4466380:eng</t>
        </is>
      </c>
      <c r="AV816" t="inlineStr">
        <is>
          <t>11573596</t>
        </is>
      </c>
      <c r="AW816" t="inlineStr">
        <is>
          <t>991004110139702656</t>
        </is>
      </c>
      <c r="AX816" t="inlineStr">
        <is>
          <t>991004110139702656</t>
        </is>
      </c>
      <c r="AY816" t="inlineStr">
        <is>
          <t>2263059990002656</t>
        </is>
      </c>
      <c r="AZ816" t="inlineStr">
        <is>
          <t>BOOK</t>
        </is>
      </c>
      <c r="BB816" t="inlineStr">
        <is>
          <t>9780876616260</t>
        </is>
      </c>
      <c r="BC816" t="inlineStr">
        <is>
          <t>32285004780325</t>
        </is>
      </c>
      <c r="BD816" t="inlineStr">
        <is>
          <t>893512819</t>
        </is>
      </c>
    </row>
    <row r="817">
      <c r="A817" t="inlineStr">
        <is>
          <t>No</t>
        </is>
      </c>
      <c r="B817" t="inlineStr">
        <is>
          <t>DF287.A23 A52 no. 23</t>
        </is>
      </c>
      <c r="C817" t="inlineStr">
        <is>
          <t>0                      DF 0287000A  23                 A  52                                no. 23</t>
        </is>
      </c>
      <c r="D817" t="inlineStr">
        <is>
          <t>Life, death, and litigation in the Athenian Agora / prepared by Mabel Lang.</t>
        </is>
      </c>
      <c r="E817" t="inlineStr">
        <is>
          <t>no. 23*</t>
        </is>
      </c>
      <c r="F817" t="inlineStr">
        <is>
          <t>No</t>
        </is>
      </c>
      <c r="G817" t="inlineStr">
        <is>
          <t>1</t>
        </is>
      </c>
      <c r="H817" t="inlineStr">
        <is>
          <t>No</t>
        </is>
      </c>
      <c r="I817" t="inlineStr">
        <is>
          <t>No</t>
        </is>
      </c>
      <c r="J817" t="inlineStr">
        <is>
          <t>0</t>
        </is>
      </c>
      <c r="K817" t="inlineStr">
        <is>
          <t>Lang, Mabel L., 1917-2010.</t>
        </is>
      </c>
      <c r="L817" t="inlineStr">
        <is>
          <t>Princeton, N.J. : American School of Classical Studies at Athens, 1994.</t>
        </is>
      </c>
      <c r="M817" t="inlineStr">
        <is>
          <t>1994</t>
        </is>
      </c>
      <c r="O817" t="inlineStr">
        <is>
          <t>eng</t>
        </is>
      </c>
      <c r="P817" t="inlineStr">
        <is>
          <t>nju</t>
        </is>
      </c>
      <c r="Q817" t="inlineStr">
        <is>
          <t>Excavations in the Athenian Agora. Picture book ; no. 23</t>
        </is>
      </c>
      <c r="R817" t="inlineStr">
        <is>
          <t xml:space="preserve">DF </t>
        </is>
      </c>
      <c r="S817" t="n">
        <v>1</v>
      </c>
      <c r="T817" t="n">
        <v>1</v>
      </c>
      <c r="U817" t="inlineStr">
        <is>
          <t>2003-09-09</t>
        </is>
      </c>
      <c r="V817" t="inlineStr">
        <is>
          <t>2003-09-09</t>
        </is>
      </c>
      <c r="W817" t="inlineStr">
        <is>
          <t>2003-09-09</t>
        </is>
      </c>
      <c r="X817" t="inlineStr">
        <is>
          <t>2003-09-09</t>
        </is>
      </c>
      <c r="Y817" t="n">
        <v>151</v>
      </c>
      <c r="Z817" t="n">
        <v>111</v>
      </c>
      <c r="AA817" t="n">
        <v>116</v>
      </c>
      <c r="AB817" t="n">
        <v>2</v>
      </c>
      <c r="AC817" t="n">
        <v>2</v>
      </c>
      <c r="AD817" t="n">
        <v>6</v>
      </c>
      <c r="AE817" t="n">
        <v>6</v>
      </c>
      <c r="AF817" t="n">
        <v>3</v>
      </c>
      <c r="AG817" t="n">
        <v>3</v>
      </c>
      <c r="AH817" t="n">
        <v>0</v>
      </c>
      <c r="AI817" t="n">
        <v>0</v>
      </c>
      <c r="AJ817" t="n">
        <v>3</v>
      </c>
      <c r="AK817" t="n">
        <v>3</v>
      </c>
      <c r="AL817" t="n">
        <v>1</v>
      </c>
      <c r="AM817" t="n">
        <v>1</v>
      </c>
      <c r="AN817" t="n">
        <v>1</v>
      </c>
      <c r="AO817" t="n">
        <v>1</v>
      </c>
      <c r="AP817" t="inlineStr">
        <is>
          <t>No</t>
        </is>
      </c>
      <c r="AQ817" t="inlineStr">
        <is>
          <t>Yes</t>
        </is>
      </c>
      <c r="AR817">
        <f>HYPERLINK("http://catalog.hathitrust.org/Record/003895818","HathiTrust Record")</f>
        <v/>
      </c>
      <c r="AS817">
        <f>HYPERLINK("https://creighton-primo.hosted.exlibrisgroup.com/primo-explore/search?tab=default_tab&amp;search_scope=EVERYTHING&amp;vid=01CRU&amp;lang=en_US&amp;offset=0&amp;query=any,contains,991004107419702656","Catalog Record")</f>
        <v/>
      </c>
      <c r="AT817">
        <f>HYPERLINK("http://www.worldcat.org/oclc/30688196","WorldCat Record")</f>
        <v/>
      </c>
      <c r="AU817" t="inlineStr">
        <is>
          <t>351536503:eng</t>
        </is>
      </c>
      <c r="AV817" t="inlineStr">
        <is>
          <t>30688196</t>
        </is>
      </c>
      <c r="AW817" t="inlineStr">
        <is>
          <t>991004107419702656</t>
        </is>
      </c>
      <c r="AX817" t="inlineStr">
        <is>
          <t>991004107419702656</t>
        </is>
      </c>
      <c r="AY817" t="inlineStr">
        <is>
          <t>2255203060002656</t>
        </is>
      </c>
      <c r="AZ817" t="inlineStr">
        <is>
          <t>BOOK</t>
        </is>
      </c>
      <c r="BC817" t="inlineStr">
        <is>
          <t>32285004780598</t>
        </is>
      </c>
      <c r="BD817" t="inlineStr">
        <is>
          <t>893894556</t>
        </is>
      </c>
    </row>
    <row r="818">
      <c r="A818" t="inlineStr">
        <is>
          <t>No</t>
        </is>
      </c>
      <c r="B818" t="inlineStr">
        <is>
          <t>DF287.A23 A52 no. 26</t>
        </is>
      </c>
      <c r="C818" t="inlineStr">
        <is>
          <t>0                      DF 0287000A  23                 A  52                                no. 26</t>
        </is>
      </c>
      <c r="D818" t="inlineStr">
        <is>
          <t>Women in the Athenian Agora / Susan I. Rotroff and Robert D. Lamberton.</t>
        </is>
      </c>
      <c r="E818" t="inlineStr">
        <is>
          <t>no. 26*</t>
        </is>
      </c>
      <c r="F818" t="inlineStr">
        <is>
          <t>No</t>
        </is>
      </c>
      <c r="G818" t="inlineStr">
        <is>
          <t>1</t>
        </is>
      </c>
      <c r="H818" t="inlineStr">
        <is>
          <t>No</t>
        </is>
      </c>
      <c r="I818" t="inlineStr">
        <is>
          <t>No</t>
        </is>
      </c>
      <c r="J818" t="inlineStr">
        <is>
          <t>0</t>
        </is>
      </c>
      <c r="K818" t="inlineStr">
        <is>
          <t>Rotroff, Susan I., 1947-</t>
        </is>
      </c>
      <c r="L818" t="inlineStr">
        <is>
          <t>Athens : American School of Classical Studies at Athens, 2006.</t>
        </is>
      </c>
      <c r="M818" t="inlineStr">
        <is>
          <t>2006</t>
        </is>
      </c>
      <c r="O818" t="inlineStr">
        <is>
          <t>eng</t>
        </is>
      </c>
      <c r="P818" t="inlineStr">
        <is>
          <t xml:space="preserve">gr </t>
        </is>
      </c>
      <c r="Q818" t="inlineStr">
        <is>
          <t>Excavations of the Athenian Agora picture book ; 26</t>
        </is>
      </c>
      <c r="R818" t="inlineStr">
        <is>
          <t xml:space="preserve">DF </t>
        </is>
      </c>
      <c r="S818" t="n">
        <v>2</v>
      </c>
      <c r="T818" t="n">
        <v>2</v>
      </c>
      <c r="U818" t="inlineStr">
        <is>
          <t>2007-05-09</t>
        </is>
      </c>
      <c r="V818" t="inlineStr">
        <is>
          <t>2007-05-09</t>
        </is>
      </c>
      <c r="W818" t="inlineStr">
        <is>
          <t>2007-05-09</t>
        </is>
      </c>
      <c r="X818" t="inlineStr">
        <is>
          <t>2007-05-09</t>
        </is>
      </c>
      <c r="Y818" t="n">
        <v>160</v>
      </c>
      <c r="Z818" t="n">
        <v>104</v>
      </c>
      <c r="AA818" t="n">
        <v>105</v>
      </c>
      <c r="AB818" t="n">
        <v>2</v>
      </c>
      <c r="AC818" t="n">
        <v>2</v>
      </c>
      <c r="AD818" t="n">
        <v>5</v>
      </c>
      <c r="AE818" t="n">
        <v>5</v>
      </c>
      <c r="AF818" t="n">
        <v>2</v>
      </c>
      <c r="AG818" t="n">
        <v>2</v>
      </c>
      <c r="AH818" t="n">
        <v>0</v>
      </c>
      <c r="AI818" t="n">
        <v>0</v>
      </c>
      <c r="AJ818" t="n">
        <v>4</v>
      </c>
      <c r="AK818" t="n">
        <v>4</v>
      </c>
      <c r="AL818" t="n">
        <v>1</v>
      </c>
      <c r="AM818" t="n">
        <v>1</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HYPERLINK("https://creighton-primo.hosted.exlibrisgroup.com/primo-explore/search?tab=default_tab&amp;search_scope=EVERYTHING&amp;vid=01CRU&amp;lang=en_US&amp;offset=0&amp;query=any,contains,991005070069702656","Catalog Record")</f>
        <v/>
      </c>
      <c r="AT818">
        <f>HYPERLINK("http://www.worldcat.org/oclc/60668217","WorldCat Record")</f>
        <v/>
      </c>
      <c r="AU818" t="inlineStr">
        <is>
          <t>10678221486:eng</t>
        </is>
      </c>
      <c r="AV818" t="inlineStr">
        <is>
          <t>60668217</t>
        </is>
      </c>
      <c r="AW818" t="inlineStr">
        <is>
          <t>991005070069702656</t>
        </is>
      </c>
      <c r="AX818" t="inlineStr">
        <is>
          <t>991005070069702656</t>
        </is>
      </c>
      <c r="AY818" t="inlineStr">
        <is>
          <t>2266778380002656</t>
        </is>
      </c>
      <c r="AZ818" t="inlineStr">
        <is>
          <t>BOOK</t>
        </is>
      </c>
      <c r="BB818" t="inlineStr">
        <is>
          <t>9780876616444</t>
        </is>
      </c>
      <c r="BC818" t="inlineStr">
        <is>
          <t>32285005311625</t>
        </is>
      </c>
      <c r="BD818" t="inlineStr">
        <is>
          <t>893254404</t>
        </is>
      </c>
    </row>
    <row r="819">
      <c r="A819" t="inlineStr">
        <is>
          <t>No</t>
        </is>
      </c>
      <c r="B819" t="inlineStr">
        <is>
          <t>DF287.A23 A52 no. 3</t>
        </is>
      </c>
      <c r="C819" t="inlineStr">
        <is>
          <t>0                      DF 0287000A  23                 A  52                                no. 3</t>
        </is>
      </c>
      <c r="D819" t="inlineStr">
        <is>
          <t>Miniature sculpture from the Athenian Agora / [by Dorothy Burr Thompson ; photographs by Alison Frantz].</t>
        </is>
      </c>
      <c r="E819" t="inlineStr">
        <is>
          <t>no. 3*</t>
        </is>
      </c>
      <c r="F819" t="inlineStr">
        <is>
          <t>No</t>
        </is>
      </c>
      <c r="G819" t="inlineStr">
        <is>
          <t>1</t>
        </is>
      </c>
      <c r="H819" t="inlineStr">
        <is>
          <t>No</t>
        </is>
      </c>
      <c r="I819" t="inlineStr">
        <is>
          <t>No</t>
        </is>
      </c>
      <c r="J819" t="inlineStr">
        <is>
          <t>0</t>
        </is>
      </c>
      <c r="K819" t="inlineStr">
        <is>
          <t>Thompson, Dorothy Burr, 1900-2001.</t>
        </is>
      </c>
      <c r="L819" t="inlineStr">
        <is>
          <t>Princeton, N.J. : American School of Classical Studies at Athens, 1959.</t>
        </is>
      </c>
      <c r="M819" t="inlineStr">
        <is>
          <t>1959</t>
        </is>
      </c>
      <c r="O819" t="inlineStr">
        <is>
          <t>eng</t>
        </is>
      </c>
      <c r="P819" t="inlineStr">
        <is>
          <t>nju</t>
        </is>
      </c>
      <c r="Q819" t="inlineStr">
        <is>
          <t>Excavations of the Athenian Agora. Picture book ; no. 3</t>
        </is>
      </c>
      <c r="R819" t="inlineStr">
        <is>
          <t xml:space="preserve">DF </t>
        </is>
      </c>
      <c r="S819" t="n">
        <v>1</v>
      </c>
      <c r="T819" t="n">
        <v>1</v>
      </c>
      <c r="U819" t="inlineStr">
        <is>
          <t>2003-08-28</t>
        </is>
      </c>
      <c r="V819" t="inlineStr">
        <is>
          <t>2003-08-28</t>
        </is>
      </c>
      <c r="W819" t="inlineStr">
        <is>
          <t>2003-08-28</t>
        </is>
      </c>
      <c r="X819" t="inlineStr">
        <is>
          <t>2003-08-28</t>
        </is>
      </c>
      <c r="Y819" t="n">
        <v>293</v>
      </c>
      <c r="Z819" t="n">
        <v>200</v>
      </c>
      <c r="AA819" t="n">
        <v>209</v>
      </c>
      <c r="AB819" t="n">
        <v>2</v>
      </c>
      <c r="AC819" t="n">
        <v>2</v>
      </c>
      <c r="AD819" t="n">
        <v>8</v>
      </c>
      <c r="AE819" t="n">
        <v>8</v>
      </c>
      <c r="AF819" t="n">
        <v>3</v>
      </c>
      <c r="AG819" t="n">
        <v>3</v>
      </c>
      <c r="AH819" t="n">
        <v>0</v>
      </c>
      <c r="AI819" t="n">
        <v>0</v>
      </c>
      <c r="AJ819" t="n">
        <v>6</v>
      </c>
      <c r="AK819" t="n">
        <v>6</v>
      </c>
      <c r="AL819" t="n">
        <v>1</v>
      </c>
      <c r="AM819" t="n">
        <v>1</v>
      </c>
      <c r="AN819" t="n">
        <v>0</v>
      </c>
      <c r="AO819" t="n">
        <v>0</v>
      </c>
      <c r="AP819" t="inlineStr">
        <is>
          <t>Yes</t>
        </is>
      </c>
      <c r="AQ819" t="inlineStr">
        <is>
          <t>No</t>
        </is>
      </c>
      <c r="AR819">
        <f>HYPERLINK("http://catalog.hathitrust.org/Record/003854352","HathiTrust Record")</f>
        <v/>
      </c>
      <c r="AS819">
        <f>HYPERLINK("https://creighton-primo.hosted.exlibrisgroup.com/primo-explore/search?tab=default_tab&amp;search_scope=EVERYTHING&amp;vid=01CRU&amp;lang=en_US&amp;offset=0&amp;query=any,contains,991004110159702656","Catalog Record")</f>
        <v/>
      </c>
      <c r="AT819">
        <f>HYPERLINK("http://www.worldcat.org/oclc/666637","WorldCat Record")</f>
        <v/>
      </c>
      <c r="AU819" t="inlineStr">
        <is>
          <t>149543460:eng</t>
        </is>
      </c>
      <c r="AV819" t="inlineStr">
        <is>
          <t>666637</t>
        </is>
      </c>
      <c r="AW819" t="inlineStr">
        <is>
          <t>991004110159702656</t>
        </is>
      </c>
      <c r="AX819" t="inlineStr">
        <is>
          <t>991004110159702656</t>
        </is>
      </c>
      <c r="AY819" t="inlineStr">
        <is>
          <t>2271269000002656</t>
        </is>
      </c>
      <c r="AZ819" t="inlineStr">
        <is>
          <t>BOOK</t>
        </is>
      </c>
      <c r="BC819" t="inlineStr">
        <is>
          <t>32285004780333</t>
        </is>
      </c>
      <c r="BD819" t="inlineStr">
        <is>
          <t>893423393</t>
        </is>
      </c>
    </row>
    <row r="820">
      <c r="A820" t="inlineStr">
        <is>
          <t>No</t>
        </is>
      </c>
      <c r="B820" t="inlineStr">
        <is>
          <t>DF287.A23 A52 no. 5</t>
        </is>
      </c>
      <c r="C820" t="inlineStr">
        <is>
          <t>0                      DF 0287000A  23                 A  52                                no. 5</t>
        </is>
      </c>
      <c r="D820" t="inlineStr">
        <is>
          <t>Ancient portraits from the Athenian Agora / [prepared by Evelyn B. Harrison ; photographs by Alison Frantz].</t>
        </is>
      </c>
      <c r="E820" t="inlineStr">
        <is>
          <t>no. 5*</t>
        </is>
      </c>
      <c r="F820" t="inlineStr">
        <is>
          <t>No</t>
        </is>
      </c>
      <c r="G820" t="inlineStr">
        <is>
          <t>1</t>
        </is>
      </c>
      <c r="H820" t="inlineStr">
        <is>
          <t>No</t>
        </is>
      </c>
      <c r="I820" t="inlineStr">
        <is>
          <t>No</t>
        </is>
      </c>
      <c r="J820" t="inlineStr">
        <is>
          <t>0</t>
        </is>
      </c>
      <c r="K820" t="inlineStr">
        <is>
          <t>Harrison, Evelyn B. (Evelyn Byrd)</t>
        </is>
      </c>
      <c r="L820" t="inlineStr">
        <is>
          <t>Princeton, N.J. : American School of Classical Studies at Athens, 1960.</t>
        </is>
      </c>
      <c r="M820" t="inlineStr">
        <is>
          <t>1960</t>
        </is>
      </c>
      <c r="O820" t="inlineStr">
        <is>
          <t>eng</t>
        </is>
      </c>
      <c r="P820" t="inlineStr">
        <is>
          <t>nju</t>
        </is>
      </c>
      <c r="Q820" t="inlineStr">
        <is>
          <t>Excavations of the Athenian Agora. Picture book ; no. 5</t>
        </is>
      </c>
      <c r="R820" t="inlineStr">
        <is>
          <t xml:space="preserve">DF </t>
        </is>
      </c>
      <c r="S820" t="n">
        <v>1</v>
      </c>
      <c r="T820" t="n">
        <v>1</v>
      </c>
      <c r="U820" t="inlineStr">
        <is>
          <t>2003-09-09</t>
        </is>
      </c>
      <c r="V820" t="inlineStr">
        <is>
          <t>2003-09-09</t>
        </is>
      </c>
      <c r="W820" t="inlineStr">
        <is>
          <t>2003-09-09</t>
        </is>
      </c>
      <c r="X820" t="inlineStr">
        <is>
          <t>2003-09-09</t>
        </is>
      </c>
      <c r="Y820" t="n">
        <v>293</v>
      </c>
      <c r="Z820" t="n">
        <v>197</v>
      </c>
      <c r="AA820" t="n">
        <v>197</v>
      </c>
      <c r="AB820" t="n">
        <v>2</v>
      </c>
      <c r="AC820" t="n">
        <v>2</v>
      </c>
      <c r="AD820" t="n">
        <v>8</v>
      </c>
      <c r="AE820" t="n">
        <v>8</v>
      </c>
      <c r="AF820" t="n">
        <v>4</v>
      </c>
      <c r="AG820" t="n">
        <v>4</v>
      </c>
      <c r="AH820" t="n">
        <v>0</v>
      </c>
      <c r="AI820" t="n">
        <v>0</v>
      </c>
      <c r="AJ820" t="n">
        <v>6</v>
      </c>
      <c r="AK820" t="n">
        <v>6</v>
      </c>
      <c r="AL820" t="n">
        <v>1</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HYPERLINK("https://creighton-primo.hosted.exlibrisgroup.com/primo-explore/search?tab=default_tab&amp;search_scope=EVERYTHING&amp;vid=01CRU&amp;lang=en_US&amp;offset=0&amp;query=any,contains,991004107089702656","Catalog Record")</f>
        <v/>
      </c>
      <c r="AT820">
        <f>HYPERLINK("http://www.worldcat.org/oclc/423816","WorldCat Record")</f>
        <v/>
      </c>
      <c r="AU820" t="inlineStr">
        <is>
          <t>1513348:eng</t>
        </is>
      </c>
      <c r="AV820" t="inlineStr">
        <is>
          <t>423816</t>
        </is>
      </c>
      <c r="AW820" t="inlineStr">
        <is>
          <t>991004107089702656</t>
        </is>
      </c>
      <c r="AX820" t="inlineStr">
        <is>
          <t>991004107089702656</t>
        </is>
      </c>
      <c r="AY820" t="inlineStr">
        <is>
          <t>2266783880002656</t>
        </is>
      </c>
      <c r="AZ820" t="inlineStr">
        <is>
          <t>BOOK</t>
        </is>
      </c>
      <c r="BC820" t="inlineStr">
        <is>
          <t>32285004780549</t>
        </is>
      </c>
      <c r="BD820" t="inlineStr">
        <is>
          <t>893788272</t>
        </is>
      </c>
    </row>
    <row r="821">
      <c r="A821" t="inlineStr">
        <is>
          <t>No</t>
        </is>
      </c>
      <c r="B821" t="inlineStr">
        <is>
          <t>DF287.A23 A52 no. 7</t>
        </is>
      </c>
      <c r="C821" t="inlineStr">
        <is>
          <t>0                      DF 0287000A  23                 A  52                                no. 7</t>
        </is>
      </c>
      <c r="D821" t="inlineStr">
        <is>
          <t>The Middle Ages in the Athenian Agora / [prepared by Alison Frantz].</t>
        </is>
      </c>
      <c r="E821" t="inlineStr">
        <is>
          <t>no. 7*</t>
        </is>
      </c>
      <c r="F821" t="inlineStr">
        <is>
          <t>No</t>
        </is>
      </c>
      <c r="G821" t="inlineStr">
        <is>
          <t>1</t>
        </is>
      </c>
      <c r="H821" t="inlineStr">
        <is>
          <t>No</t>
        </is>
      </c>
      <c r="I821" t="inlineStr">
        <is>
          <t>No</t>
        </is>
      </c>
      <c r="J821" t="inlineStr">
        <is>
          <t>0</t>
        </is>
      </c>
      <c r="K821" t="inlineStr">
        <is>
          <t>Frantz, Alison.</t>
        </is>
      </c>
      <c r="L821" t="inlineStr">
        <is>
          <t>Princeton, N.J. : American School of Classical Studies at Athens, 1961.</t>
        </is>
      </c>
      <c r="M821" t="inlineStr">
        <is>
          <t>1961</t>
        </is>
      </c>
      <c r="O821" t="inlineStr">
        <is>
          <t>eng</t>
        </is>
      </c>
      <c r="P821" t="inlineStr">
        <is>
          <t>nju</t>
        </is>
      </c>
      <c r="Q821" t="inlineStr">
        <is>
          <t>Excavations in the Athenian Agora : picture book ; no. 7</t>
        </is>
      </c>
      <c r="R821" t="inlineStr">
        <is>
          <t xml:space="preserve">DF </t>
        </is>
      </c>
      <c r="S821" t="n">
        <v>1</v>
      </c>
      <c r="T821" t="n">
        <v>1</v>
      </c>
      <c r="U821" t="inlineStr">
        <is>
          <t>2003-09-09</t>
        </is>
      </c>
      <c r="V821" t="inlineStr">
        <is>
          <t>2003-09-09</t>
        </is>
      </c>
      <c r="W821" t="inlineStr">
        <is>
          <t>2003-09-09</t>
        </is>
      </c>
      <c r="X821" t="inlineStr">
        <is>
          <t>2003-09-09</t>
        </is>
      </c>
      <c r="Y821" t="n">
        <v>287</v>
      </c>
      <c r="Z821" t="n">
        <v>185</v>
      </c>
      <c r="AA821" t="n">
        <v>194</v>
      </c>
      <c r="AB821" t="n">
        <v>2</v>
      </c>
      <c r="AC821" t="n">
        <v>2</v>
      </c>
      <c r="AD821" t="n">
        <v>9</v>
      </c>
      <c r="AE821" t="n">
        <v>9</v>
      </c>
      <c r="AF821" t="n">
        <v>4</v>
      </c>
      <c r="AG821" t="n">
        <v>4</v>
      </c>
      <c r="AH821" t="n">
        <v>1</v>
      </c>
      <c r="AI821" t="n">
        <v>1</v>
      </c>
      <c r="AJ821" t="n">
        <v>6</v>
      </c>
      <c r="AK821" t="n">
        <v>6</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HYPERLINK("https://creighton-primo.hosted.exlibrisgroup.com/primo-explore/search?tab=default_tab&amp;search_scope=EVERYTHING&amp;vid=01CRU&amp;lang=en_US&amp;offset=0&amp;query=any,contains,991004107059702656","Catalog Record")</f>
        <v/>
      </c>
      <c r="AT821">
        <f>HYPERLINK("http://www.worldcat.org/oclc/15930121","WorldCat Record")</f>
        <v/>
      </c>
      <c r="AU821" t="inlineStr">
        <is>
          <t>11420905:eng</t>
        </is>
      </c>
      <c r="AV821" t="inlineStr">
        <is>
          <t>15930121</t>
        </is>
      </c>
      <c r="AW821" t="inlineStr">
        <is>
          <t>991004107059702656</t>
        </is>
      </c>
      <c r="AX821" t="inlineStr">
        <is>
          <t>991004107059702656</t>
        </is>
      </c>
      <c r="AY821" t="inlineStr">
        <is>
          <t>2270914240002656</t>
        </is>
      </c>
      <c r="AZ821" t="inlineStr">
        <is>
          <t>BOOK</t>
        </is>
      </c>
      <c r="BC821" t="inlineStr">
        <is>
          <t>32285004780556</t>
        </is>
      </c>
      <c r="BD821" t="inlineStr">
        <is>
          <t>893506416</t>
        </is>
      </c>
    </row>
    <row r="822">
      <c r="A822" t="inlineStr">
        <is>
          <t>No</t>
        </is>
      </c>
      <c r="B822" t="inlineStr">
        <is>
          <t>DF287.A23 A52 no. 9</t>
        </is>
      </c>
      <c r="C822" t="inlineStr">
        <is>
          <t>0                      DF 0287000A  23                 A  52                                no. 9</t>
        </is>
      </c>
      <c r="D822" t="inlineStr">
        <is>
          <t>Lamps from the Athenian Agora / prepared by Judith Perlzweig.</t>
        </is>
      </c>
      <c r="E822" t="inlineStr">
        <is>
          <t>no. 9*</t>
        </is>
      </c>
      <c r="F822" t="inlineStr">
        <is>
          <t>No</t>
        </is>
      </c>
      <c r="G822" t="inlineStr">
        <is>
          <t>1</t>
        </is>
      </c>
      <c r="H822" t="inlineStr">
        <is>
          <t>No</t>
        </is>
      </c>
      <c r="I822" t="inlineStr">
        <is>
          <t>No</t>
        </is>
      </c>
      <c r="J822" t="inlineStr">
        <is>
          <t>0</t>
        </is>
      </c>
      <c r="K822" t="inlineStr">
        <is>
          <t>Perlzweig, Judith.</t>
        </is>
      </c>
      <c r="L822" t="inlineStr">
        <is>
          <t>Princeton, N.J. : American School of Classical Studies at Athens, 1963.</t>
        </is>
      </c>
      <c r="M822" t="inlineStr">
        <is>
          <t>1963</t>
        </is>
      </c>
      <c r="O822" t="inlineStr">
        <is>
          <t>eng</t>
        </is>
      </c>
      <c r="P822" t="inlineStr">
        <is>
          <t>nju</t>
        </is>
      </c>
      <c r="Q822" t="inlineStr">
        <is>
          <t>Excavations of the Athenian Agora. Picture book ; no. 9</t>
        </is>
      </c>
      <c r="R822" t="inlineStr">
        <is>
          <t xml:space="preserve">DF </t>
        </is>
      </c>
      <c r="S822" t="n">
        <v>1</v>
      </c>
      <c r="T822" t="n">
        <v>1</v>
      </c>
      <c r="U822" t="inlineStr">
        <is>
          <t>2003-09-09</t>
        </is>
      </c>
      <c r="V822" t="inlineStr">
        <is>
          <t>2003-09-09</t>
        </is>
      </c>
      <c r="W822" t="inlineStr">
        <is>
          <t>2003-09-09</t>
        </is>
      </c>
      <c r="X822" t="inlineStr">
        <is>
          <t>2003-09-09</t>
        </is>
      </c>
      <c r="Y822" t="n">
        <v>272</v>
      </c>
      <c r="Z822" t="n">
        <v>186</v>
      </c>
      <c r="AA822" t="n">
        <v>193</v>
      </c>
      <c r="AB822" t="n">
        <v>2</v>
      </c>
      <c r="AC822" t="n">
        <v>2</v>
      </c>
      <c r="AD822" t="n">
        <v>9</v>
      </c>
      <c r="AE822" t="n">
        <v>9</v>
      </c>
      <c r="AF822" t="n">
        <v>4</v>
      </c>
      <c r="AG822" t="n">
        <v>4</v>
      </c>
      <c r="AH822" t="n">
        <v>1</v>
      </c>
      <c r="AI822" t="n">
        <v>1</v>
      </c>
      <c r="AJ822" t="n">
        <v>7</v>
      </c>
      <c r="AK822" t="n">
        <v>7</v>
      </c>
      <c r="AL822" t="n">
        <v>1</v>
      </c>
      <c r="AM822" t="n">
        <v>1</v>
      </c>
      <c r="AN822" t="n">
        <v>0</v>
      </c>
      <c r="AO822" t="n">
        <v>0</v>
      </c>
      <c r="AP822" t="inlineStr">
        <is>
          <t>Yes</t>
        </is>
      </c>
      <c r="AQ822" t="inlineStr">
        <is>
          <t>No</t>
        </is>
      </c>
      <c r="AR822">
        <f>HYPERLINK("http://catalog.hathitrust.org/Record/003839002","HathiTrust Record")</f>
        <v/>
      </c>
      <c r="AS822">
        <f>HYPERLINK("https://creighton-primo.hosted.exlibrisgroup.com/primo-explore/search?tab=default_tab&amp;search_scope=EVERYTHING&amp;vid=01CRU&amp;lang=en_US&amp;offset=0&amp;query=any,contains,991004107119702656","Catalog Record")</f>
        <v/>
      </c>
      <c r="AT822">
        <f>HYPERLINK("http://www.worldcat.org/oclc/11314245","WorldCat Record")</f>
        <v/>
      </c>
      <c r="AU822" t="inlineStr">
        <is>
          <t>2487798800:eng</t>
        </is>
      </c>
      <c r="AV822" t="inlineStr">
        <is>
          <t>11314245</t>
        </is>
      </c>
      <c r="AW822" t="inlineStr">
        <is>
          <t>991004107119702656</t>
        </is>
      </c>
      <c r="AX822" t="inlineStr">
        <is>
          <t>991004107119702656</t>
        </is>
      </c>
      <c r="AY822" t="inlineStr">
        <is>
          <t>2258567000002656</t>
        </is>
      </c>
      <c r="AZ822" t="inlineStr">
        <is>
          <t>BOOK</t>
        </is>
      </c>
      <c r="BC822" t="inlineStr">
        <is>
          <t>32285004781646</t>
        </is>
      </c>
      <c r="BD822" t="inlineStr">
        <is>
          <t>893882068</t>
        </is>
      </c>
    </row>
    <row r="823">
      <c r="A823" t="inlineStr">
        <is>
          <t>No</t>
        </is>
      </c>
      <c r="B823" t="inlineStr">
        <is>
          <t>DF287.A23 M38 2006</t>
        </is>
      </c>
      <c r="C823" t="inlineStr">
        <is>
          <t>0                      DF 0287000A  23                 M  38          2006</t>
        </is>
      </c>
      <c r="D823" t="inlineStr">
        <is>
          <t>Agora excavations, 1931-2006 : a pictorial history / Craig A. Mauzy with contributions by John McK.Camp II.</t>
        </is>
      </c>
      <c r="F823" t="inlineStr">
        <is>
          <t>No</t>
        </is>
      </c>
      <c r="G823" t="inlineStr">
        <is>
          <t>1</t>
        </is>
      </c>
      <c r="H823" t="inlineStr">
        <is>
          <t>No</t>
        </is>
      </c>
      <c r="I823" t="inlineStr">
        <is>
          <t>No</t>
        </is>
      </c>
      <c r="J823" t="inlineStr">
        <is>
          <t>0</t>
        </is>
      </c>
      <c r="K823" t="inlineStr">
        <is>
          <t>Mauzy, Craig A.</t>
        </is>
      </c>
      <c r="L823" t="inlineStr">
        <is>
          <t>Athens : American School of Classical Studies at Athens ; Oxford : Oxbow [distributor], c2006.</t>
        </is>
      </c>
      <c r="M823" t="inlineStr">
        <is>
          <t>2006</t>
        </is>
      </c>
      <c r="O823" t="inlineStr">
        <is>
          <t>eng</t>
        </is>
      </c>
      <c r="P823" t="inlineStr">
        <is>
          <t xml:space="preserve">gr </t>
        </is>
      </c>
      <c r="R823" t="inlineStr">
        <is>
          <t xml:space="preserve">DF </t>
        </is>
      </c>
      <c r="S823" t="n">
        <v>5</v>
      </c>
      <c r="T823" t="n">
        <v>5</v>
      </c>
      <c r="U823" t="inlineStr">
        <is>
          <t>2008-12-18</t>
        </is>
      </c>
      <c r="V823" t="inlineStr">
        <is>
          <t>2008-12-18</t>
        </is>
      </c>
      <c r="W823" t="inlineStr">
        <is>
          <t>2007-09-10</t>
        </is>
      </c>
      <c r="X823" t="inlineStr">
        <is>
          <t>2007-09-10</t>
        </is>
      </c>
      <c r="Y823" t="n">
        <v>172</v>
      </c>
      <c r="Z823" t="n">
        <v>127</v>
      </c>
      <c r="AA823" t="n">
        <v>127</v>
      </c>
      <c r="AB823" t="n">
        <v>2</v>
      </c>
      <c r="AC823" t="n">
        <v>2</v>
      </c>
      <c r="AD823" t="n">
        <v>6</v>
      </c>
      <c r="AE823" t="n">
        <v>6</v>
      </c>
      <c r="AF823" t="n">
        <v>1</v>
      </c>
      <c r="AG823" t="n">
        <v>1</v>
      </c>
      <c r="AH823" t="n">
        <v>1</v>
      </c>
      <c r="AI823" t="n">
        <v>1</v>
      </c>
      <c r="AJ823" t="n">
        <v>5</v>
      </c>
      <c r="AK823" t="n">
        <v>5</v>
      </c>
      <c r="AL823" t="n">
        <v>1</v>
      </c>
      <c r="AM823" t="n">
        <v>1</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HYPERLINK("https://creighton-primo.hosted.exlibrisgroup.com/primo-explore/search?tab=default_tab&amp;search_scope=EVERYTHING&amp;vid=01CRU&amp;lang=en_US&amp;offset=0&amp;query=any,contains,991005105509702656","Catalog Record")</f>
        <v/>
      </c>
      <c r="AT823">
        <f>HYPERLINK("http://www.worldcat.org/oclc/64555526","WorldCat Record")</f>
        <v/>
      </c>
      <c r="AU823" t="inlineStr">
        <is>
          <t>351865960:eng</t>
        </is>
      </c>
      <c r="AV823" t="inlineStr">
        <is>
          <t>64555526</t>
        </is>
      </c>
      <c r="AW823" t="inlineStr">
        <is>
          <t>991005105509702656</t>
        </is>
      </c>
      <c r="AX823" t="inlineStr">
        <is>
          <t>991005105509702656</t>
        </is>
      </c>
      <c r="AY823" t="inlineStr">
        <is>
          <t>2262513560002656</t>
        </is>
      </c>
      <c r="AZ823" t="inlineStr">
        <is>
          <t>BOOK</t>
        </is>
      </c>
      <c r="BB823" t="inlineStr">
        <is>
          <t>9780876619100</t>
        </is>
      </c>
      <c r="BC823" t="inlineStr">
        <is>
          <t>32285005324636</t>
        </is>
      </c>
      <c r="BD823" t="inlineStr">
        <is>
          <t>893514048</t>
        </is>
      </c>
    </row>
    <row r="824">
      <c r="A824" t="inlineStr">
        <is>
          <t>No</t>
        </is>
      </c>
      <c r="B824" t="inlineStr">
        <is>
          <t>DF287.P3 H37 1995</t>
        </is>
      </c>
      <c r="C824" t="inlineStr">
        <is>
          <t>0                      DF 0287000P  3                  H  37          1995</t>
        </is>
      </c>
      <c r="D824" t="inlineStr">
        <is>
          <t>The treasures of the Parthenon and Erechtheion / Diane Harris.</t>
        </is>
      </c>
      <c r="F824" t="inlineStr">
        <is>
          <t>No</t>
        </is>
      </c>
      <c r="G824" t="inlineStr">
        <is>
          <t>1</t>
        </is>
      </c>
      <c r="H824" t="inlineStr">
        <is>
          <t>No</t>
        </is>
      </c>
      <c r="I824" t="inlineStr">
        <is>
          <t>No</t>
        </is>
      </c>
      <c r="J824" t="inlineStr">
        <is>
          <t>0</t>
        </is>
      </c>
      <c r="K824" t="inlineStr">
        <is>
          <t>Cline, Diane Harris, 1961-</t>
        </is>
      </c>
      <c r="L824" t="inlineStr">
        <is>
          <t>Oxford : Clarendon Press ; New York : Oxford University Press, 1995.</t>
        </is>
      </c>
      <c r="M824" t="inlineStr">
        <is>
          <t>1995</t>
        </is>
      </c>
      <c r="O824" t="inlineStr">
        <is>
          <t>eng</t>
        </is>
      </c>
      <c r="P824" t="inlineStr">
        <is>
          <t>enk</t>
        </is>
      </c>
      <c r="Q824" t="inlineStr">
        <is>
          <t>Oxford monographs on classical archaeology</t>
        </is>
      </c>
      <c r="R824" t="inlineStr">
        <is>
          <t xml:space="preserve">DF </t>
        </is>
      </c>
      <c r="S824" t="n">
        <v>6</v>
      </c>
      <c r="T824" t="n">
        <v>6</v>
      </c>
      <c r="U824" t="inlineStr">
        <is>
          <t>2009-04-26</t>
        </is>
      </c>
      <c r="V824" t="inlineStr">
        <is>
          <t>2009-04-26</t>
        </is>
      </c>
      <c r="W824" t="inlineStr">
        <is>
          <t>1997-02-06</t>
        </is>
      </c>
      <c r="X824" t="inlineStr">
        <is>
          <t>1997-02-06</t>
        </is>
      </c>
      <c r="Y824" t="n">
        <v>266</v>
      </c>
      <c r="Z824" t="n">
        <v>188</v>
      </c>
      <c r="AA824" t="n">
        <v>193</v>
      </c>
      <c r="AB824" t="n">
        <v>2</v>
      </c>
      <c r="AC824" t="n">
        <v>2</v>
      </c>
      <c r="AD824" t="n">
        <v>8</v>
      </c>
      <c r="AE824" t="n">
        <v>8</v>
      </c>
      <c r="AF824" t="n">
        <v>3</v>
      </c>
      <c r="AG824" t="n">
        <v>3</v>
      </c>
      <c r="AH824" t="n">
        <v>2</v>
      </c>
      <c r="AI824" t="n">
        <v>2</v>
      </c>
      <c r="AJ824" t="n">
        <v>7</v>
      </c>
      <c r="AK824" t="n">
        <v>7</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HYPERLINK("https://creighton-primo.hosted.exlibrisgroup.com/primo-explore/search?tab=default_tab&amp;search_scope=EVERYTHING&amp;vid=01CRU&amp;lang=en_US&amp;offset=0&amp;query=any,contains,991002460449702656","Catalog Record")</f>
        <v/>
      </c>
      <c r="AT824">
        <f>HYPERLINK("http://www.worldcat.org/oclc/32051963","WorldCat Record")</f>
        <v/>
      </c>
      <c r="AU824" t="inlineStr">
        <is>
          <t>118660422:eng</t>
        </is>
      </c>
      <c r="AV824" t="inlineStr">
        <is>
          <t>32051963</t>
        </is>
      </c>
      <c r="AW824" t="inlineStr">
        <is>
          <t>991002460449702656</t>
        </is>
      </c>
      <c r="AX824" t="inlineStr">
        <is>
          <t>991002460449702656</t>
        </is>
      </c>
      <c r="AY824" t="inlineStr">
        <is>
          <t>2270350710002656</t>
        </is>
      </c>
      <c r="AZ824" t="inlineStr">
        <is>
          <t>BOOK</t>
        </is>
      </c>
      <c r="BB824" t="inlineStr">
        <is>
          <t>9780198149408</t>
        </is>
      </c>
      <c r="BC824" t="inlineStr">
        <is>
          <t>32285002414513</t>
        </is>
      </c>
      <c r="BD824" t="inlineStr">
        <is>
          <t>893873541</t>
        </is>
      </c>
    </row>
    <row r="825">
      <c r="A825" t="inlineStr">
        <is>
          <t>No</t>
        </is>
      </c>
      <c r="B825" t="inlineStr">
        <is>
          <t>DF289 .G6 1967</t>
        </is>
      </c>
      <c r="C825" t="inlineStr">
        <is>
          <t>0                      DF 0289000G  6           1967</t>
        </is>
      </c>
      <c r="D825" t="inlineStr">
        <is>
          <t>The population of Athens in the fifth and fourth centuries B.C.</t>
        </is>
      </c>
      <c r="F825" t="inlineStr">
        <is>
          <t>No</t>
        </is>
      </c>
      <c r="G825" t="inlineStr">
        <is>
          <t>1</t>
        </is>
      </c>
      <c r="H825" t="inlineStr">
        <is>
          <t>No</t>
        </is>
      </c>
      <c r="I825" t="inlineStr">
        <is>
          <t>No</t>
        </is>
      </c>
      <c r="J825" t="inlineStr">
        <is>
          <t>0</t>
        </is>
      </c>
      <c r="K825" t="inlineStr">
        <is>
          <t>Gomme, A. W. (Arnold Wycombe)</t>
        </is>
      </c>
      <c r="L825" t="inlineStr">
        <is>
          <t>Chicago, Argonaut, 1967.</t>
        </is>
      </c>
      <c r="M825" t="inlineStr">
        <is>
          <t>1967</t>
        </is>
      </c>
      <c r="O825" t="inlineStr">
        <is>
          <t>eng</t>
        </is>
      </c>
      <c r="P825" t="inlineStr">
        <is>
          <t>ilu</t>
        </is>
      </c>
      <c r="R825" t="inlineStr">
        <is>
          <t xml:space="preserve">DF </t>
        </is>
      </c>
      <c r="S825" t="n">
        <v>2</v>
      </c>
      <c r="T825" t="n">
        <v>2</v>
      </c>
      <c r="U825" t="inlineStr">
        <is>
          <t>2009-03-06</t>
        </is>
      </c>
      <c r="V825" t="inlineStr">
        <is>
          <t>2009-03-06</t>
        </is>
      </c>
      <c r="W825" t="inlineStr">
        <is>
          <t>1997-01-30</t>
        </is>
      </c>
      <c r="X825" t="inlineStr">
        <is>
          <t>1997-01-30</t>
        </is>
      </c>
      <c r="Y825" t="n">
        <v>324</v>
      </c>
      <c r="Z825" t="n">
        <v>287</v>
      </c>
      <c r="AA825" t="n">
        <v>429</v>
      </c>
      <c r="AB825" t="n">
        <v>3</v>
      </c>
      <c r="AC825" t="n">
        <v>4</v>
      </c>
      <c r="AD825" t="n">
        <v>18</v>
      </c>
      <c r="AE825" t="n">
        <v>23</v>
      </c>
      <c r="AF825" t="n">
        <v>6</v>
      </c>
      <c r="AG825" t="n">
        <v>8</v>
      </c>
      <c r="AH825" t="n">
        <v>5</v>
      </c>
      <c r="AI825" t="n">
        <v>5</v>
      </c>
      <c r="AJ825" t="n">
        <v>9</v>
      </c>
      <c r="AK825" t="n">
        <v>13</v>
      </c>
      <c r="AL825" t="n">
        <v>2</v>
      </c>
      <c r="AM825" t="n">
        <v>3</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HYPERLINK("https://creighton-primo.hosted.exlibrisgroup.com/primo-explore/search?tab=default_tab&amp;search_scope=EVERYTHING&amp;vid=01CRU&amp;lang=en_US&amp;offset=0&amp;query=any,contains,991002555809702656","Catalog Record")</f>
        <v/>
      </c>
      <c r="AT825">
        <f>HYPERLINK("http://www.worldcat.org/oclc/371105","WorldCat Record")</f>
        <v/>
      </c>
      <c r="AU825" t="inlineStr">
        <is>
          <t>1447233:eng</t>
        </is>
      </c>
      <c r="AV825" t="inlineStr">
        <is>
          <t>371105</t>
        </is>
      </c>
      <c r="AW825" t="inlineStr">
        <is>
          <t>991002555809702656</t>
        </is>
      </c>
      <c r="AX825" t="inlineStr">
        <is>
          <t>991002555809702656</t>
        </is>
      </c>
      <c r="AY825" t="inlineStr">
        <is>
          <t>2260012480002656</t>
        </is>
      </c>
      <c r="AZ825" t="inlineStr">
        <is>
          <t>BOOK</t>
        </is>
      </c>
      <c r="BC825" t="inlineStr">
        <is>
          <t>32285002419108</t>
        </is>
      </c>
      <c r="BD825" t="inlineStr">
        <is>
          <t>893415342</t>
        </is>
      </c>
    </row>
    <row r="826">
      <c r="A826" t="inlineStr">
        <is>
          <t>No</t>
        </is>
      </c>
      <c r="B826" t="inlineStr">
        <is>
          <t>DF289 .M53 1985</t>
        </is>
      </c>
      <c r="C826" t="inlineStr">
        <is>
          <t>0                      DF 0289000M  53          1985</t>
        </is>
      </c>
      <c r="D826" t="inlineStr">
        <is>
          <t>Monastiraki : Athens's old market / Liza Micheli ; translated by Kevin Andrews.</t>
        </is>
      </c>
      <c r="F826" t="inlineStr">
        <is>
          <t>No</t>
        </is>
      </c>
      <c r="G826" t="inlineStr">
        <is>
          <t>1</t>
        </is>
      </c>
      <c r="H826" t="inlineStr">
        <is>
          <t>No</t>
        </is>
      </c>
      <c r="I826" t="inlineStr">
        <is>
          <t>No</t>
        </is>
      </c>
      <c r="J826" t="inlineStr">
        <is>
          <t>0</t>
        </is>
      </c>
      <c r="K826" t="inlineStr">
        <is>
          <t>Michelē, Liza.</t>
        </is>
      </c>
      <c r="L826" t="inlineStr">
        <is>
          <t>Athens : Oceanida, c1985.</t>
        </is>
      </c>
      <c r="M826" t="inlineStr">
        <is>
          <t>1985</t>
        </is>
      </c>
      <c r="O826" t="inlineStr">
        <is>
          <t>eng</t>
        </is>
      </c>
      <c r="P826" t="inlineStr">
        <is>
          <t xml:space="preserve">gr </t>
        </is>
      </c>
      <c r="R826" t="inlineStr">
        <is>
          <t xml:space="preserve">DF </t>
        </is>
      </c>
      <c r="S826" t="n">
        <v>2</v>
      </c>
      <c r="T826" t="n">
        <v>2</v>
      </c>
      <c r="U826" t="inlineStr">
        <is>
          <t>1996-05-10</t>
        </is>
      </c>
      <c r="V826" t="inlineStr">
        <is>
          <t>1996-05-10</t>
        </is>
      </c>
      <c r="W826" t="inlineStr">
        <is>
          <t>1991-02-21</t>
        </is>
      </c>
      <c r="X826" t="inlineStr">
        <is>
          <t>1991-02-21</t>
        </is>
      </c>
      <c r="Y826" t="n">
        <v>5</v>
      </c>
      <c r="Z826" t="n">
        <v>4</v>
      </c>
      <c r="AA826" t="n">
        <v>4</v>
      </c>
      <c r="AB826" t="n">
        <v>1</v>
      </c>
      <c r="AC826" t="n">
        <v>1</v>
      </c>
      <c r="AD826" t="n">
        <v>0</v>
      </c>
      <c r="AE826" t="n">
        <v>0</v>
      </c>
      <c r="AF826" t="n">
        <v>0</v>
      </c>
      <c r="AG826" t="n">
        <v>0</v>
      </c>
      <c r="AH826" t="n">
        <v>0</v>
      </c>
      <c r="AI826" t="n">
        <v>0</v>
      </c>
      <c r="AJ826" t="n">
        <v>0</v>
      </c>
      <c r="AK826" t="n">
        <v>0</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HYPERLINK("https://creighton-primo.hosted.exlibrisgroup.com/primo-explore/search?tab=default_tab&amp;search_scope=EVERYTHING&amp;vid=01CRU&amp;lang=en_US&amp;offset=0&amp;query=any,contains,991000954049702656","Catalog Record")</f>
        <v/>
      </c>
      <c r="AT826">
        <f>HYPERLINK("http://www.worldcat.org/oclc/14696583","WorldCat Record")</f>
        <v/>
      </c>
      <c r="AU826" t="inlineStr">
        <is>
          <t>9197931:eng</t>
        </is>
      </c>
      <c r="AV826" t="inlineStr">
        <is>
          <t>14696583</t>
        </is>
      </c>
      <c r="AW826" t="inlineStr">
        <is>
          <t>991000954049702656</t>
        </is>
      </c>
      <c r="AX826" t="inlineStr">
        <is>
          <t>991000954049702656</t>
        </is>
      </c>
      <c r="AY826" t="inlineStr">
        <is>
          <t>2260505570002656</t>
        </is>
      </c>
      <c r="AZ826" t="inlineStr">
        <is>
          <t>BOOK</t>
        </is>
      </c>
      <c r="BC826" t="inlineStr">
        <is>
          <t>32285000520501</t>
        </is>
      </c>
      <c r="BD826" t="inlineStr">
        <is>
          <t>893231572</t>
        </is>
      </c>
    </row>
    <row r="827">
      <c r="A827" t="inlineStr">
        <is>
          <t>No</t>
        </is>
      </c>
      <c r="B827" t="inlineStr">
        <is>
          <t>DF289 .P56 2005</t>
        </is>
      </c>
      <c r="C827" t="inlineStr">
        <is>
          <t>0                      DF 0289000P  56          2005</t>
        </is>
      </c>
      <c r="D827" t="inlineStr">
        <is>
          <t>Pity and power in ancient Athens / edited by Rachel Hall Sternberg.</t>
        </is>
      </c>
      <c r="F827" t="inlineStr">
        <is>
          <t>No</t>
        </is>
      </c>
      <c r="G827" t="inlineStr">
        <is>
          <t>1</t>
        </is>
      </c>
      <c r="H827" t="inlineStr">
        <is>
          <t>No</t>
        </is>
      </c>
      <c r="I827" t="inlineStr">
        <is>
          <t>No</t>
        </is>
      </c>
      <c r="J827" t="inlineStr">
        <is>
          <t>0</t>
        </is>
      </c>
      <c r="L827" t="inlineStr">
        <is>
          <t>New York : Cambridge University Press, 2005.</t>
        </is>
      </c>
      <c r="M827" t="inlineStr">
        <is>
          <t>2005</t>
        </is>
      </c>
      <c r="O827" t="inlineStr">
        <is>
          <t>eng</t>
        </is>
      </c>
      <c r="P827" t="inlineStr">
        <is>
          <t>nyu</t>
        </is>
      </c>
      <c r="R827" t="inlineStr">
        <is>
          <t xml:space="preserve">DF </t>
        </is>
      </c>
      <c r="S827" t="n">
        <v>1</v>
      </c>
      <c r="T827" t="n">
        <v>1</v>
      </c>
      <c r="U827" t="inlineStr">
        <is>
          <t>2008-04-17</t>
        </is>
      </c>
      <c r="V827" t="inlineStr">
        <is>
          <t>2008-04-17</t>
        </is>
      </c>
      <c r="W827" t="inlineStr">
        <is>
          <t>2008-04-17</t>
        </is>
      </c>
      <c r="X827" t="inlineStr">
        <is>
          <t>2008-04-17</t>
        </is>
      </c>
      <c r="Y827" t="n">
        <v>250</v>
      </c>
      <c r="Z827" t="n">
        <v>203</v>
      </c>
      <c r="AA827" t="n">
        <v>205</v>
      </c>
      <c r="AB827" t="n">
        <v>2</v>
      </c>
      <c r="AC827" t="n">
        <v>2</v>
      </c>
      <c r="AD827" t="n">
        <v>13</v>
      </c>
      <c r="AE827" t="n">
        <v>13</v>
      </c>
      <c r="AF827" t="n">
        <v>3</v>
      </c>
      <c r="AG827" t="n">
        <v>3</v>
      </c>
      <c r="AH827" t="n">
        <v>6</v>
      </c>
      <c r="AI827" t="n">
        <v>6</v>
      </c>
      <c r="AJ827" t="n">
        <v>7</v>
      </c>
      <c r="AK827" t="n">
        <v>7</v>
      </c>
      <c r="AL827" t="n">
        <v>1</v>
      </c>
      <c r="AM827" t="n">
        <v>1</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HYPERLINK("https://creighton-primo.hosted.exlibrisgroup.com/primo-explore/search?tab=default_tab&amp;search_scope=EVERYTHING&amp;vid=01CRU&amp;lang=en_US&amp;offset=0&amp;query=any,contains,991005204569702656","Catalog Record")</f>
        <v/>
      </c>
      <c r="AT827">
        <f>HYPERLINK("http://www.worldcat.org/oclc/58386256","WorldCat Record")</f>
        <v/>
      </c>
      <c r="AU827" t="inlineStr">
        <is>
          <t>57160092:eng</t>
        </is>
      </c>
      <c r="AV827" t="inlineStr">
        <is>
          <t>58386256</t>
        </is>
      </c>
      <c r="AW827" t="inlineStr">
        <is>
          <t>991005204569702656</t>
        </is>
      </c>
      <c r="AX827" t="inlineStr">
        <is>
          <t>991005204569702656</t>
        </is>
      </c>
      <c r="AY827" t="inlineStr">
        <is>
          <t>2259981420002656</t>
        </is>
      </c>
      <c r="AZ827" t="inlineStr">
        <is>
          <t>BOOK</t>
        </is>
      </c>
      <c r="BB827" t="inlineStr">
        <is>
          <t>9780521845526</t>
        </is>
      </c>
      <c r="BC827" t="inlineStr">
        <is>
          <t>32285005403588</t>
        </is>
      </c>
      <c r="BD827" t="inlineStr">
        <is>
          <t>893810913</t>
        </is>
      </c>
    </row>
    <row r="828">
      <c r="A828" t="inlineStr">
        <is>
          <t>No</t>
        </is>
      </c>
      <c r="B828" t="inlineStr">
        <is>
          <t>DF289 .S65</t>
        </is>
      </c>
      <c r="C828" t="inlineStr">
        <is>
          <t>0                      DF 0289000S  65</t>
        </is>
      </c>
      <c r="D828" t="inlineStr">
        <is>
          <t>Social values in classical Athens / [translated from the Greek and] edited with an introduction by N. R. E. Fisher.</t>
        </is>
      </c>
      <c r="F828" t="inlineStr">
        <is>
          <t>No</t>
        </is>
      </c>
      <c r="G828" t="inlineStr">
        <is>
          <t>1</t>
        </is>
      </c>
      <c r="H828" t="inlineStr">
        <is>
          <t>No</t>
        </is>
      </c>
      <c r="I828" t="inlineStr">
        <is>
          <t>No</t>
        </is>
      </c>
      <c r="J828" t="inlineStr">
        <is>
          <t>0</t>
        </is>
      </c>
      <c r="L828" t="inlineStr">
        <is>
          <t>London : Dent, 1976.</t>
        </is>
      </c>
      <c r="M828" t="inlineStr">
        <is>
          <t>1976</t>
        </is>
      </c>
      <c r="O828" t="inlineStr">
        <is>
          <t>eng</t>
        </is>
      </c>
      <c r="P828" t="inlineStr">
        <is>
          <t>enk</t>
        </is>
      </c>
      <c r="Q828" t="inlineStr">
        <is>
          <t>The Ancient world, source books</t>
        </is>
      </c>
      <c r="R828" t="inlineStr">
        <is>
          <t xml:space="preserve">DF </t>
        </is>
      </c>
      <c r="S828" t="n">
        <v>6</v>
      </c>
      <c r="T828" t="n">
        <v>6</v>
      </c>
      <c r="U828" t="inlineStr">
        <is>
          <t>1993-10-25</t>
        </is>
      </c>
      <c r="V828" t="inlineStr">
        <is>
          <t>1993-10-25</t>
        </is>
      </c>
      <c r="W828" t="inlineStr">
        <is>
          <t>1991-02-21</t>
        </is>
      </c>
      <c r="X828" t="inlineStr">
        <is>
          <t>1991-02-21</t>
        </is>
      </c>
      <c r="Y828" t="n">
        <v>311</v>
      </c>
      <c r="Z828" t="n">
        <v>198</v>
      </c>
      <c r="AA828" t="n">
        <v>201</v>
      </c>
      <c r="AB828" t="n">
        <v>3</v>
      </c>
      <c r="AC828" t="n">
        <v>3</v>
      </c>
      <c r="AD828" t="n">
        <v>18</v>
      </c>
      <c r="AE828" t="n">
        <v>18</v>
      </c>
      <c r="AF828" t="n">
        <v>7</v>
      </c>
      <c r="AG828" t="n">
        <v>7</v>
      </c>
      <c r="AH828" t="n">
        <v>4</v>
      </c>
      <c r="AI828" t="n">
        <v>4</v>
      </c>
      <c r="AJ828" t="n">
        <v>12</v>
      </c>
      <c r="AK828" t="n">
        <v>12</v>
      </c>
      <c r="AL828" t="n">
        <v>2</v>
      </c>
      <c r="AM828" t="n">
        <v>2</v>
      </c>
      <c r="AN828" t="n">
        <v>0</v>
      </c>
      <c r="AO828" t="n">
        <v>0</v>
      </c>
      <c r="AP828" t="inlineStr">
        <is>
          <t>No</t>
        </is>
      </c>
      <c r="AQ828" t="inlineStr">
        <is>
          <t>Yes</t>
        </is>
      </c>
      <c r="AR828">
        <f>HYPERLINK("http://catalog.hathitrust.org/Record/000723824","HathiTrust Record")</f>
        <v/>
      </c>
      <c r="AS828">
        <f>HYPERLINK("https://creighton-primo.hosted.exlibrisgroup.com/primo-explore/search?tab=default_tab&amp;search_scope=EVERYTHING&amp;vid=01CRU&amp;lang=en_US&amp;offset=0&amp;query=any,contains,991004266809702656","Catalog Record")</f>
        <v/>
      </c>
      <c r="AT828">
        <f>HYPERLINK("http://www.worldcat.org/oclc/2869231","WorldCat Record")</f>
        <v/>
      </c>
      <c r="AU828" t="inlineStr">
        <is>
          <t>6324919:eng</t>
        </is>
      </c>
      <c r="AV828" t="inlineStr">
        <is>
          <t>2869231</t>
        </is>
      </c>
      <c r="AW828" t="inlineStr">
        <is>
          <t>991004266809702656</t>
        </is>
      </c>
      <c r="AX828" t="inlineStr">
        <is>
          <t>991004266809702656</t>
        </is>
      </c>
      <c r="AY828" t="inlineStr">
        <is>
          <t>2265036270002656</t>
        </is>
      </c>
      <c r="AZ828" t="inlineStr">
        <is>
          <t>BOOK</t>
        </is>
      </c>
      <c r="BB828" t="inlineStr">
        <is>
          <t>9780460106306</t>
        </is>
      </c>
      <c r="BC828" t="inlineStr">
        <is>
          <t>32285000520519</t>
        </is>
      </c>
      <c r="BD828" t="inlineStr">
        <is>
          <t>893319003</t>
        </is>
      </c>
    </row>
    <row r="829">
      <c r="A829" t="inlineStr">
        <is>
          <t>No</t>
        </is>
      </c>
      <c r="B829" t="inlineStr">
        <is>
          <t>DF503 .B983 1984</t>
        </is>
      </c>
      <c r="C829" t="inlineStr">
        <is>
          <t>0                      DF 0503000B  983         1984</t>
        </is>
      </c>
      <c r="D829" t="inlineStr">
        <is>
          <t>Byzantium : church, society, and civilization seen through contemporary eyes / [compiled by] Deno John Geanakoplos.</t>
        </is>
      </c>
      <c r="F829" t="inlineStr">
        <is>
          <t>No</t>
        </is>
      </c>
      <c r="G829" t="inlineStr">
        <is>
          <t>1</t>
        </is>
      </c>
      <c r="H829" t="inlineStr">
        <is>
          <t>No</t>
        </is>
      </c>
      <c r="I829" t="inlineStr">
        <is>
          <t>No</t>
        </is>
      </c>
      <c r="J829" t="inlineStr">
        <is>
          <t>0</t>
        </is>
      </c>
      <c r="L829" t="inlineStr">
        <is>
          <t>Chicago : University of Chicago Press, 1984.</t>
        </is>
      </c>
      <c r="M829" t="inlineStr">
        <is>
          <t>1984</t>
        </is>
      </c>
      <c r="O829" t="inlineStr">
        <is>
          <t>eng</t>
        </is>
      </c>
      <c r="P829" t="inlineStr">
        <is>
          <t>ilu</t>
        </is>
      </c>
      <c r="R829" t="inlineStr">
        <is>
          <t xml:space="preserve">DF </t>
        </is>
      </c>
      <c r="S829" t="n">
        <v>3</v>
      </c>
      <c r="T829" t="n">
        <v>3</v>
      </c>
      <c r="U829" t="inlineStr">
        <is>
          <t>2001-05-03</t>
        </is>
      </c>
      <c r="V829" t="inlineStr">
        <is>
          <t>2001-05-03</t>
        </is>
      </c>
      <c r="W829" t="inlineStr">
        <is>
          <t>1991-06-19</t>
        </is>
      </c>
      <c r="X829" t="inlineStr">
        <is>
          <t>1991-06-19</t>
        </is>
      </c>
      <c r="Y829" t="n">
        <v>863</v>
      </c>
      <c r="Z829" t="n">
        <v>710</v>
      </c>
      <c r="AA829" t="n">
        <v>710</v>
      </c>
      <c r="AB829" t="n">
        <v>4</v>
      </c>
      <c r="AC829" t="n">
        <v>4</v>
      </c>
      <c r="AD829" t="n">
        <v>32</v>
      </c>
      <c r="AE829" t="n">
        <v>32</v>
      </c>
      <c r="AF829" t="n">
        <v>12</v>
      </c>
      <c r="AG829" t="n">
        <v>12</v>
      </c>
      <c r="AH829" t="n">
        <v>9</v>
      </c>
      <c r="AI829" t="n">
        <v>9</v>
      </c>
      <c r="AJ829" t="n">
        <v>18</v>
      </c>
      <c r="AK829" t="n">
        <v>18</v>
      </c>
      <c r="AL829" t="n">
        <v>3</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HYPERLINK("https://creighton-primo.hosted.exlibrisgroup.com/primo-explore/search?tab=default_tab&amp;search_scope=EVERYTHING&amp;vid=01CRU&amp;lang=en_US&amp;offset=0&amp;query=any,contains,991000204519702656","Catalog Record")</f>
        <v/>
      </c>
      <c r="AT829">
        <f>HYPERLINK("http://www.worldcat.org/oclc/9488453","WorldCat Record")</f>
        <v/>
      </c>
      <c r="AU829" t="inlineStr">
        <is>
          <t>807142269:eng</t>
        </is>
      </c>
      <c r="AV829" t="inlineStr">
        <is>
          <t>9488453</t>
        </is>
      </c>
      <c r="AW829" t="inlineStr">
        <is>
          <t>991000204519702656</t>
        </is>
      </c>
      <c r="AX829" t="inlineStr">
        <is>
          <t>991000204519702656</t>
        </is>
      </c>
      <c r="AY829" t="inlineStr">
        <is>
          <t>2258923560002656</t>
        </is>
      </c>
      <c r="AZ829" t="inlineStr">
        <is>
          <t>BOOK</t>
        </is>
      </c>
      <c r="BB829" t="inlineStr">
        <is>
          <t>9780226284606</t>
        </is>
      </c>
      <c r="BC829" t="inlineStr">
        <is>
          <t>32285000631118</t>
        </is>
      </c>
      <c r="BD829" t="inlineStr">
        <is>
          <t>893896706</t>
        </is>
      </c>
    </row>
    <row r="830">
      <c r="A830" t="inlineStr">
        <is>
          <t>No</t>
        </is>
      </c>
      <c r="B830" t="inlineStr">
        <is>
          <t>DF521 .A55 2001</t>
        </is>
      </c>
      <c r="C830" t="inlineStr">
        <is>
          <t>0                      DF 0521000A  55          2001</t>
        </is>
      </c>
      <c r="D830" t="inlineStr">
        <is>
          <t>Byzantium : the bridge from antiquity to the Middle Ages / Michael Angold.</t>
        </is>
      </c>
      <c r="F830" t="inlineStr">
        <is>
          <t>No</t>
        </is>
      </c>
      <c r="G830" t="inlineStr">
        <is>
          <t>1</t>
        </is>
      </c>
      <c r="H830" t="inlineStr">
        <is>
          <t>No</t>
        </is>
      </c>
      <c r="I830" t="inlineStr">
        <is>
          <t>No</t>
        </is>
      </c>
      <c r="J830" t="inlineStr">
        <is>
          <t>0</t>
        </is>
      </c>
      <c r="K830" t="inlineStr">
        <is>
          <t>Angold, Michael.</t>
        </is>
      </c>
      <c r="L830" t="inlineStr">
        <is>
          <t>New York : St. Martin's Press, 2001.</t>
        </is>
      </c>
      <c r="M830" t="inlineStr">
        <is>
          <t>2001</t>
        </is>
      </c>
      <c r="N830" t="inlineStr">
        <is>
          <t>1st U.S. ed.</t>
        </is>
      </c>
      <c r="O830" t="inlineStr">
        <is>
          <t>eng</t>
        </is>
      </c>
      <c r="P830" t="inlineStr">
        <is>
          <t>nyu</t>
        </is>
      </c>
      <c r="R830" t="inlineStr">
        <is>
          <t xml:space="preserve">DF </t>
        </is>
      </c>
      <c r="S830" t="n">
        <v>5</v>
      </c>
      <c r="T830" t="n">
        <v>5</v>
      </c>
      <c r="U830" t="inlineStr">
        <is>
          <t>2008-04-20</t>
        </is>
      </c>
      <c r="V830" t="inlineStr">
        <is>
          <t>2008-04-20</t>
        </is>
      </c>
      <c r="W830" t="inlineStr">
        <is>
          <t>2001-12-19</t>
        </is>
      </c>
      <c r="X830" t="inlineStr">
        <is>
          <t>2001-12-19</t>
        </is>
      </c>
      <c r="Y830" t="n">
        <v>767</v>
      </c>
      <c r="Z830" t="n">
        <v>737</v>
      </c>
      <c r="AA830" t="n">
        <v>806</v>
      </c>
      <c r="AB830" t="n">
        <v>7</v>
      </c>
      <c r="AC830" t="n">
        <v>7</v>
      </c>
      <c r="AD830" t="n">
        <v>20</v>
      </c>
      <c r="AE830" t="n">
        <v>23</v>
      </c>
      <c r="AF830" t="n">
        <v>5</v>
      </c>
      <c r="AG830" t="n">
        <v>5</v>
      </c>
      <c r="AH830" t="n">
        <v>6</v>
      </c>
      <c r="AI830" t="n">
        <v>8</v>
      </c>
      <c r="AJ830" t="n">
        <v>8</v>
      </c>
      <c r="AK830" t="n">
        <v>10</v>
      </c>
      <c r="AL830" t="n">
        <v>5</v>
      </c>
      <c r="AM830" t="n">
        <v>5</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HYPERLINK("https://creighton-primo.hosted.exlibrisgroup.com/primo-explore/search?tab=default_tab&amp;search_scope=EVERYTHING&amp;vid=01CRU&amp;lang=en_US&amp;offset=0&amp;query=any,contains,991003678969702656","Catalog Record")</f>
        <v/>
      </c>
      <c r="AT830">
        <f>HYPERLINK("http://www.worldcat.org/oclc/47100855","WorldCat Record")</f>
        <v/>
      </c>
      <c r="AU830" t="inlineStr">
        <is>
          <t>9278157:eng</t>
        </is>
      </c>
      <c r="AV830" t="inlineStr">
        <is>
          <t>47100855</t>
        </is>
      </c>
      <c r="AW830" t="inlineStr">
        <is>
          <t>991003678969702656</t>
        </is>
      </c>
      <c r="AX830" t="inlineStr">
        <is>
          <t>991003678969702656</t>
        </is>
      </c>
      <c r="AY830" t="inlineStr">
        <is>
          <t>2258343880002656</t>
        </is>
      </c>
      <c r="AZ830" t="inlineStr">
        <is>
          <t>BOOK</t>
        </is>
      </c>
      <c r="BB830" t="inlineStr">
        <is>
          <t>9780312284299</t>
        </is>
      </c>
      <c r="BC830" t="inlineStr">
        <is>
          <t>32285004429444</t>
        </is>
      </c>
      <c r="BD830" t="inlineStr">
        <is>
          <t>893705500</t>
        </is>
      </c>
    </row>
    <row r="831">
      <c r="A831" t="inlineStr">
        <is>
          <t>No</t>
        </is>
      </c>
      <c r="B831" t="inlineStr">
        <is>
          <t>DF521 .G813 1957</t>
        </is>
      </c>
      <c r="C831" t="inlineStr">
        <is>
          <t>0                      DF 0521000G  813         1957</t>
        </is>
      </c>
      <c r="D831" t="inlineStr">
        <is>
          <t>Byzantium : its triumphs and tragedy / translated by D. L. B. Hartley. With a pref. by Charles Diehl.</t>
        </is>
      </c>
      <c r="F831" t="inlineStr">
        <is>
          <t>No</t>
        </is>
      </c>
      <c r="G831" t="inlineStr">
        <is>
          <t>1</t>
        </is>
      </c>
      <c r="H831" t="inlineStr">
        <is>
          <t>No</t>
        </is>
      </c>
      <c r="I831" t="inlineStr">
        <is>
          <t>No</t>
        </is>
      </c>
      <c r="J831" t="inlineStr">
        <is>
          <t>0</t>
        </is>
      </c>
      <c r="K831" t="inlineStr">
        <is>
          <t>Guerdan, René.</t>
        </is>
      </c>
      <c r="L831" t="inlineStr">
        <is>
          <t>New York : Putnam, [1957]</t>
        </is>
      </c>
      <c r="M831" t="inlineStr">
        <is>
          <t>1957</t>
        </is>
      </c>
      <c r="N831" t="inlineStr">
        <is>
          <t>[1st American ed.]</t>
        </is>
      </c>
      <c r="O831" t="inlineStr">
        <is>
          <t>eng</t>
        </is>
      </c>
      <c r="P831" t="inlineStr">
        <is>
          <t>nyu</t>
        </is>
      </c>
      <c r="R831" t="inlineStr">
        <is>
          <t xml:space="preserve">DF </t>
        </is>
      </c>
      <c r="S831" t="n">
        <v>2</v>
      </c>
      <c r="T831" t="n">
        <v>2</v>
      </c>
      <c r="U831" t="inlineStr">
        <is>
          <t>1991-08-26</t>
        </is>
      </c>
      <c r="V831" t="inlineStr">
        <is>
          <t>1991-08-26</t>
        </is>
      </c>
      <c r="W831" t="inlineStr">
        <is>
          <t>1991-06-19</t>
        </is>
      </c>
      <c r="X831" t="inlineStr">
        <is>
          <t>1991-06-19</t>
        </is>
      </c>
      <c r="Y831" t="n">
        <v>414</v>
      </c>
      <c r="Z831" t="n">
        <v>398</v>
      </c>
      <c r="AA831" t="n">
        <v>400</v>
      </c>
      <c r="AB831" t="n">
        <v>4</v>
      </c>
      <c r="AC831" t="n">
        <v>4</v>
      </c>
      <c r="AD831" t="n">
        <v>21</v>
      </c>
      <c r="AE831" t="n">
        <v>21</v>
      </c>
      <c r="AF831" t="n">
        <v>7</v>
      </c>
      <c r="AG831" t="n">
        <v>7</v>
      </c>
      <c r="AH831" t="n">
        <v>5</v>
      </c>
      <c r="AI831" t="n">
        <v>5</v>
      </c>
      <c r="AJ831" t="n">
        <v>13</v>
      </c>
      <c r="AK831" t="n">
        <v>13</v>
      </c>
      <c r="AL831" t="n">
        <v>3</v>
      </c>
      <c r="AM831" t="n">
        <v>3</v>
      </c>
      <c r="AN831" t="n">
        <v>0</v>
      </c>
      <c r="AO831" t="n">
        <v>0</v>
      </c>
      <c r="AP831" t="inlineStr">
        <is>
          <t>No</t>
        </is>
      </c>
      <c r="AQ831" t="inlineStr">
        <is>
          <t>No</t>
        </is>
      </c>
      <c r="AR831">
        <f>HYPERLINK("http://catalog.hathitrust.org/Record/102106256","HathiTrust Record")</f>
        <v/>
      </c>
      <c r="AS831">
        <f>HYPERLINK("https://creighton-primo.hosted.exlibrisgroup.com/primo-explore/search?tab=default_tab&amp;search_scope=EVERYTHING&amp;vid=01CRU&amp;lang=en_US&amp;offset=0&amp;query=any,contains,991003023419702656","Catalog Record")</f>
        <v/>
      </c>
      <c r="AT831">
        <f>HYPERLINK("http://www.worldcat.org/oclc/588305","WorldCat Record")</f>
        <v/>
      </c>
      <c r="AU831" t="inlineStr">
        <is>
          <t>23653785:eng</t>
        </is>
      </c>
      <c r="AV831" t="inlineStr">
        <is>
          <t>588305</t>
        </is>
      </c>
      <c r="AW831" t="inlineStr">
        <is>
          <t>991003023419702656</t>
        </is>
      </c>
      <c r="AX831" t="inlineStr">
        <is>
          <t>991003023419702656</t>
        </is>
      </c>
      <c r="AY831" t="inlineStr">
        <is>
          <t>2270288100002656</t>
        </is>
      </c>
      <c r="AZ831" t="inlineStr">
        <is>
          <t>BOOK</t>
        </is>
      </c>
      <c r="BC831" t="inlineStr">
        <is>
          <t>32285000631126</t>
        </is>
      </c>
      <c r="BD831" t="inlineStr">
        <is>
          <t>893409835</t>
        </is>
      </c>
    </row>
    <row r="832">
      <c r="A832" t="inlineStr">
        <is>
          <t>No</t>
        </is>
      </c>
      <c r="B832" t="inlineStr">
        <is>
          <t>DF521 .H313 1971</t>
        </is>
      </c>
      <c r="C832" t="inlineStr">
        <is>
          <t>0                      DF 0521000H  313         1971</t>
        </is>
      </c>
      <c r="D832" t="inlineStr">
        <is>
          <t>A history of Byzantine civilization / [by] H. W. Haussig ; translated by J. M. Hussey.</t>
        </is>
      </c>
      <c r="F832" t="inlineStr">
        <is>
          <t>No</t>
        </is>
      </c>
      <c r="G832" t="inlineStr">
        <is>
          <t>1</t>
        </is>
      </c>
      <c r="H832" t="inlineStr">
        <is>
          <t>No</t>
        </is>
      </c>
      <c r="I832" t="inlineStr">
        <is>
          <t>No</t>
        </is>
      </c>
      <c r="J832" t="inlineStr">
        <is>
          <t>0</t>
        </is>
      </c>
      <c r="K832" t="inlineStr">
        <is>
          <t>Haussig, Hans Wilhelm.</t>
        </is>
      </c>
      <c r="L832" t="inlineStr">
        <is>
          <t>New York : Praeger, [1971]</t>
        </is>
      </c>
      <c r="M832" t="inlineStr">
        <is>
          <t>1971</t>
        </is>
      </c>
      <c r="O832" t="inlineStr">
        <is>
          <t>eng</t>
        </is>
      </c>
      <c r="P832" t="inlineStr">
        <is>
          <t>nyu</t>
        </is>
      </c>
      <c r="R832" t="inlineStr">
        <is>
          <t xml:space="preserve">DF </t>
        </is>
      </c>
      <c r="S832" t="n">
        <v>1</v>
      </c>
      <c r="T832" t="n">
        <v>1</v>
      </c>
      <c r="U832" t="inlineStr">
        <is>
          <t>2003-06-27</t>
        </is>
      </c>
      <c r="V832" t="inlineStr">
        <is>
          <t>2003-06-27</t>
        </is>
      </c>
      <c r="W832" t="inlineStr">
        <is>
          <t>1994-10-03</t>
        </is>
      </c>
      <c r="X832" t="inlineStr">
        <is>
          <t>1994-10-03</t>
        </is>
      </c>
      <c r="Y832" t="n">
        <v>661</v>
      </c>
      <c r="Z832" t="n">
        <v>599</v>
      </c>
      <c r="AA832" t="n">
        <v>668</v>
      </c>
      <c r="AB832" t="n">
        <v>4</v>
      </c>
      <c r="AC832" t="n">
        <v>4</v>
      </c>
      <c r="AD832" t="n">
        <v>23</v>
      </c>
      <c r="AE832" t="n">
        <v>25</v>
      </c>
      <c r="AF832" t="n">
        <v>8</v>
      </c>
      <c r="AG832" t="n">
        <v>9</v>
      </c>
      <c r="AH832" t="n">
        <v>6</v>
      </c>
      <c r="AI832" t="n">
        <v>6</v>
      </c>
      <c r="AJ832" t="n">
        <v>11</v>
      </c>
      <c r="AK832" t="n">
        <v>13</v>
      </c>
      <c r="AL832" t="n">
        <v>3</v>
      </c>
      <c r="AM832" t="n">
        <v>3</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HYPERLINK("https://creighton-primo.hosted.exlibrisgroup.com/primo-explore/search?tab=default_tab&amp;search_scope=EVERYTHING&amp;vid=01CRU&amp;lang=en_US&amp;offset=0&amp;query=any,contains,991000783399702656","Catalog Record")</f>
        <v/>
      </c>
      <c r="AT832">
        <f>HYPERLINK("http://www.worldcat.org/oclc/135756","WorldCat Record")</f>
        <v/>
      </c>
      <c r="AU832" t="inlineStr">
        <is>
          <t>4820584663:eng</t>
        </is>
      </c>
      <c r="AV832" t="inlineStr">
        <is>
          <t>135756</t>
        </is>
      </c>
      <c r="AW832" t="inlineStr">
        <is>
          <t>991000783399702656</t>
        </is>
      </c>
      <c r="AX832" t="inlineStr">
        <is>
          <t>991000783399702656</t>
        </is>
      </c>
      <c r="AY832" t="inlineStr">
        <is>
          <t>2263342750002656</t>
        </is>
      </c>
      <c r="AZ832" t="inlineStr">
        <is>
          <t>BOOK</t>
        </is>
      </c>
      <c r="BC832" t="inlineStr">
        <is>
          <t>32285001953172</t>
        </is>
      </c>
      <c r="BD832" t="inlineStr">
        <is>
          <t>893339887</t>
        </is>
      </c>
    </row>
    <row r="833">
      <c r="A833" t="inlineStr">
        <is>
          <t>No</t>
        </is>
      </c>
      <c r="B833" t="inlineStr">
        <is>
          <t>DF521 .L68 2004</t>
        </is>
      </c>
      <c r="C833" t="inlineStr">
        <is>
          <t>0                      DF 0521000L  68          2004</t>
        </is>
      </c>
      <c r="D833" t="inlineStr">
        <is>
          <t>Byzantium / Rowena Loverance.</t>
        </is>
      </c>
      <c r="F833" t="inlineStr">
        <is>
          <t>No</t>
        </is>
      </c>
      <c r="G833" t="inlineStr">
        <is>
          <t>1</t>
        </is>
      </c>
      <c r="H833" t="inlineStr">
        <is>
          <t>No</t>
        </is>
      </c>
      <c r="I833" t="inlineStr">
        <is>
          <t>No</t>
        </is>
      </c>
      <c r="J833" t="inlineStr">
        <is>
          <t>0</t>
        </is>
      </c>
      <c r="K833" t="inlineStr">
        <is>
          <t>Loverance, Rowena.</t>
        </is>
      </c>
      <c r="L833" t="inlineStr">
        <is>
          <t>Cambridge, Mass. : Harvard University Press, c2004.</t>
        </is>
      </c>
      <c r="M833" t="inlineStr">
        <is>
          <t>2004</t>
        </is>
      </c>
      <c r="N833" t="inlineStr">
        <is>
          <t>3rd ed., with revisions.</t>
        </is>
      </c>
      <c r="O833" t="inlineStr">
        <is>
          <t>eng</t>
        </is>
      </c>
      <c r="P833" t="inlineStr">
        <is>
          <t>mau</t>
        </is>
      </c>
      <c r="R833" t="inlineStr">
        <is>
          <t xml:space="preserve">DF </t>
        </is>
      </c>
      <c r="S833" t="n">
        <v>1</v>
      </c>
      <c r="T833" t="n">
        <v>1</v>
      </c>
      <c r="U833" t="inlineStr">
        <is>
          <t>2004-08-30</t>
        </is>
      </c>
      <c r="V833" t="inlineStr">
        <is>
          <t>2004-08-30</t>
        </is>
      </c>
      <c r="W833" t="inlineStr">
        <is>
          <t>2004-08-30</t>
        </is>
      </c>
      <c r="X833" t="inlineStr">
        <is>
          <t>2004-08-30</t>
        </is>
      </c>
      <c r="Y833" t="n">
        <v>240</v>
      </c>
      <c r="Z833" t="n">
        <v>213</v>
      </c>
      <c r="AA833" t="n">
        <v>238</v>
      </c>
      <c r="AB833" t="n">
        <v>1</v>
      </c>
      <c r="AC833" t="n">
        <v>1</v>
      </c>
      <c r="AD833" t="n">
        <v>9</v>
      </c>
      <c r="AE833" t="n">
        <v>9</v>
      </c>
      <c r="AF833" t="n">
        <v>4</v>
      </c>
      <c r="AG833" t="n">
        <v>4</v>
      </c>
      <c r="AH833" t="n">
        <v>3</v>
      </c>
      <c r="AI833" t="n">
        <v>3</v>
      </c>
      <c r="AJ833" t="n">
        <v>4</v>
      </c>
      <c r="AK833" t="n">
        <v>4</v>
      </c>
      <c r="AL833" t="n">
        <v>0</v>
      </c>
      <c r="AM833" t="n">
        <v>0</v>
      </c>
      <c r="AN833" t="n">
        <v>0</v>
      </c>
      <c r="AO833" t="n">
        <v>0</v>
      </c>
      <c r="AP833" t="inlineStr">
        <is>
          <t>No</t>
        </is>
      </c>
      <c r="AQ833" t="inlineStr">
        <is>
          <t>Yes</t>
        </is>
      </c>
      <c r="AR833">
        <f>HYPERLINK("http://catalog.hathitrust.org/Record/004740271","HathiTrust Record")</f>
        <v/>
      </c>
      <c r="AS833">
        <f>HYPERLINK("https://creighton-primo.hosted.exlibrisgroup.com/primo-explore/search?tab=default_tab&amp;search_scope=EVERYTHING&amp;vid=01CRU&amp;lang=en_US&amp;offset=0&amp;query=any,contains,991004329039702656","Catalog Record")</f>
        <v/>
      </c>
      <c r="AT833">
        <f>HYPERLINK("http://www.worldcat.org/oclc/55688227","WorldCat Record")</f>
        <v/>
      </c>
      <c r="AU833" t="inlineStr">
        <is>
          <t>2070253669:eng</t>
        </is>
      </c>
      <c r="AV833" t="inlineStr">
        <is>
          <t>55688227</t>
        </is>
      </c>
      <c r="AW833" t="inlineStr">
        <is>
          <t>991004329039702656</t>
        </is>
      </c>
      <c r="AX833" t="inlineStr">
        <is>
          <t>991004329039702656</t>
        </is>
      </c>
      <c r="AY833" t="inlineStr">
        <is>
          <t>2254740650002656</t>
        </is>
      </c>
      <c r="AZ833" t="inlineStr">
        <is>
          <t>BOOK</t>
        </is>
      </c>
      <c r="BB833" t="inlineStr">
        <is>
          <t>9780674013896</t>
        </is>
      </c>
      <c r="BC833" t="inlineStr">
        <is>
          <t>32285004983978</t>
        </is>
      </c>
      <c r="BD833" t="inlineStr">
        <is>
          <t>893888573</t>
        </is>
      </c>
    </row>
    <row r="834">
      <c r="A834" t="inlineStr">
        <is>
          <t>No</t>
        </is>
      </c>
      <c r="B834" t="inlineStr">
        <is>
          <t>DF521 .S4</t>
        </is>
      </c>
      <c r="C834" t="inlineStr">
        <is>
          <t>0                      DF 0521000S  4</t>
        </is>
      </c>
      <c r="D834" t="inlineStr">
        <is>
          <t>Byzantium / by Philip Sherrard and the editors of Time-Life Books.</t>
        </is>
      </c>
      <c r="F834" t="inlineStr">
        <is>
          <t>No</t>
        </is>
      </c>
      <c r="G834" t="inlineStr">
        <is>
          <t>1</t>
        </is>
      </c>
      <c r="H834" t="inlineStr">
        <is>
          <t>No</t>
        </is>
      </c>
      <c r="I834" t="inlineStr">
        <is>
          <t>No</t>
        </is>
      </c>
      <c r="J834" t="inlineStr">
        <is>
          <t>0</t>
        </is>
      </c>
      <c r="K834" t="inlineStr">
        <is>
          <t>Sherrard, Philip.</t>
        </is>
      </c>
      <c r="L834" t="inlineStr">
        <is>
          <t>New York : Time, inc., [1966]</t>
        </is>
      </c>
      <c r="M834" t="inlineStr">
        <is>
          <t>1966</t>
        </is>
      </c>
      <c r="O834" t="inlineStr">
        <is>
          <t>eng</t>
        </is>
      </c>
      <c r="P834" t="inlineStr">
        <is>
          <t>nyu</t>
        </is>
      </c>
      <c r="Q834" t="inlineStr">
        <is>
          <t>Great ages of man</t>
        </is>
      </c>
      <c r="R834" t="inlineStr">
        <is>
          <t xml:space="preserve">DF </t>
        </is>
      </c>
      <c r="S834" t="n">
        <v>5</v>
      </c>
      <c r="T834" t="n">
        <v>5</v>
      </c>
      <c r="U834" t="inlineStr">
        <is>
          <t>2009-04-06</t>
        </is>
      </c>
      <c r="V834" t="inlineStr">
        <is>
          <t>2009-04-06</t>
        </is>
      </c>
      <c r="W834" t="inlineStr">
        <is>
          <t>1991-06-19</t>
        </is>
      </c>
      <c r="X834" t="inlineStr">
        <is>
          <t>1991-06-19</t>
        </is>
      </c>
      <c r="Y834" t="n">
        <v>2531</v>
      </c>
      <c r="Z834" t="n">
        <v>2415</v>
      </c>
      <c r="AA834" t="n">
        <v>2503</v>
      </c>
      <c r="AB834" t="n">
        <v>21</v>
      </c>
      <c r="AC834" t="n">
        <v>21</v>
      </c>
      <c r="AD834" t="n">
        <v>40</v>
      </c>
      <c r="AE834" t="n">
        <v>41</v>
      </c>
      <c r="AF834" t="n">
        <v>20</v>
      </c>
      <c r="AG834" t="n">
        <v>20</v>
      </c>
      <c r="AH834" t="n">
        <v>5</v>
      </c>
      <c r="AI834" t="n">
        <v>5</v>
      </c>
      <c r="AJ834" t="n">
        <v>19</v>
      </c>
      <c r="AK834" t="n">
        <v>20</v>
      </c>
      <c r="AL834" t="n">
        <v>5</v>
      </c>
      <c r="AM834" t="n">
        <v>5</v>
      </c>
      <c r="AN834" t="n">
        <v>0</v>
      </c>
      <c r="AO834" t="n">
        <v>0</v>
      </c>
      <c r="AP834" t="inlineStr">
        <is>
          <t>No</t>
        </is>
      </c>
      <c r="AQ834" t="inlineStr">
        <is>
          <t>Yes</t>
        </is>
      </c>
      <c r="AR834">
        <f>HYPERLINK("http://catalog.hathitrust.org/Record/000574696","HathiTrust Record")</f>
        <v/>
      </c>
      <c r="AS834">
        <f>HYPERLINK("https://creighton-primo.hosted.exlibrisgroup.com/primo-explore/search?tab=default_tab&amp;search_scope=EVERYTHING&amp;vid=01CRU&amp;lang=en_US&amp;offset=0&amp;query=any,contains,991002882319702656","Catalog Record")</f>
        <v/>
      </c>
      <c r="AT834">
        <f>HYPERLINK("http://www.worldcat.org/oclc/506380","WorldCat Record")</f>
        <v/>
      </c>
      <c r="AU834" t="inlineStr">
        <is>
          <t>467313:eng</t>
        </is>
      </c>
      <c r="AV834" t="inlineStr">
        <is>
          <t>506380</t>
        </is>
      </c>
      <c r="AW834" t="inlineStr">
        <is>
          <t>991002882319702656</t>
        </is>
      </c>
      <c r="AX834" t="inlineStr">
        <is>
          <t>991002882319702656</t>
        </is>
      </c>
      <c r="AY834" t="inlineStr">
        <is>
          <t>2260063250002656</t>
        </is>
      </c>
      <c r="AZ834" t="inlineStr">
        <is>
          <t>BOOK</t>
        </is>
      </c>
      <c r="BC834" t="inlineStr">
        <is>
          <t>32285000631134</t>
        </is>
      </c>
      <c r="BD834" t="inlineStr">
        <is>
          <t>893329669</t>
        </is>
      </c>
    </row>
    <row r="835">
      <c r="A835" t="inlineStr">
        <is>
          <t>No</t>
        </is>
      </c>
      <c r="B835" t="inlineStr">
        <is>
          <t>DF531 .D42</t>
        </is>
      </c>
      <c r="C835" t="inlineStr">
        <is>
          <t>0                      DF 0531000D  42</t>
        </is>
      </c>
      <c r="D835" t="inlineStr">
        <is>
          <t>Byzantium : greatness and decline / translated from the French by Naomi Walford. With introd. and bibliography by Peter Charanis.</t>
        </is>
      </c>
      <c r="F835" t="inlineStr">
        <is>
          <t>No</t>
        </is>
      </c>
      <c r="G835" t="inlineStr">
        <is>
          <t>1</t>
        </is>
      </c>
      <c r="H835" t="inlineStr">
        <is>
          <t>No</t>
        </is>
      </c>
      <c r="I835" t="inlineStr">
        <is>
          <t>No</t>
        </is>
      </c>
      <c r="J835" t="inlineStr">
        <is>
          <t>0</t>
        </is>
      </c>
      <c r="K835" t="inlineStr">
        <is>
          <t>Diehl, Charles, 1859-1944.</t>
        </is>
      </c>
      <c r="L835" t="inlineStr">
        <is>
          <t>New Brunswick, N.J. : Rutgers University Press, 1957.</t>
        </is>
      </c>
      <c r="M835" t="inlineStr">
        <is>
          <t>1957</t>
        </is>
      </c>
      <c r="O835" t="inlineStr">
        <is>
          <t>eng</t>
        </is>
      </c>
      <c r="P835" t="inlineStr">
        <is>
          <t>nju</t>
        </is>
      </c>
      <c r="Q835" t="inlineStr">
        <is>
          <t>Rutgers Byzantine series</t>
        </is>
      </c>
      <c r="R835" t="inlineStr">
        <is>
          <t xml:space="preserve">DF </t>
        </is>
      </c>
      <c r="S835" t="n">
        <v>1</v>
      </c>
      <c r="T835" t="n">
        <v>1</v>
      </c>
      <c r="U835" t="inlineStr">
        <is>
          <t>2000-05-12</t>
        </is>
      </c>
      <c r="V835" t="inlineStr">
        <is>
          <t>2000-05-12</t>
        </is>
      </c>
      <c r="W835" t="inlineStr">
        <is>
          <t>1991-06-19</t>
        </is>
      </c>
      <c r="X835" t="inlineStr">
        <is>
          <t>1991-06-19</t>
        </is>
      </c>
      <c r="Y835" t="n">
        <v>1607</v>
      </c>
      <c r="Z835" t="n">
        <v>1432</v>
      </c>
      <c r="AA835" t="n">
        <v>1441</v>
      </c>
      <c r="AB835" t="n">
        <v>8</v>
      </c>
      <c r="AC835" t="n">
        <v>8</v>
      </c>
      <c r="AD835" t="n">
        <v>47</v>
      </c>
      <c r="AE835" t="n">
        <v>47</v>
      </c>
      <c r="AF835" t="n">
        <v>18</v>
      </c>
      <c r="AG835" t="n">
        <v>18</v>
      </c>
      <c r="AH835" t="n">
        <v>8</v>
      </c>
      <c r="AI835" t="n">
        <v>8</v>
      </c>
      <c r="AJ835" t="n">
        <v>23</v>
      </c>
      <c r="AK835" t="n">
        <v>23</v>
      </c>
      <c r="AL835" t="n">
        <v>6</v>
      </c>
      <c r="AM835" t="n">
        <v>6</v>
      </c>
      <c r="AN835" t="n">
        <v>1</v>
      </c>
      <c r="AO835" t="n">
        <v>1</v>
      </c>
      <c r="AP835" t="inlineStr">
        <is>
          <t>No</t>
        </is>
      </c>
      <c r="AQ835" t="inlineStr">
        <is>
          <t>Yes</t>
        </is>
      </c>
      <c r="AR835">
        <f>HYPERLINK("http://catalog.hathitrust.org/Record/000613580","HathiTrust Record")</f>
        <v/>
      </c>
      <c r="AS835">
        <f>HYPERLINK("https://creighton-primo.hosted.exlibrisgroup.com/primo-explore/search?tab=default_tab&amp;search_scope=EVERYTHING&amp;vid=01CRU&amp;lang=en_US&amp;offset=0&amp;query=any,contains,991005355239702656","Catalog Record")</f>
        <v/>
      </c>
      <c r="AT835">
        <f>HYPERLINK("http://www.worldcat.org/oclc/407260","WorldCat Record")</f>
        <v/>
      </c>
      <c r="AU835" t="inlineStr">
        <is>
          <t>474461:eng</t>
        </is>
      </c>
      <c r="AV835" t="inlineStr">
        <is>
          <t>407260</t>
        </is>
      </c>
      <c r="AW835" t="inlineStr">
        <is>
          <t>991005355239702656</t>
        </is>
      </c>
      <c r="AX835" t="inlineStr">
        <is>
          <t>991005355239702656</t>
        </is>
      </c>
      <c r="AY835" t="inlineStr">
        <is>
          <t>2261746660002656</t>
        </is>
      </c>
      <c r="AZ835" t="inlineStr">
        <is>
          <t>BOOK</t>
        </is>
      </c>
      <c r="BC835" t="inlineStr">
        <is>
          <t>32285000631142</t>
        </is>
      </c>
      <c r="BD835" t="inlineStr">
        <is>
          <t>893418787</t>
        </is>
      </c>
    </row>
    <row r="836">
      <c r="A836" t="inlineStr">
        <is>
          <t>No</t>
        </is>
      </c>
      <c r="B836" t="inlineStr">
        <is>
          <t>DF531 .N5</t>
        </is>
      </c>
      <c r="C836" t="inlineStr">
        <is>
          <t>0                      DF 0531000N  5</t>
        </is>
      </c>
      <c r="D836" t="inlineStr">
        <is>
          <t>Church and society in the last centuries of Byzantium / Donald M. Nicol.</t>
        </is>
      </c>
      <c r="F836" t="inlineStr">
        <is>
          <t>No</t>
        </is>
      </c>
      <c r="G836" t="inlineStr">
        <is>
          <t>1</t>
        </is>
      </c>
      <c r="H836" t="inlineStr">
        <is>
          <t>No</t>
        </is>
      </c>
      <c r="I836" t="inlineStr">
        <is>
          <t>No</t>
        </is>
      </c>
      <c r="J836" t="inlineStr">
        <is>
          <t>0</t>
        </is>
      </c>
      <c r="K836" t="inlineStr">
        <is>
          <t>Nicol, Donald MacGillivray.</t>
        </is>
      </c>
      <c r="L836" t="inlineStr">
        <is>
          <t>Cambridge [Eng.] ; New York : Cambridge University Press, 1979.</t>
        </is>
      </c>
      <c r="M836" t="inlineStr">
        <is>
          <t>1979</t>
        </is>
      </c>
      <c r="O836" t="inlineStr">
        <is>
          <t>eng</t>
        </is>
      </c>
      <c r="P836" t="inlineStr">
        <is>
          <t>enk</t>
        </is>
      </c>
      <c r="Q836" t="inlineStr">
        <is>
          <t>The Birkbeck lectures ; 1977</t>
        </is>
      </c>
      <c r="R836" t="inlineStr">
        <is>
          <t xml:space="preserve">DF </t>
        </is>
      </c>
      <c r="S836" t="n">
        <v>2</v>
      </c>
      <c r="T836" t="n">
        <v>2</v>
      </c>
      <c r="U836" t="inlineStr">
        <is>
          <t>2003-04-09</t>
        </is>
      </c>
      <c r="V836" t="inlineStr">
        <is>
          <t>2003-04-09</t>
        </is>
      </c>
      <c r="W836" t="inlineStr">
        <is>
          <t>1991-02-21</t>
        </is>
      </c>
      <c r="X836" t="inlineStr">
        <is>
          <t>1991-02-21</t>
        </is>
      </c>
      <c r="Y836" t="n">
        <v>486</v>
      </c>
      <c r="Z836" t="n">
        <v>375</v>
      </c>
      <c r="AA836" t="n">
        <v>379</v>
      </c>
      <c r="AB836" t="n">
        <v>1</v>
      </c>
      <c r="AC836" t="n">
        <v>1</v>
      </c>
      <c r="AD836" t="n">
        <v>23</v>
      </c>
      <c r="AE836" t="n">
        <v>23</v>
      </c>
      <c r="AF836" t="n">
        <v>11</v>
      </c>
      <c r="AG836" t="n">
        <v>11</v>
      </c>
      <c r="AH836" t="n">
        <v>7</v>
      </c>
      <c r="AI836" t="n">
        <v>7</v>
      </c>
      <c r="AJ836" t="n">
        <v>14</v>
      </c>
      <c r="AK836" t="n">
        <v>14</v>
      </c>
      <c r="AL836" t="n">
        <v>0</v>
      </c>
      <c r="AM836" t="n">
        <v>0</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HYPERLINK("https://creighton-primo.hosted.exlibrisgroup.com/primo-explore/search?tab=default_tab&amp;search_scope=EVERYTHING&amp;vid=01CRU&amp;lang=en_US&amp;offset=0&amp;query=any,contains,991004646819702656","Catalog Record")</f>
        <v/>
      </c>
      <c r="AT836">
        <f>HYPERLINK("http://www.worldcat.org/oclc/4492377","WorldCat Record")</f>
        <v/>
      </c>
      <c r="AU836" t="inlineStr">
        <is>
          <t>14761154:eng</t>
        </is>
      </c>
      <c r="AV836" t="inlineStr">
        <is>
          <t>4492377</t>
        </is>
      </c>
      <c r="AW836" t="inlineStr">
        <is>
          <t>991004646819702656</t>
        </is>
      </c>
      <c r="AX836" t="inlineStr">
        <is>
          <t>991004646819702656</t>
        </is>
      </c>
      <c r="AY836" t="inlineStr">
        <is>
          <t>2263647940002656</t>
        </is>
      </c>
      <c r="AZ836" t="inlineStr">
        <is>
          <t>BOOK</t>
        </is>
      </c>
      <c r="BB836" t="inlineStr">
        <is>
          <t>9780521224383</t>
        </is>
      </c>
      <c r="BC836" t="inlineStr">
        <is>
          <t>32285000520535</t>
        </is>
      </c>
      <c r="BD836" t="inlineStr">
        <is>
          <t>893229584</t>
        </is>
      </c>
    </row>
    <row r="837">
      <c r="A837" t="inlineStr">
        <is>
          <t>No</t>
        </is>
      </c>
      <c r="B837" t="inlineStr">
        <is>
          <t>DF531 .R8</t>
        </is>
      </c>
      <c r="C837" t="inlineStr">
        <is>
          <t>0                      DF 0531000R  8</t>
        </is>
      </c>
      <c r="D837" t="inlineStr">
        <is>
          <t>Byzantine civilisation / by Steven Runciman.</t>
        </is>
      </c>
      <c r="F837" t="inlineStr">
        <is>
          <t>No</t>
        </is>
      </c>
      <c r="G837" t="inlineStr">
        <is>
          <t>1</t>
        </is>
      </c>
      <c r="H837" t="inlineStr">
        <is>
          <t>No</t>
        </is>
      </c>
      <c r="I837" t="inlineStr">
        <is>
          <t>No</t>
        </is>
      </c>
      <c r="J837" t="inlineStr">
        <is>
          <t>0</t>
        </is>
      </c>
      <c r="K837" t="inlineStr">
        <is>
          <t>Runciman, Steven, 1903-2000.</t>
        </is>
      </c>
      <c r="L837" t="inlineStr">
        <is>
          <t>New York : Longmans, Green &amp; Co. ; London : E. Arnold &amp; Co., 1933.</t>
        </is>
      </c>
      <c r="M837" t="inlineStr">
        <is>
          <t>1933</t>
        </is>
      </c>
      <c r="O837" t="inlineStr">
        <is>
          <t>eng</t>
        </is>
      </c>
      <c r="P837" t="inlineStr">
        <is>
          <t>nyu</t>
        </is>
      </c>
      <c r="R837" t="inlineStr">
        <is>
          <t xml:space="preserve">DF </t>
        </is>
      </c>
      <c r="S837" t="n">
        <v>1</v>
      </c>
      <c r="T837" t="n">
        <v>1</v>
      </c>
      <c r="U837" t="inlineStr">
        <is>
          <t>2005-07-26</t>
        </is>
      </c>
      <c r="V837" t="inlineStr">
        <is>
          <t>2005-07-26</t>
        </is>
      </c>
      <c r="W837" t="inlineStr">
        <is>
          <t>1993-04-28</t>
        </is>
      </c>
      <c r="X837" t="inlineStr">
        <is>
          <t>1993-04-28</t>
        </is>
      </c>
      <c r="Y837" t="n">
        <v>628</v>
      </c>
      <c r="Z837" t="n">
        <v>544</v>
      </c>
      <c r="AA837" t="n">
        <v>1498</v>
      </c>
      <c r="AB837" t="n">
        <v>7</v>
      </c>
      <c r="AC837" t="n">
        <v>14</v>
      </c>
      <c r="AD837" t="n">
        <v>21</v>
      </c>
      <c r="AE837" t="n">
        <v>57</v>
      </c>
      <c r="AF837" t="n">
        <v>7</v>
      </c>
      <c r="AG837" t="n">
        <v>23</v>
      </c>
      <c r="AH837" t="n">
        <v>1</v>
      </c>
      <c r="AI837" t="n">
        <v>9</v>
      </c>
      <c r="AJ837" t="n">
        <v>10</v>
      </c>
      <c r="AK837" t="n">
        <v>24</v>
      </c>
      <c r="AL837" t="n">
        <v>6</v>
      </c>
      <c r="AM837" t="n">
        <v>12</v>
      </c>
      <c r="AN837" t="n">
        <v>0</v>
      </c>
      <c r="AO837" t="n">
        <v>0</v>
      </c>
      <c r="AP837" t="inlineStr">
        <is>
          <t>No</t>
        </is>
      </c>
      <c r="AQ837" t="inlineStr">
        <is>
          <t>Yes</t>
        </is>
      </c>
      <c r="AR837">
        <f>HYPERLINK("http://catalog.hathitrust.org/Record/000613586","HathiTrust Record")</f>
        <v/>
      </c>
      <c r="AS837">
        <f>HYPERLINK("https://creighton-primo.hosted.exlibrisgroup.com/primo-explore/search?tab=default_tab&amp;search_scope=EVERYTHING&amp;vid=01CRU&amp;lang=en_US&amp;offset=0&amp;query=any,contains,991003739099702656","Catalog Record")</f>
        <v/>
      </c>
      <c r="AT837">
        <f>HYPERLINK("http://www.worldcat.org/oclc/1399645","WorldCat Record")</f>
        <v/>
      </c>
      <c r="AU837" t="inlineStr">
        <is>
          <t>347082496:eng</t>
        </is>
      </c>
      <c r="AV837" t="inlineStr">
        <is>
          <t>1399645</t>
        </is>
      </c>
      <c r="AW837" t="inlineStr">
        <is>
          <t>991003739099702656</t>
        </is>
      </c>
      <c r="AX837" t="inlineStr">
        <is>
          <t>991003739099702656</t>
        </is>
      </c>
      <c r="AY837" t="inlineStr">
        <is>
          <t>2263995630002656</t>
        </is>
      </c>
      <c r="AZ837" t="inlineStr">
        <is>
          <t>BOOK</t>
        </is>
      </c>
      <c r="BC837" t="inlineStr">
        <is>
          <t>32285001629459</t>
        </is>
      </c>
      <c r="BD837" t="inlineStr">
        <is>
          <t>893240540</t>
        </is>
      </c>
    </row>
    <row r="838">
      <c r="A838" t="inlineStr">
        <is>
          <t>No</t>
        </is>
      </c>
      <c r="B838" t="inlineStr">
        <is>
          <t>DF547.I8 N53 1988</t>
        </is>
      </c>
      <c r="C838" t="inlineStr">
        <is>
          <t>0                      DF 0547000I  8                  N  53          1988</t>
        </is>
      </c>
      <c r="D838" t="inlineStr">
        <is>
          <t>Byzantium and Venice : a study in diplomatic and cultural relations / Donald M. Nicol.</t>
        </is>
      </c>
      <c r="F838" t="inlineStr">
        <is>
          <t>No</t>
        </is>
      </c>
      <c r="G838" t="inlineStr">
        <is>
          <t>1</t>
        </is>
      </c>
      <c r="H838" t="inlineStr">
        <is>
          <t>No</t>
        </is>
      </c>
      <c r="I838" t="inlineStr">
        <is>
          <t>No</t>
        </is>
      </c>
      <c r="J838" t="inlineStr">
        <is>
          <t>0</t>
        </is>
      </c>
      <c r="K838" t="inlineStr">
        <is>
          <t>Nicol, Donald MacGillivray.</t>
        </is>
      </c>
      <c r="L838" t="inlineStr">
        <is>
          <t>Cambridge ; New York : Cambridge University Press, 1988.</t>
        </is>
      </c>
      <c r="M838" t="inlineStr">
        <is>
          <t>1988</t>
        </is>
      </c>
      <c r="O838" t="inlineStr">
        <is>
          <t>eng</t>
        </is>
      </c>
      <c r="P838" t="inlineStr">
        <is>
          <t>enk</t>
        </is>
      </c>
      <c r="R838" t="inlineStr">
        <is>
          <t xml:space="preserve">DF </t>
        </is>
      </c>
      <c r="S838" t="n">
        <v>3</v>
      </c>
      <c r="T838" t="n">
        <v>3</v>
      </c>
      <c r="U838" t="inlineStr">
        <is>
          <t>2009-09-03</t>
        </is>
      </c>
      <c r="V838" t="inlineStr">
        <is>
          <t>2009-09-03</t>
        </is>
      </c>
      <c r="W838" t="inlineStr">
        <is>
          <t>1990-06-20</t>
        </is>
      </c>
      <c r="X838" t="inlineStr">
        <is>
          <t>1990-06-20</t>
        </is>
      </c>
      <c r="Y838" t="n">
        <v>514</v>
      </c>
      <c r="Z838" t="n">
        <v>369</v>
      </c>
      <c r="AA838" t="n">
        <v>422</v>
      </c>
      <c r="AB838" t="n">
        <v>3</v>
      </c>
      <c r="AC838" t="n">
        <v>3</v>
      </c>
      <c r="AD838" t="n">
        <v>25</v>
      </c>
      <c r="AE838" t="n">
        <v>25</v>
      </c>
      <c r="AF838" t="n">
        <v>7</v>
      </c>
      <c r="AG838" t="n">
        <v>7</v>
      </c>
      <c r="AH838" t="n">
        <v>8</v>
      </c>
      <c r="AI838" t="n">
        <v>8</v>
      </c>
      <c r="AJ838" t="n">
        <v>17</v>
      </c>
      <c r="AK838" t="n">
        <v>17</v>
      </c>
      <c r="AL838" t="n">
        <v>2</v>
      </c>
      <c r="AM838" t="n">
        <v>2</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HYPERLINK("https://creighton-primo.hosted.exlibrisgroup.com/primo-explore/search?tab=default_tab&amp;search_scope=EVERYTHING&amp;vid=01CRU&amp;lang=en_US&amp;offset=0&amp;query=any,contains,991001230339702656","Catalog Record")</f>
        <v/>
      </c>
      <c r="AT838">
        <f>HYPERLINK("http://www.worldcat.org/oclc/17546371","WorldCat Record")</f>
        <v/>
      </c>
      <c r="AU838" t="inlineStr">
        <is>
          <t>795476433:eng</t>
        </is>
      </c>
      <c r="AV838" t="inlineStr">
        <is>
          <t>17546371</t>
        </is>
      </c>
      <c r="AW838" t="inlineStr">
        <is>
          <t>991001230339702656</t>
        </is>
      </c>
      <c r="AX838" t="inlineStr">
        <is>
          <t>991001230339702656</t>
        </is>
      </c>
      <c r="AY838" t="inlineStr">
        <is>
          <t>2267835910002656</t>
        </is>
      </c>
      <c r="AZ838" t="inlineStr">
        <is>
          <t>BOOK</t>
        </is>
      </c>
      <c r="BB838" t="inlineStr">
        <is>
          <t>9780521341578</t>
        </is>
      </c>
      <c r="BC838" t="inlineStr">
        <is>
          <t>32285000178516</t>
        </is>
      </c>
      <c r="BD838" t="inlineStr">
        <is>
          <t>893872387</t>
        </is>
      </c>
    </row>
    <row r="839">
      <c r="A839" t="inlineStr">
        <is>
          <t>No</t>
        </is>
      </c>
      <c r="B839" t="inlineStr">
        <is>
          <t>DF547.L37 L5413 1993</t>
        </is>
      </c>
      <c r="C839" t="inlineStr">
        <is>
          <t>0                      DF 0547000L  37                 L  5413        1993</t>
        </is>
      </c>
      <c r="D839" t="inlineStr">
        <is>
          <t>Byzantium and the crusader states, 1096-1204 / by Ralph-Johannes Lilie ; translated by J.C. Morris and Jean E. Ridings.</t>
        </is>
      </c>
      <c r="F839" t="inlineStr">
        <is>
          <t>No</t>
        </is>
      </c>
      <c r="G839" t="inlineStr">
        <is>
          <t>1</t>
        </is>
      </c>
      <c r="H839" t="inlineStr">
        <is>
          <t>No</t>
        </is>
      </c>
      <c r="I839" t="inlineStr">
        <is>
          <t>No</t>
        </is>
      </c>
      <c r="J839" t="inlineStr">
        <is>
          <t>0</t>
        </is>
      </c>
      <c r="K839" t="inlineStr">
        <is>
          <t>Lilie, Ralph-Johannes.</t>
        </is>
      </c>
      <c r="L839" t="inlineStr">
        <is>
          <t>Oxford : Clarendon Press ; New York : Oxford University Press, 1993.</t>
        </is>
      </c>
      <c r="M839" t="inlineStr">
        <is>
          <t>1993</t>
        </is>
      </c>
      <c r="N839" t="inlineStr">
        <is>
          <t>Rev. 1988.</t>
        </is>
      </c>
      <c r="O839" t="inlineStr">
        <is>
          <t>eng</t>
        </is>
      </c>
      <c r="P839" t="inlineStr">
        <is>
          <t>enk</t>
        </is>
      </c>
      <c r="R839" t="inlineStr">
        <is>
          <t xml:space="preserve">DF </t>
        </is>
      </c>
      <c r="S839" t="n">
        <v>11</v>
      </c>
      <c r="T839" t="n">
        <v>11</v>
      </c>
      <c r="U839" t="inlineStr">
        <is>
          <t>2006-11-07</t>
        </is>
      </c>
      <c r="V839" t="inlineStr">
        <is>
          <t>2006-11-07</t>
        </is>
      </c>
      <c r="W839" t="inlineStr">
        <is>
          <t>1995-05-08</t>
        </is>
      </c>
      <c r="X839" t="inlineStr">
        <is>
          <t>1995-05-08</t>
        </is>
      </c>
      <c r="Y839" t="n">
        <v>431</v>
      </c>
      <c r="Z839" t="n">
        <v>339</v>
      </c>
      <c r="AA839" t="n">
        <v>520</v>
      </c>
      <c r="AB839" t="n">
        <v>3</v>
      </c>
      <c r="AC839" t="n">
        <v>4</v>
      </c>
      <c r="AD839" t="n">
        <v>25</v>
      </c>
      <c r="AE839" t="n">
        <v>35</v>
      </c>
      <c r="AF839" t="n">
        <v>7</v>
      </c>
      <c r="AG839" t="n">
        <v>12</v>
      </c>
      <c r="AH839" t="n">
        <v>7</v>
      </c>
      <c r="AI839" t="n">
        <v>10</v>
      </c>
      <c r="AJ839" t="n">
        <v>17</v>
      </c>
      <c r="AK839" t="n">
        <v>20</v>
      </c>
      <c r="AL839" t="n">
        <v>2</v>
      </c>
      <c r="AM839" t="n">
        <v>3</v>
      </c>
      <c r="AN839" t="n">
        <v>0</v>
      </c>
      <c r="AO839" t="n">
        <v>0</v>
      </c>
      <c r="AP839" t="inlineStr">
        <is>
          <t>No</t>
        </is>
      </c>
      <c r="AQ839" t="inlineStr">
        <is>
          <t>Yes</t>
        </is>
      </c>
      <c r="AR839">
        <f>HYPERLINK("http://catalog.hathitrust.org/Record/002874887","HathiTrust Record")</f>
        <v/>
      </c>
      <c r="AS839">
        <f>HYPERLINK("https://creighton-primo.hosted.exlibrisgroup.com/primo-explore/search?tab=default_tab&amp;search_scope=EVERYTHING&amp;vid=01CRU&amp;lang=en_US&amp;offset=0&amp;query=any,contains,991002184829702656","Catalog Record")</f>
        <v/>
      </c>
      <c r="AT839">
        <f>HYPERLINK("http://www.worldcat.org/oclc/28147173","WorldCat Record")</f>
        <v/>
      </c>
      <c r="AU839" t="inlineStr">
        <is>
          <t>30805698:eng</t>
        </is>
      </c>
      <c r="AV839" t="inlineStr">
        <is>
          <t>28147173</t>
        </is>
      </c>
      <c r="AW839" t="inlineStr">
        <is>
          <t>991002184829702656</t>
        </is>
      </c>
      <c r="AX839" t="inlineStr">
        <is>
          <t>991002184829702656</t>
        </is>
      </c>
      <c r="AY839" t="inlineStr">
        <is>
          <t>2254988370002656</t>
        </is>
      </c>
      <c r="AZ839" t="inlineStr">
        <is>
          <t>BOOK</t>
        </is>
      </c>
      <c r="BB839" t="inlineStr">
        <is>
          <t>9780198204077</t>
        </is>
      </c>
      <c r="BC839" t="inlineStr">
        <is>
          <t>32285002038395</t>
        </is>
      </c>
      <c r="BD839" t="inlineStr">
        <is>
          <t>893529649</t>
        </is>
      </c>
    </row>
    <row r="840">
      <c r="A840" t="inlineStr">
        <is>
          <t>No</t>
        </is>
      </c>
      <c r="B840" t="inlineStr">
        <is>
          <t>DF552 .B75 1975</t>
        </is>
      </c>
      <c r="C840" t="inlineStr">
        <is>
          <t>0                      DF 0552000B  75          1975</t>
        </is>
      </c>
      <c r="D840" t="inlineStr">
        <is>
          <t>Byzantium and Bulgaria : a comparative study across the early medieval frontier / Robert Browning.</t>
        </is>
      </c>
      <c r="F840" t="inlineStr">
        <is>
          <t>No</t>
        </is>
      </c>
      <c r="G840" t="inlineStr">
        <is>
          <t>1</t>
        </is>
      </c>
      <c r="H840" t="inlineStr">
        <is>
          <t>No</t>
        </is>
      </c>
      <c r="I840" t="inlineStr">
        <is>
          <t>No</t>
        </is>
      </c>
      <c r="J840" t="inlineStr">
        <is>
          <t>0</t>
        </is>
      </c>
      <c r="K840" t="inlineStr">
        <is>
          <t>Browning, Robert, 1914-1997.</t>
        </is>
      </c>
      <c r="L840" t="inlineStr">
        <is>
          <t>Berkeley : University of California Press, [1975]</t>
        </is>
      </c>
      <c r="M840" t="inlineStr">
        <is>
          <t>1975</t>
        </is>
      </c>
      <c r="O840" t="inlineStr">
        <is>
          <t>eng</t>
        </is>
      </c>
      <c r="P840" t="inlineStr">
        <is>
          <t>cau</t>
        </is>
      </c>
      <c r="R840" t="inlineStr">
        <is>
          <t xml:space="preserve">DF </t>
        </is>
      </c>
      <c r="S840" t="n">
        <v>3</v>
      </c>
      <c r="T840" t="n">
        <v>3</v>
      </c>
      <c r="U840" t="inlineStr">
        <is>
          <t>1991-08-21</t>
        </is>
      </c>
      <c r="V840" t="inlineStr">
        <is>
          <t>1991-08-21</t>
        </is>
      </c>
      <c r="W840" t="inlineStr">
        <is>
          <t>1991-06-19</t>
        </is>
      </c>
      <c r="X840" t="inlineStr">
        <is>
          <t>1991-06-19</t>
        </is>
      </c>
      <c r="Y840" t="n">
        <v>458</v>
      </c>
      <c r="Z840" t="n">
        <v>410</v>
      </c>
      <c r="AA840" t="n">
        <v>445</v>
      </c>
      <c r="AB840" t="n">
        <v>1</v>
      </c>
      <c r="AC840" t="n">
        <v>4</v>
      </c>
      <c r="AD840" t="n">
        <v>16</v>
      </c>
      <c r="AE840" t="n">
        <v>20</v>
      </c>
      <c r="AF840" t="n">
        <v>5</v>
      </c>
      <c r="AG840" t="n">
        <v>6</v>
      </c>
      <c r="AH840" t="n">
        <v>5</v>
      </c>
      <c r="AI840" t="n">
        <v>5</v>
      </c>
      <c r="AJ840" t="n">
        <v>12</v>
      </c>
      <c r="AK840" t="n">
        <v>14</v>
      </c>
      <c r="AL840" t="n">
        <v>0</v>
      </c>
      <c r="AM840" t="n">
        <v>2</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HYPERLINK("https://creighton-primo.hosted.exlibrisgroup.com/primo-explore/search?tab=default_tab&amp;search_scope=EVERYTHING&amp;vid=01CRU&amp;lang=en_US&amp;offset=0&amp;query=any,contains,991003711979702656","Catalog Record")</f>
        <v/>
      </c>
      <c r="AT840">
        <f>HYPERLINK("http://www.worldcat.org/oclc/1353235","WorldCat Record")</f>
        <v/>
      </c>
      <c r="AU840" t="inlineStr">
        <is>
          <t>867389964:eng</t>
        </is>
      </c>
      <c r="AV840" t="inlineStr">
        <is>
          <t>1353235</t>
        </is>
      </c>
      <c r="AW840" t="inlineStr">
        <is>
          <t>991003711979702656</t>
        </is>
      </c>
      <c r="AX840" t="inlineStr">
        <is>
          <t>991003711979702656</t>
        </is>
      </c>
      <c r="AY840" t="inlineStr">
        <is>
          <t>2262758580002656</t>
        </is>
      </c>
      <c r="AZ840" t="inlineStr">
        <is>
          <t>BOOK</t>
        </is>
      </c>
      <c r="BB840" t="inlineStr">
        <is>
          <t>9780520026704</t>
        </is>
      </c>
      <c r="BC840" t="inlineStr">
        <is>
          <t>32285000631167</t>
        </is>
      </c>
      <c r="BD840" t="inlineStr">
        <is>
          <t>893705536</t>
        </is>
      </c>
    </row>
    <row r="841">
      <c r="A841" t="inlineStr">
        <is>
          <t>No</t>
        </is>
      </c>
      <c r="B841" t="inlineStr">
        <is>
          <t>DF552 .B96 1971b</t>
        </is>
      </c>
      <c r="C841" t="inlineStr">
        <is>
          <t>0                      DF 0552000B  96          1971b</t>
        </is>
      </c>
      <c r="D841" t="inlineStr">
        <is>
          <t>Byzantium : an introduction / edited by Philip Whitting.</t>
        </is>
      </c>
      <c r="F841" t="inlineStr">
        <is>
          <t>No</t>
        </is>
      </c>
      <c r="G841" t="inlineStr">
        <is>
          <t>1</t>
        </is>
      </c>
      <c r="H841" t="inlineStr">
        <is>
          <t>No</t>
        </is>
      </c>
      <c r="I841" t="inlineStr">
        <is>
          <t>No</t>
        </is>
      </c>
      <c r="J841" t="inlineStr">
        <is>
          <t>0</t>
        </is>
      </c>
      <c r="L841" t="inlineStr">
        <is>
          <t>New York : New York University Press, 1971.</t>
        </is>
      </c>
      <c r="M841" t="inlineStr">
        <is>
          <t>1971</t>
        </is>
      </c>
      <c r="O841" t="inlineStr">
        <is>
          <t>eng</t>
        </is>
      </c>
      <c r="P841" t="inlineStr">
        <is>
          <t>nyu</t>
        </is>
      </c>
      <c r="R841" t="inlineStr">
        <is>
          <t xml:space="preserve">DF </t>
        </is>
      </c>
      <c r="S841" t="n">
        <v>2</v>
      </c>
      <c r="T841" t="n">
        <v>2</v>
      </c>
      <c r="U841" t="inlineStr">
        <is>
          <t>1992-07-01</t>
        </is>
      </c>
      <c r="V841" t="inlineStr">
        <is>
          <t>1992-07-01</t>
        </is>
      </c>
      <c r="W841" t="inlineStr">
        <is>
          <t>1991-06-19</t>
        </is>
      </c>
      <c r="X841" t="inlineStr">
        <is>
          <t>1991-06-19</t>
        </is>
      </c>
      <c r="Y841" t="n">
        <v>499</v>
      </c>
      <c r="Z841" t="n">
        <v>463</v>
      </c>
      <c r="AA841" t="n">
        <v>714</v>
      </c>
      <c r="AB841" t="n">
        <v>4</v>
      </c>
      <c r="AC841" t="n">
        <v>6</v>
      </c>
      <c r="AD841" t="n">
        <v>20</v>
      </c>
      <c r="AE841" t="n">
        <v>32</v>
      </c>
      <c r="AF841" t="n">
        <v>7</v>
      </c>
      <c r="AG841" t="n">
        <v>9</v>
      </c>
      <c r="AH841" t="n">
        <v>4</v>
      </c>
      <c r="AI841" t="n">
        <v>8</v>
      </c>
      <c r="AJ841" t="n">
        <v>12</v>
      </c>
      <c r="AK841" t="n">
        <v>18</v>
      </c>
      <c r="AL841" t="n">
        <v>3</v>
      </c>
      <c r="AM841" t="n">
        <v>4</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HYPERLINK("https://creighton-primo.hosted.exlibrisgroup.com/primo-explore/search?tab=default_tab&amp;search_scope=EVERYTHING&amp;vid=01CRU&amp;lang=en_US&amp;offset=0&amp;query=any,contains,991002591939702656","Catalog Record")</f>
        <v/>
      </c>
      <c r="AT841">
        <f>HYPERLINK("http://www.worldcat.org/oclc/376035","WorldCat Record")</f>
        <v/>
      </c>
      <c r="AU841" t="inlineStr">
        <is>
          <t>53962813:eng</t>
        </is>
      </c>
      <c r="AV841" t="inlineStr">
        <is>
          <t>376035</t>
        </is>
      </c>
      <c r="AW841" t="inlineStr">
        <is>
          <t>991002591939702656</t>
        </is>
      </c>
      <c r="AX841" t="inlineStr">
        <is>
          <t>991002591939702656</t>
        </is>
      </c>
      <c r="AY841" t="inlineStr">
        <is>
          <t>2263520860002656</t>
        </is>
      </c>
      <c r="AZ841" t="inlineStr">
        <is>
          <t>BOOK</t>
        </is>
      </c>
      <c r="BB841" t="inlineStr">
        <is>
          <t>9780814791523</t>
        </is>
      </c>
      <c r="BC841" t="inlineStr">
        <is>
          <t>32285000631175</t>
        </is>
      </c>
      <c r="BD841" t="inlineStr">
        <is>
          <t>893685519</t>
        </is>
      </c>
    </row>
    <row r="842">
      <c r="A842" t="inlineStr">
        <is>
          <t>No</t>
        </is>
      </c>
      <c r="B842" t="inlineStr">
        <is>
          <t>DF552 .C48 1981</t>
        </is>
      </c>
      <c r="C842" t="inlineStr">
        <is>
          <t>0                      DF 0552000C  48          1981</t>
        </is>
      </c>
      <c r="D842" t="inlineStr">
        <is>
          <t>Mediaeval Greece / Nicolas Cheetham.</t>
        </is>
      </c>
      <c r="F842" t="inlineStr">
        <is>
          <t>No</t>
        </is>
      </c>
      <c r="G842" t="inlineStr">
        <is>
          <t>1</t>
        </is>
      </c>
      <c r="H842" t="inlineStr">
        <is>
          <t>No</t>
        </is>
      </c>
      <c r="I842" t="inlineStr">
        <is>
          <t>No</t>
        </is>
      </c>
      <c r="J842" t="inlineStr">
        <is>
          <t>0</t>
        </is>
      </c>
      <c r="K842" t="inlineStr">
        <is>
          <t>Cheetham, Nicolas, Sir, 1910-</t>
        </is>
      </c>
      <c r="L842" t="inlineStr">
        <is>
          <t>New Haven : Yale University Press, 1981.</t>
        </is>
      </c>
      <c r="M842" t="inlineStr">
        <is>
          <t>1981</t>
        </is>
      </c>
      <c r="O842" t="inlineStr">
        <is>
          <t>eng</t>
        </is>
      </c>
      <c r="P842" t="inlineStr">
        <is>
          <t>ctu</t>
        </is>
      </c>
      <c r="R842" t="inlineStr">
        <is>
          <t xml:space="preserve">DF </t>
        </is>
      </c>
      <c r="S842" t="n">
        <v>2</v>
      </c>
      <c r="T842" t="n">
        <v>2</v>
      </c>
      <c r="U842" t="inlineStr">
        <is>
          <t>2004-03-16</t>
        </is>
      </c>
      <c r="V842" t="inlineStr">
        <is>
          <t>2004-03-16</t>
        </is>
      </c>
      <c r="W842" t="inlineStr">
        <is>
          <t>1991-02-21</t>
        </is>
      </c>
      <c r="X842" t="inlineStr">
        <is>
          <t>1991-02-21</t>
        </is>
      </c>
      <c r="Y842" t="n">
        <v>646</v>
      </c>
      <c r="Z842" t="n">
        <v>519</v>
      </c>
      <c r="AA842" t="n">
        <v>529</v>
      </c>
      <c r="AB842" t="n">
        <v>3</v>
      </c>
      <c r="AC842" t="n">
        <v>3</v>
      </c>
      <c r="AD842" t="n">
        <v>20</v>
      </c>
      <c r="AE842" t="n">
        <v>20</v>
      </c>
      <c r="AF842" t="n">
        <v>4</v>
      </c>
      <c r="AG842" t="n">
        <v>4</v>
      </c>
      <c r="AH842" t="n">
        <v>6</v>
      </c>
      <c r="AI842" t="n">
        <v>6</v>
      </c>
      <c r="AJ842" t="n">
        <v>15</v>
      </c>
      <c r="AK842" t="n">
        <v>15</v>
      </c>
      <c r="AL842" t="n">
        <v>2</v>
      </c>
      <c r="AM842" t="n">
        <v>2</v>
      </c>
      <c r="AN842" t="n">
        <v>0</v>
      </c>
      <c r="AO842" t="n">
        <v>0</v>
      </c>
      <c r="AP842" t="inlineStr">
        <is>
          <t>No</t>
        </is>
      </c>
      <c r="AQ842" t="inlineStr">
        <is>
          <t>Yes</t>
        </is>
      </c>
      <c r="AR842">
        <f>HYPERLINK("http://catalog.hathitrust.org/Record/000262774","HathiTrust Record")</f>
        <v/>
      </c>
      <c r="AS842">
        <f>HYPERLINK("https://creighton-primo.hosted.exlibrisgroup.com/primo-explore/search?tab=default_tab&amp;search_scope=EVERYTHING&amp;vid=01CRU&amp;lang=en_US&amp;offset=0&amp;query=any,contains,991004943549702656","Catalog Record")</f>
        <v/>
      </c>
      <c r="AT842">
        <f>HYPERLINK("http://www.worldcat.org/oclc/6196268","WorldCat Record")</f>
        <v/>
      </c>
      <c r="AU842" t="inlineStr">
        <is>
          <t>118149437:eng</t>
        </is>
      </c>
      <c r="AV842" t="inlineStr">
        <is>
          <t>6196268</t>
        </is>
      </c>
      <c r="AW842" t="inlineStr">
        <is>
          <t>991004943549702656</t>
        </is>
      </c>
      <c r="AX842" t="inlineStr">
        <is>
          <t>991004943549702656</t>
        </is>
      </c>
      <c r="AY842" t="inlineStr">
        <is>
          <t>2266307170002656</t>
        </is>
      </c>
      <c r="AZ842" t="inlineStr">
        <is>
          <t>BOOK</t>
        </is>
      </c>
      <c r="BB842" t="inlineStr">
        <is>
          <t>9780300024210</t>
        </is>
      </c>
      <c r="BC842" t="inlineStr">
        <is>
          <t>32285000520568</t>
        </is>
      </c>
      <c r="BD842" t="inlineStr">
        <is>
          <t>893344439</t>
        </is>
      </c>
    </row>
    <row r="843">
      <c r="A843" t="inlineStr">
        <is>
          <t>No</t>
        </is>
      </c>
      <c r="B843" t="inlineStr">
        <is>
          <t>DF552 .O25 1971b</t>
        </is>
      </c>
      <c r="C843" t="inlineStr">
        <is>
          <t>0                      DF 0552000O  25          1971b</t>
        </is>
      </c>
      <c r="D843" t="inlineStr">
        <is>
          <t>The Byzantine commonwealth; Eastern Europe, 500-1453.</t>
        </is>
      </c>
      <c r="F843" t="inlineStr">
        <is>
          <t>No</t>
        </is>
      </c>
      <c r="G843" t="inlineStr">
        <is>
          <t>1</t>
        </is>
      </c>
      <c r="H843" t="inlineStr">
        <is>
          <t>No</t>
        </is>
      </c>
      <c r="I843" t="inlineStr">
        <is>
          <t>No</t>
        </is>
      </c>
      <c r="J843" t="inlineStr">
        <is>
          <t>0</t>
        </is>
      </c>
      <c r="K843" t="inlineStr">
        <is>
          <t>Obolensky, Dimitri, 1918-2001.</t>
        </is>
      </c>
      <c r="L843" t="inlineStr">
        <is>
          <t>New York, Praeger Publishers [1971]</t>
        </is>
      </c>
      <c r="M843" t="inlineStr">
        <is>
          <t>1971</t>
        </is>
      </c>
      <c r="O843" t="inlineStr">
        <is>
          <t>eng</t>
        </is>
      </c>
      <c r="P843" t="inlineStr">
        <is>
          <t>nyu</t>
        </is>
      </c>
      <c r="Q843" t="inlineStr">
        <is>
          <t>History of civilization</t>
        </is>
      </c>
      <c r="R843" t="inlineStr">
        <is>
          <t xml:space="preserve">DF </t>
        </is>
      </c>
      <c r="S843" t="n">
        <v>1</v>
      </c>
      <c r="T843" t="n">
        <v>1</v>
      </c>
      <c r="U843" t="inlineStr">
        <is>
          <t>2003-06-27</t>
        </is>
      </c>
      <c r="V843" t="inlineStr">
        <is>
          <t>2003-06-27</t>
        </is>
      </c>
      <c r="W843" t="inlineStr">
        <is>
          <t>1997-01-30</t>
        </is>
      </c>
      <c r="X843" t="inlineStr">
        <is>
          <t>1997-01-30</t>
        </is>
      </c>
      <c r="Y843" t="n">
        <v>865</v>
      </c>
      <c r="Z843" t="n">
        <v>826</v>
      </c>
      <c r="AA843" t="n">
        <v>1196</v>
      </c>
      <c r="AB843" t="n">
        <v>9</v>
      </c>
      <c r="AC843" t="n">
        <v>12</v>
      </c>
      <c r="AD843" t="n">
        <v>29</v>
      </c>
      <c r="AE843" t="n">
        <v>49</v>
      </c>
      <c r="AF843" t="n">
        <v>8</v>
      </c>
      <c r="AG843" t="n">
        <v>17</v>
      </c>
      <c r="AH843" t="n">
        <v>5</v>
      </c>
      <c r="AI843" t="n">
        <v>10</v>
      </c>
      <c r="AJ843" t="n">
        <v>11</v>
      </c>
      <c r="AK843" t="n">
        <v>22</v>
      </c>
      <c r="AL843" t="n">
        <v>7</v>
      </c>
      <c r="AM843" t="n">
        <v>9</v>
      </c>
      <c r="AN843" t="n">
        <v>1</v>
      </c>
      <c r="AO843" t="n">
        <v>1</v>
      </c>
      <c r="AP843" t="inlineStr">
        <is>
          <t>No</t>
        </is>
      </c>
      <c r="AQ843" t="inlineStr">
        <is>
          <t>Yes</t>
        </is>
      </c>
      <c r="AR843">
        <f>HYPERLINK("http://catalog.hathitrust.org/Record/000614062","HathiTrust Record")</f>
        <v/>
      </c>
      <c r="AS843">
        <f>HYPERLINK("https://creighton-primo.hosted.exlibrisgroup.com/primo-explore/search?tab=default_tab&amp;search_scope=EVERYTHING&amp;vid=01CRU&amp;lang=en_US&amp;offset=0&amp;query=any,contains,991001269379702656","Catalog Record")</f>
        <v/>
      </c>
      <c r="AT843">
        <f>HYPERLINK("http://www.worldcat.org/oclc/211175","WorldCat Record")</f>
        <v/>
      </c>
      <c r="AU843" t="inlineStr">
        <is>
          <t>911040:eng</t>
        </is>
      </c>
      <c r="AV843" t="inlineStr">
        <is>
          <t>211175</t>
        </is>
      </c>
      <c r="AW843" t="inlineStr">
        <is>
          <t>991001269379702656</t>
        </is>
      </c>
      <c r="AX843" t="inlineStr">
        <is>
          <t>991001269379702656</t>
        </is>
      </c>
      <c r="AY843" t="inlineStr">
        <is>
          <t>2262463040002656</t>
        </is>
      </c>
      <c r="AZ843" t="inlineStr">
        <is>
          <t>BOOK</t>
        </is>
      </c>
      <c r="BC843" t="inlineStr">
        <is>
          <t>32285002419165</t>
        </is>
      </c>
      <c r="BD843" t="inlineStr">
        <is>
          <t>893334210</t>
        </is>
      </c>
    </row>
    <row r="844">
      <c r="A844" t="inlineStr">
        <is>
          <t>No</t>
        </is>
      </c>
      <c r="B844" t="inlineStr">
        <is>
          <t>DF552 .T64 2001</t>
        </is>
      </c>
      <c r="C844" t="inlineStr">
        <is>
          <t>0                      DF 0552000T  64          2001</t>
        </is>
      </c>
      <c r="D844" t="inlineStr">
        <is>
          <t>A concise history of Byzantium / Warren Treadgold.</t>
        </is>
      </c>
      <c r="F844" t="inlineStr">
        <is>
          <t>No</t>
        </is>
      </c>
      <c r="G844" t="inlineStr">
        <is>
          <t>1</t>
        </is>
      </c>
      <c r="H844" t="inlineStr">
        <is>
          <t>No</t>
        </is>
      </c>
      <c r="I844" t="inlineStr">
        <is>
          <t>No</t>
        </is>
      </c>
      <c r="J844" t="inlineStr">
        <is>
          <t>0</t>
        </is>
      </c>
      <c r="K844" t="inlineStr">
        <is>
          <t>Treadgold, Warren, 1949-</t>
        </is>
      </c>
      <c r="L844" t="inlineStr">
        <is>
          <t>Houndmills, Basingstoke, Hampshire ; New York, NY : Palgrave, 2001.</t>
        </is>
      </c>
      <c r="M844" t="inlineStr">
        <is>
          <t>2001</t>
        </is>
      </c>
      <c r="O844" t="inlineStr">
        <is>
          <t>eng</t>
        </is>
      </c>
      <c r="P844" t="inlineStr">
        <is>
          <t>enk</t>
        </is>
      </c>
      <c r="R844" t="inlineStr">
        <is>
          <t xml:space="preserve">DF </t>
        </is>
      </c>
      <c r="S844" t="n">
        <v>1</v>
      </c>
      <c r="T844" t="n">
        <v>1</v>
      </c>
      <c r="U844" t="inlineStr">
        <is>
          <t>2008-12-11</t>
        </is>
      </c>
      <c r="V844" t="inlineStr">
        <is>
          <t>2008-12-11</t>
        </is>
      </c>
      <c r="W844" t="inlineStr">
        <is>
          <t>2008-12-11</t>
        </is>
      </c>
      <c r="X844" t="inlineStr">
        <is>
          <t>2008-12-11</t>
        </is>
      </c>
      <c r="Y844" t="n">
        <v>880</v>
      </c>
      <c r="Z844" t="n">
        <v>761</v>
      </c>
      <c r="AA844" t="n">
        <v>794</v>
      </c>
      <c r="AB844" t="n">
        <v>5</v>
      </c>
      <c r="AC844" t="n">
        <v>5</v>
      </c>
      <c r="AD844" t="n">
        <v>18</v>
      </c>
      <c r="AE844" t="n">
        <v>19</v>
      </c>
      <c r="AF844" t="n">
        <v>5</v>
      </c>
      <c r="AG844" t="n">
        <v>6</v>
      </c>
      <c r="AH844" t="n">
        <v>7</v>
      </c>
      <c r="AI844" t="n">
        <v>7</v>
      </c>
      <c r="AJ844" t="n">
        <v>9</v>
      </c>
      <c r="AK844" t="n">
        <v>9</v>
      </c>
      <c r="AL844" t="n">
        <v>2</v>
      </c>
      <c r="AM844" t="n">
        <v>2</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HYPERLINK("https://creighton-primo.hosted.exlibrisgroup.com/primo-explore/search?tab=default_tab&amp;search_scope=EVERYTHING&amp;vid=01CRU&amp;lang=en_US&amp;offset=0&amp;query=any,contains,991005283279702656","Catalog Record")</f>
        <v/>
      </c>
      <c r="AT844">
        <f>HYPERLINK("http://www.worldcat.org/oclc/44039354","WorldCat Record")</f>
        <v/>
      </c>
      <c r="AU844" t="inlineStr">
        <is>
          <t>20534329:eng</t>
        </is>
      </c>
      <c r="AV844" t="inlineStr">
        <is>
          <t>44039354</t>
        </is>
      </c>
      <c r="AW844" t="inlineStr">
        <is>
          <t>991005283279702656</t>
        </is>
      </c>
      <c r="AX844" t="inlineStr">
        <is>
          <t>991005283279702656</t>
        </is>
      </c>
      <c r="AY844" t="inlineStr">
        <is>
          <t>2265496710002656</t>
        </is>
      </c>
      <c r="AZ844" t="inlineStr">
        <is>
          <t>BOOK</t>
        </is>
      </c>
      <c r="BB844" t="inlineStr">
        <is>
          <t>9780312238445</t>
        </is>
      </c>
      <c r="BC844" t="inlineStr">
        <is>
          <t>32285005472724</t>
        </is>
      </c>
      <c r="BD844" t="inlineStr">
        <is>
          <t>893437464</t>
        </is>
      </c>
    </row>
    <row r="845">
      <c r="A845" t="inlineStr">
        <is>
          <t>No</t>
        </is>
      </c>
      <c r="B845" t="inlineStr">
        <is>
          <t>DF552 .T65 1997</t>
        </is>
      </c>
      <c r="C845" t="inlineStr">
        <is>
          <t>0                      DF 0552000T  65          1997</t>
        </is>
      </c>
      <c r="D845" t="inlineStr">
        <is>
          <t>A history of the Byzantine state and society / Warren Treadgold.</t>
        </is>
      </c>
      <c r="F845" t="inlineStr">
        <is>
          <t>No</t>
        </is>
      </c>
      <c r="G845" t="inlineStr">
        <is>
          <t>1</t>
        </is>
      </c>
      <c r="H845" t="inlineStr">
        <is>
          <t>No</t>
        </is>
      </c>
      <c r="I845" t="inlineStr">
        <is>
          <t>No</t>
        </is>
      </c>
      <c r="J845" t="inlineStr">
        <is>
          <t>0</t>
        </is>
      </c>
      <c r="K845" t="inlineStr">
        <is>
          <t>Treadgold, Warren, 1949-</t>
        </is>
      </c>
      <c r="L845" t="inlineStr">
        <is>
          <t>Stanford, Calif. : Stanford University Press, 1997.</t>
        </is>
      </c>
      <c r="M845" t="inlineStr">
        <is>
          <t>1997</t>
        </is>
      </c>
      <c r="O845" t="inlineStr">
        <is>
          <t>eng</t>
        </is>
      </c>
      <c r="P845" t="inlineStr">
        <is>
          <t>cau</t>
        </is>
      </c>
      <c r="R845" t="inlineStr">
        <is>
          <t xml:space="preserve">DF </t>
        </is>
      </c>
      <c r="S845" t="n">
        <v>9</v>
      </c>
      <c r="T845" t="n">
        <v>9</v>
      </c>
      <c r="U845" t="inlineStr">
        <is>
          <t>2006-11-07</t>
        </is>
      </c>
      <c r="V845" t="inlineStr">
        <is>
          <t>2006-11-07</t>
        </is>
      </c>
      <c r="W845" t="inlineStr">
        <is>
          <t>2000-03-20</t>
        </is>
      </c>
      <c r="X845" t="inlineStr">
        <is>
          <t>2000-03-20</t>
        </is>
      </c>
      <c r="Y845" t="n">
        <v>883</v>
      </c>
      <c r="Z845" t="n">
        <v>711</v>
      </c>
      <c r="AA845" t="n">
        <v>865</v>
      </c>
      <c r="AB845" t="n">
        <v>4</v>
      </c>
      <c r="AC845" t="n">
        <v>7</v>
      </c>
      <c r="AD845" t="n">
        <v>29</v>
      </c>
      <c r="AE845" t="n">
        <v>38</v>
      </c>
      <c r="AF845" t="n">
        <v>9</v>
      </c>
      <c r="AG845" t="n">
        <v>14</v>
      </c>
      <c r="AH845" t="n">
        <v>6</v>
      </c>
      <c r="AI845" t="n">
        <v>9</v>
      </c>
      <c r="AJ845" t="n">
        <v>20</v>
      </c>
      <c r="AK845" t="n">
        <v>21</v>
      </c>
      <c r="AL845" t="n">
        <v>3</v>
      </c>
      <c r="AM845" t="n">
        <v>6</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HYPERLINK("https://creighton-primo.hosted.exlibrisgroup.com/primo-explore/search?tab=default_tab&amp;search_scope=EVERYTHING&amp;vid=01CRU&amp;lang=en_US&amp;offset=0&amp;query=any,contains,991002822789702656","Catalog Record")</f>
        <v/>
      </c>
      <c r="AT845">
        <f>HYPERLINK("http://www.worldcat.org/oclc/37154904","WorldCat Record")</f>
        <v/>
      </c>
      <c r="AU845" t="inlineStr">
        <is>
          <t>613194:eng</t>
        </is>
      </c>
      <c r="AV845" t="inlineStr">
        <is>
          <t>37154904</t>
        </is>
      </c>
      <c r="AW845" t="inlineStr">
        <is>
          <t>991002822789702656</t>
        </is>
      </c>
      <c r="AX845" t="inlineStr">
        <is>
          <t>991002822789702656</t>
        </is>
      </c>
      <c r="AY845" t="inlineStr">
        <is>
          <t>2257208910002656</t>
        </is>
      </c>
      <c r="AZ845" t="inlineStr">
        <is>
          <t>BOOK</t>
        </is>
      </c>
      <c r="BB845" t="inlineStr">
        <is>
          <t>9780804724210</t>
        </is>
      </c>
      <c r="BC845" t="inlineStr">
        <is>
          <t>32285003672432</t>
        </is>
      </c>
      <c r="BD845" t="inlineStr">
        <is>
          <t>893341899</t>
        </is>
      </c>
    </row>
    <row r="846">
      <c r="A846" t="inlineStr">
        <is>
          <t>No</t>
        </is>
      </c>
      <c r="B846" t="inlineStr">
        <is>
          <t>DF553 .N68 1997</t>
        </is>
      </c>
      <c r="C846" t="inlineStr">
        <is>
          <t>0                      DF 0553000N  68          1997</t>
        </is>
      </c>
      <c r="D846" t="inlineStr">
        <is>
          <t>A short history of Byzantium / John Julius Norwich.</t>
        </is>
      </c>
      <c r="F846" t="inlineStr">
        <is>
          <t>No</t>
        </is>
      </c>
      <c r="G846" t="inlineStr">
        <is>
          <t>1</t>
        </is>
      </c>
      <c r="H846" t="inlineStr">
        <is>
          <t>No</t>
        </is>
      </c>
      <c r="I846" t="inlineStr">
        <is>
          <t>No</t>
        </is>
      </c>
      <c r="J846" t="inlineStr">
        <is>
          <t>0</t>
        </is>
      </c>
      <c r="K846" t="inlineStr">
        <is>
          <t>Norwich, John Julius, 1929-2018.</t>
        </is>
      </c>
      <c r="L846" t="inlineStr">
        <is>
          <t>New York : Knopf, 1997.</t>
        </is>
      </c>
      <c r="M846" t="inlineStr">
        <is>
          <t>1997</t>
        </is>
      </c>
      <c r="N846" t="inlineStr">
        <is>
          <t>1st American ed.</t>
        </is>
      </c>
      <c r="O846" t="inlineStr">
        <is>
          <t>eng</t>
        </is>
      </c>
      <c r="P846" t="inlineStr">
        <is>
          <t>nyu</t>
        </is>
      </c>
      <c r="R846" t="inlineStr">
        <is>
          <t xml:space="preserve">DF </t>
        </is>
      </c>
      <c r="S846" t="n">
        <v>5</v>
      </c>
      <c r="T846" t="n">
        <v>5</v>
      </c>
      <c r="U846" t="inlineStr">
        <is>
          <t>2010-01-19</t>
        </is>
      </c>
      <c r="V846" t="inlineStr">
        <is>
          <t>2010-01-19</t>
        </is>
      </c>
      <c r="W846" t="inlineStr">
        <is>
          <t>1998-02-05</t>
        </is>
      </c>
      <c r="X846" t="inlineStr">
        <is>
          <t>1998-02-05</t>
        </is>
      </c>
      <c r="Y846" t="n">
        <v>1136</v>
      </c>
      <c r="Z846" t="n">
        <v>1079</v>
      </c>
      <c r="AA846" t="n">
        <v>1300</v>
      </c>
      <c r="AB846" t="n">
        <v>7</v>
      </c>
      <c r="AC846" t="n">
        <v>8</v>
      </c>
      <c r="AD846" t="n">
        <v>25</v>
      </c>
      <c r="AE846" t="n">
        <v>34</v>
      </c>
      <c r="AF846" t="n">
        <v>9</v>
      </c>
      <c r="AG846" t="n">
        <v>15</v>
      </c>
      <c r="AH846" t="n">
        <v>6</v>
      </c>
      <c r="AI846" t="n">
        <v>6</v>
      </c>
      <c r="AJ846" t="n">
        <v>13</v>
      </c>
      <c r="AK846" t="n">
        <v>16</v>
      </c>
      <c r="AL846" t="n">
        <v>4</v>
      </c>
      <c r="AM846" t="n">
        <v>5</v>
      </c>
      <c r="AN846" t="n">
        <v>0</v>
      </c>
      <c r="AO846" t="n">
        <v>0</v>
      </c>
      <c r="AP846" t="inlineStr">
        <is>
          <t>No</t>
        </is>
      </c>
      <c r="AQ846" t="inlineStr">
        <is>
          <t>Yes</t>
        </is>
      </c>
      <c r="AR846">
        <f>HYPERLINK("http://catalog.hathitrust.org/Record/003137975","HathiTrust Record")</f>
        <v/>
      </c>
      <c r="AS846">
        <f>HYPERLINK("https://creighton-primo.hosted.exlibrisgroup.com/primo-explore/search?tab=default_tab&amp;search_scope=EVERYTHING&amp;vid=01CRU&amp;lang=en_US&amp;offset=0&amp;query=any,contains,991002723379702656","Catalog Record")</f>
        <v/>
      </c>
      <c r="AT846">
        <f>HYPERLINK("http://www.worldcat.org/oclc/35714559","WorldCat Record")</f>
        <v/>
      </c>
      <c r="AU846" t="inlineStr">
        <is>
          <t>20999024:eng</t>
        </is>
      </c>
      <c r="AV846" t="inlineStr">
        <is>
          <t>35714559</t>
        </is>
      </c>
      <c r="AW846" t="inlineStr">
        <is>
          <t>991002723379702656</t>
        </is>
      </c>
      <c r="AX846" t="inlineStr">
        <is>
          <t>991002723379702656</t>
        </is>
      </c>
      <c r="AY846" t="inlineStr">
        <is>
          <t>2255874110002656</t>
        </is>
      </c>
      <c r="AZ846" t="inlineStr">
        <is>
          <t>BOOK</t>
        </is>
      </c>
      <c r="BB846" t="inlineStr">
        <is>
          <t>9780679450887</t>
        </is>
      </c>
      <c r="BC846" t="inlineStr">
        <is>
          <t>32285003312641</t>
        </is>
      </c>
      <c r="BD846" t="inlineStr">
        <is>
          <t>893773958</t>
        </is>
      </c>
    </row>
    <row r="847">
      <c r="A847" t="inlineStr">
        <is>
          <t>No</t>
        </is>
      </c>
      <c r="B847" t="inlineStr">
        <is>
          <t>DF555 .G73 1998</t>
        </is>
      </c>
      <c r="C847" t="inlineStr">
        <is>
          <t>0                      DF 0555000G  73          1998</t>
        </is>
      </c>
      <c r="D847" t="inlineStr">
        <is>
          <t>From Rome to Byzantium : the fifth century A.D. / Michael Grant.</t>
        </is>
      </c>
      <c r="F847" t="inlineStr">
        <is>
          <t>No</t>
        </is>
      </c>
      <c r="G847" t="inlineStr">
        <is>
          <t>1</t>
        </is>
      </c>
      <c r="H847" t="inlineStr">
        <is>
          <t>No</t>
        </is>
      </c>
      <c r="I847" t="inlineStr">
        <is>
          <t>No</t>
        </is>
      </c>
      <c r="J847" t="inlineStr">
        <is>
          <t>0</t>
        </is>
      </c>
      <c r="K847" t="inlineStr">
        <is>
          <t>Grant, Michael, 1914-2004.</t>
        </is>
      </c>
      <c r="L847" t="inlineStr">
        <is>
          <t>London; New York : Routledge, 1998.</t>
        </is>
      </c>
      <c r="M847" t="inlineStr">
        <is>
          <t>1998</t>
        </is>
      </c>
      <c r="O847" t="inlineStr">
        <is>
          <t>eng</t>
        </is>
      </c>
      <c r="P847" t="inlineStr">
        <is>
          <t>nyu</t>
        </is>
      </c>
      <c r="R847" t="inlineStr">
        <is>
          <t xml:space="preserve">DF </t>
        </is>
      </c>
      <c r="S847" t="n">
        <v>8</v>
      </c>
      <c r="T847" t="n">
        <v>8</v>
      </c>
      <c r="U847" t="inlineStr">
        <is>
          <t>2003-12-18</t>
        </is>
      </c>
      <c r="V847" t="inlineStr">
        <is>
          <t>2003-12-18</t>
        </is>
      </c>
      <c r="W847" t="inlineStr">
        <is>
          <t>1998-07-09</t>
        </is>
      </c>
      <c r="X847" t="inlineStr">
        <is>
          <t>1998-07-09</t>
        </is>
      </c>
      <c r="Y847" t="n">
        <v>623</v>
      </c>
      <c r="Z847" t="n">
        <v>498</v>
      </c>
      <c r="AA847" t="n">
        <v>528</v>
      </c>
      <c r="AB847" t="n">
        <v>6</v>
      </c>
      <c r="AC847" t="n">
        <v>6</v>
      </c>
      <c r="AD847" t="n">
        <v>24</v>
      </c>
      <c r="AE847" t="n">
        <v>24</v>
      </c>
      <c r="AF847" t="n">
        <v>7</v>
      </c>
      <c r="AG847" t="n">
        <v>7</v>
      </c>
      <c r="AH847" t="n">
        <v>7</v>
      </c>
      <c r="AI847" t="n">
        <v>7</v>
      </c>
      <c r="AJ847" t="n">
        <v>13</v>
      </c>
      <c r="AK847" t="n">
        <v>13</v>
      </c>
      <c r="AL847" t="n">
        <v>5</v>
      </c>
      <c r="AM847" t="n">
        <v>5</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HYPERLINK("https://creighton-primo.hosted.exlibrisgroup.com/primo-explore/search?tab=default_tab&amp;search_scope=EVERYTHING&amp;vid=01CRU&amp;lang=en_US&amp;offset=0&amp;query=any,contains,991002808649702656","Catalog Record")</f>
        <v/>
      </c>
      <c r="AT847">
        <f>HYPERLINK("http://www.worldcat.org/oclc/36900722","WorldCat Record")</f>
        <v/>
      </c>
      <c r="AU847" t="inlineStr">
        <is>
          <t>9490361645:eng</t>
        </is>
      </c>
      <c r="AV847" t="inlineStr">
        <is>
          <t>36900722</t>
        </is>
      </c>
      <c r="AW847" t="inlineStr">
        <is>
          <t>991002808649702656</t>
        </is>
      </c>
      <c r="AX847" t="inlineStr">
        <is>
          <t>991002808649702656</t>
        </is>
      </c>
      <c r="AY847" t="inlineStr">
        <is>
          <t>2271994810002656</t>
        </is>
      </c>
      <c r="AZ847" t="inlineStr">
        <is>
          <t>BOOK</t>
        </is>
      </c>
      <c r="BB847" t="inlineStr">
        <is>
          <t>9780415147538</t>
        </is>
      </c>
      <c r="BC847" t="inlineStr">
        <is>
          <t>32285003430971</t>
        </is>
      </c>
      <c r="BD847" t="inlineStr">
        <is>
          <t>893692029</t>
        </is>
      </c>
    </row>
    <row r="848">
      <c r="A848" t="inlineStr">
        <is>
          <t>No</t>
        </is>
      </c>
      <c r="B848" t="inlineStr">
        <is>
          <t>DF555 .W55 1999</t>
        </is>
      </c>
      <c r="C848" t="inlineStr">
        <is>
          <t>0                      DF 0555000W  55          1999</t>
        </is>
      </c>
      <c r="D848" t="inlineStr">
        <is>
          <t>The Rome that did not fall : the survival of the East in the fifth century / Stephen Williams and Gerard Friell.</t>
        </is>
      </c>
      <c r="F848" t="inlineStr">
        <is>
          <t>No</t>
        </is>
      </c>
      <c r="G848" t="inlineStr">
        <is>
          <t>1</t>
        </is>
      </c>
      <c r="H848" t="inlineStr">
        <is>
          <t>No</t>
        </is>
      </c>
      <c r="I848" t="inlineStr">
        <is>
          <t>No</t>
        </is>
      </c>
      <c r="J848" t="inlineStr">
        <is>
          <t>0</t>
        </is>
      </c>
      <c r="K848" t="inlineStr">
        <is>
          <t>Williams, Stephen, 1942-2004.</t>
        </is>
      </c>
      <c r="L848" t="inlineStr">
        <is>
          <t>London ; New York : Routledge, 1999.</t>
        </is>
      </c>
      <c r="M848" t="inlineStr">
        <is>
          <t>1999</t>
        </is>
      </c>
      <c r="O848" t="inlineStr">
        <is>
          <t>eng</t>
        </is>
      </c>
      <c r="P848" t="inlineStr">
        <is>
          <t>enk</t>
        </is>
      </c>
      <c r="R848" t="inlineStr">
        <is>
          <t xml:space="preserve">DF </t>
        </is>
      </c>
      <c r="S848" t="n">
        <v>2</v>
      </c>
      <c r="T848" t="n">
        <v>2</v>
      </c>
      <c r="U848" t="inlineStr">
        <is>
          <t>2004-03-30</t>
        </is>
      </c>
      <c r="V848" t="inlineStr">
        <is>
          <t>2004-03-30</t>
        </is>
      </c>
      <c r="W848" t="inlineStr">
        <is>
          <t>2004-03-22</t>
        </is>
      </c>
      <c r="X848" t="inlineStr">
        <is>
          <t>2004-03-22</t>
        </is>
      </c>
      <c r="Y848" t="n">
        <v>365</v>
      </c>
      <c r="Z848" t="n">
        <v>256</v>
      </c>
      <c r="AA848" t="n">
        <v>1045</v>
      </c>
      <c r="AB848" t="n">
        <v>3</v>
      </c>
      <c r="AC848" t="n">
        <v>15</v>
      </c>
      <c r="AD848" t="n">
        <v>15</v>
      </c>
      <c r="AE848" t="n">
        <v>39</v>
      </c>
      <c r="AF848" t="n">
        <v>7</v>
      </c>
      <c r="AG848" t="n">
        <v>13</v>
      </c>
      <c r="AH848" t="n">
        <v>4</v>
      </c>
      <c r="AI848" t="n">
        <v>8</v>
      </c>
      <c r="AJ848" t="n">
        <v>8</v>
      </c>
      <c r="AK848" t="n">
        <v>13</v>
      </c>
      <c r="AL848" t="n">
        <v>2</v>
      </c>
      <c r="AM848" t="n">
        <v>13</v>
      </c>
      <c r="AN848" t="n">
        <v>0</v>
      </c>
      <c r="AO848" t="n">
        <v>1</v>
      </c>
      <c r="AP848" t="inlineStr">
        <is>
          <t>No</t>
        </is>
      </c>
      <c r="AQ848" t="inlineStr">
        <is>
          <t>No</t>
        </is>
      </c>
      <c r="AS848">
        <f>HYPERLINK("https://creighton-primo.hosted.exlibrisgroup.com/primo-explore/search?tab=default_tab&amp;search_scope=EVERYTHING&amp;vid=01CRU&amp;lang=en_US&amp;offset=0&amp;query=any,contains,991004240279702656","Catalog Record")</f>
        <v/>
      </c>
      <c r="AT848">
        <f>HYPERLINK("http://www.worldcat.org/oclc/39001195","WorldCat Record")</f>
        <v/>
      </c>
      <c r="AU848" t="inlineStr">
        <is>
          <t>793105163:eng</t>
        </is>
      </c>
      <c r="AV848" t="inlineStr">
        <is>
          <t>39001195</t>
        </is>
      </c>
      <c r="AW848" t="inlineStr">
        <is>
          <t>991004240279702656</t>
        </is>
      </c>
      <c r="AX848" t="inlineStr">
        <is>
          <t>991004240279702656</t>
        </is>
      </c>
      <c r="AY848" t="inlineStr">
        <is>
          <t>2260844330002656</t>
        </is>
      </c>
      <c r="AZ848" t="inlineStr">
        <is>
          <t>BOOK</t>
        </is>
      </c>
      <c r="BB848" t="inlineStr">
        <is>
          <t>9780415154031</t>
        </is>
      </c>
      <c r="BC848" t="inlineStr">
        <is>
          <t>32285004895420</t>
        </is>
      </c>
      <c r="BD848" t="inlineStr">
        <is>
          <t>893612117</t>
        </is>
      </c>
    </row>
    <row r="849">
      <c r="A849" t="inlineStr">
        <is>
          <t>No</t>
        </is>
      </c>
      <c r="B849" t="inlineStr">
        <is>
          <t>DF556 .W45 1996</t>
        </is>
      </c>
      <c r="C849" t="inlineStr">
        <is>
          <t>0                      DF 0556000W  45          1996</t>
        </is>
      </c>
      <c r="D849" t="inlineStr">
        <is>
          <t>The making of Byzantium, 600-1025 / Mark Whittow.</t>
        </is>
      </c>
      <c r="F849" t="inlineStr">
        <is>
          <t>No</t>
        </is>
      </c>
      <c r="G849" t="inlineStr">
        <is>
          <t>1</t>
        </is>
      </c>
      <c r="H849" t="inlineStr">
        <is>
          <t>No</t>
        </is>
      </c>
      <c r="I849" t="inlineStr">
        <is>
          <t>No</t>
        </is>
      </c>
      <c r="J849" t="inlineStr">
        <is>
          <t>0</t>
        </is>
      </c>
      <c r="K849" t="inlineStr">
        <is>
          <t>Whittow, Mark, 1957-</t>
        </is>
      </c>
      <c r="L849" t="inlineStr">
        <is>
          <t>Berkeley : University of California Press, c1996.</t>
        </is>
      </c>
      <c r="M849" t="inlineStr">
        <is>
          <t>1996</t>
        </is>
      </c>
      <c r="O849" t="inlineStr">
        <is>
          <t>eng</t>
        </is>
      </c>
      <c r="P849" t="inlineStr">
        <is>
          <t>cau</t>
        </is>
      </c>
      <c r="R849" t="inlineStr">
        <is>
          <t xml:space="preserve">DF </t>
        </is>
      </c>
      <c r="S849" t="n">
        <v>1</v>
      </c>
      <c r="T849" t="n">
        <v>1</v>
      </c>
      <c r="U849" t="inlineStr">
        <is>
          <t>1998-02-16</t>
        </is>
      </c>
      <c r="V849" t="inlineStr">
        <is>
          <t>1998-02-16</t>
        </is>
      </c>
      <c r="W849" t="inlineStr">
        <is>
          <t>1998-02-09</t>
        </is>
      </c>
      <c r="X849" t="inlineStr">
        <is>
          <t>1998-02-09</t>
        </is>
      </c>
      <c r="Y849" t="n">
        <v>657</v>
      </c>
      <c r="Z849" t="n">
        <v>568</v>
      </c>
      <c r="AA849" t="n">
        <v>710</v>
      </c>
      <c r="AB849" t="n">
        <v>3</v>
      </c>
      <c r="AC849" t="n">
        <v>5</v>
      </c>
      <c r="AD849" t="n">
        <v>30</v>
      </c>
      <c r="AE849" t="n">
        <v>38</v>
      </c>
      <c r="AF849" t="n">
        <v>14</v>
      </c>
      <c r="AG849" t="n">
        <v>16</v>
      </c>
      <c r="AH849" t="n">
        <v>5</v>
      </c>
      <c r="AI849" t="n">
        <v>8</v>
      </c>
      <c r="AJ849" t="n">
        <v>17</v>
      </c>
      <c r="AK849" t="n">
        <v>20</v>
      </c>
      <c r="AL849" t="n">
        <v>2</v>
      </c>
      <c r="AM849" t="n">
        <v>4</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HYPERLINK("https://creighton-primo.hosted.exlibrisgroup.com/primo-explore/search?tab=default_tab&amp;search_scope=EVERYTHING&amp;vid=01CRU&amp;lang=en_US&amp;offset=0&amp;query=any,contains,991002567669702656","Catalog Record")</f>
        <v/>
      </c>
      <c r="AT849">
        <f>HYPERLINK("http://www.worldcat.org/oclc/33361212","WorldCat Record")</f>
        <v/>
      </c>
      <c r="AU849" t="inlineStr">
        <is>
          <t>3901611869:eng</t>
        </is>
      </c>
      <c r="AV849" t="inlineStr">
        <is>
          <t>33361212</t>
        </is>
      </c>
      <c r="AW849" t="inlineStr">
        <is>
          <t>991002567669702656</t>
        </is>
      </c>
      <c r="AX849" t="inlineStr">
        <is>
          <t>991002567669702656</t>
        </is>
      </c>
      <c r="AY849" t="inlineStr">
        <is>
          <t>2266190800002656</t>
        </is>
      </c>
      <c r="AZ849" t="inlineStr">
        <is>
          <t>BOOK</t>
        </is>
      </c>
      <c r="BB849" t="inlineStr">
        <is>
          <t>9780520204966</t>
        </is>
      </c>
      <c r="BC849" t="inlineStr">
        <is>
          <t>32285003313094</t>
        </is>
      </c>
      <c r="BD849" t="inlineStr">
        <is>
          <t>893610008</t>
        </is>
      </c>
    </row>
    <row r="850">
      <c r="A850" t="inlineStr">
        <is>
          <t>No</t>
        </is>
      </c>
      <c r="B850" t="inlineStr">
        <is>
          <t>DF562 .M55 2006</t>
        </is>
      </c>
      <c r="C850" t="inlineStr">
        <is>
          <t>0                      DF 0562000M  55          2006</t>
        </is>
      </c>
      <c r="D850" t="inlineStr">
        <is>
          <t>A Greek Roman Empire : power and belief under Theodosius II (408-450) / Fergus Millar.</t>
        </is>
      </c>
      <c r="F850" t="inlineStr">
        <is>
          <t>No</t>
        </is>
      </c>
      <c r="G850" t="inlineStr">
        <is>
          <t>1</t>
        </is>
      </c>
      <c r="H850" t="inlineStr">
        <is>
          <t>No</t>
        </is>
      </c>
      <c r="I850" t="inlineStr">
        <is>
          <t>No</t>
        </is>
      </c>
      <c r="J850" t="inlineStr">
        <is>
          <t>0</t>
        </is>
      </c>
      <c r="K850" t="inlineStr">
        <is>
          <t>Millar, Fergus.</t>
        </is>
      </c>
      <c r="L850" t="inlineStr">
        <is>
          <t>Berkeley : University of California Press, c2006</t>
        </is>
      </c>
      <c r="M850" t="inlineStr">
        <is>
          <t>2006</t>
        </is>
      </c>
      <c r="O850" t="inlineStr">
        <is>
          <t>eng</t>
        </is>
      </c>
      <c r="P850" t="inlineStr">
        <is>
          <t>cau</t>
        </is>
      </c>
      <c r="Q850" t="inlineStr">
        <is>
          <t>Sather classical lectures ; v. 64</t>
        </is>
      </c>
      <c r="R850" t="inlineStr">
        <is>
          <t xml:space="preserve">DF </t>
        </is>
      </c>
      <c r="S850" t="n">
        <v>1</v>
      </c>
      <c r="T850" t="n">
        <v>1</v>
      </c>
      <c r="U850" t="inlineStr">
        <is>
          <t>2008-03-11</t>
        </is>
      </c>
      <c r="V850" t="inlineStr">
        <is>
          <t>2008-03-11</t>
        </is>
      </c>
      <c r="W850" t="inlineStr">
        <is>
          <t>2008-03-11</t>
        </is>
      </c>
      <c r="X850" t="inlineStr">
        <is>
          <t>2008-03-11</t>
        </is>
      </c>
      <c r="Y850" t="n">
        <v>445</v>
      </c>
      <c r="Z850" t="n">
        <v>325</v>
      </c>
      <c r="AA850" t="n">
        <v>362</v>
      </c>
      <c r="AB850" t="n">
        <v>3</v>
      </c>
      <c r="AC850" t="n">
        <v>3</v>
      </c>
      <c r="AD850" t="n">
        <v>21</v>
      </c>
      <c r="AE850" t="n">
        <v>22</v>
      </c>
      <c r="AF850" t="n">
        <v>7</v>
      </c>
      <c r="AG850" t="n">
        <v>7</v>
      </c>
      <c r="AH850" t="n">
        <v>7</v>
      </c>
      <c r="AI850" t="n">
        <v>7</v>
      </c>
      <c r="AJ850" t="n">
        <v>13</v>
      </c>
      <c r="AK850" t="n">
        <v>14</v>
      </c>
      <c r="AL850" t="n">
        <v>2</v>
      </c>
      <c r="AM850" t="n">
        <v>2</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HYPERLINK("https://creighton-primo.hosted.exlibrisgroup.com/primo-explore/search?tab=default_tab&amp;search_scope=EVERYTHING&amp;vid=01CRU&amp;lang=en_US&amp;offset=0&amp;query=any,contains,991005191469702656","Catalog Record")</f>
        <v/>
      </c>
      <c r="AT850">
        <f>HYPERLINK("http://www.worldcat.org/oclc/63245515","WorldCat Record")</f>
        <v/>
      </c>
      <c r="AU850" t="inlineStr">
        <is>
          <t>784424495:eng</t>
        </is>
      </c>
      <c r="AV850" t="inlineStr">
        <is>
          <t>63245515</t>
        </is>
      </c>
      <c r="AW850" t="inlineStr">
        <is>
          <t>991005191469702656</t>
        </is>
      </c>
      <c r="AX850" t="inlineStr">
        <is>
          <t>991005191469702656</t>
        </is>
      </c>
      <c r="AY850" t="inlineStr">
        <is>
          <t>2271270000002656</t>
        </is>
      </c>
      <c r="AZ850" t="inlineStr">
        <is>
          <t>BOOK</t>
        </is>
      </c>
      <c r="BB850" t="inlineStr">
        <is>
          <t>9780520247031</t>
        </is>
      </c>
      <c r="BC850" t="inlineStr">
        <is>
          <t>32285005396790</t>
        </is>
      </c>
      <c r="BD850" t="inlineStr">
        <is>
          <t>893338681</t>
        </is>
      </c>
    </row>
    <row r="851">
      <c r="A851" t="inlineStr">
        <is>
          <t>No</t>
        </is>
      </c>
      <c r="B851" t="inlineStr">
        <is>
          <t>DF572 .M66 1994</t>
        </is>
      </c>
      <c r="C851" t="inlineStr">
        <is>
          <t>0                      DF 0572000M  66          1994</t>
        </is>
      </c>
      <c r="D851" t="inlineStr">
        <is>
          <t>Justinian / John Moorhead.</t>
        </is>
      </c>
      <c r="F851" t="inlineStr">
        <is>
          <t>No</t>
        </is>
      </c>
      <c r="G851" t="inlineStr">
        <is>
          <t>1</t>
        </is>
      </c>
      <c r="H851" t="inlineStr">
        <is>
          <t>No</t>
        </is>
      </c>
      <c r="I851" t="inlineStr">
        <is>
          <t>No</t>
        </is>
      </c>
      <c r="J851" t="inlineStr">
        <is>
          <t>0</t>
        </is>
      </c>
      <c r="K851" t="inlineStr">
        <is>
          <t>Moorhead, John, 1948-</t>
        </is>
      </c>
      <c r="L851" t="inlineStr">
        <is>
          <t>London ; New York : Longman, 1994.</t>
        </is>
      </c>
      <c r="M851" t="inlineStr">
        <is>
          <t>1994</t>
        </is>
      </c>
      <c r="O851" t="inlineStr">
        <is>
          <t>eng</t>
        </is>
      </c>
      <c r="P851" t="inlineStr">
        <is>
          <t>enk</t>
        </is>
      </c>
      <c r="Q851" t="inlineStr">
        <is>
          <t>The Medieval world</t>
        </is>
      </c>
      <c r="R851" t="inlineStr">
        <is>
          <t xml:space="preserve">DF </t>
        </is>
      </c>
      <c r="S851" t="n">
        <v>7</v>
      </c>
      <c r="T851" t="n">
        <v>7</v>
      </c>
      <c r="U851" t="inlineStr">
        <is>
          <t>2009-09-03</t>
        </is>
      </c>
      <c r="V851" t="inlineStr">
        <is>
          <t>2009-09-03</t>
        </is>
      </c>
      <c r="W851" t="inlineStr">
        <is>
          <t>1995-04-26</t>
        </is>
      </c>
      <c r="X851" t="inlineStr">
        <is>
          <t>1995-04-26</t>
        </is>
      </c>
      <c r="Y851" t="n">
        <v>329</v>
      </c>
      <c r="Z851" t="n">
        <v>193</v>
      </c>
      <c r="AA851" t="n">
        <v>216</v>
      </c>
      <c r="AB851" t="n">
        <v>3</v>
      </c>
      <c r="AC851" t="n">
        <v>3</v>
      </c>
      <c r="AD851" t="n">
        <v>14</v>
      </c>
      <c r="AE851" t="n">
        <v>14</v>
      </c>
      <c r="AF851" t="n">
        <v>4</v>
      </c>
      <c r="AG851" t="n">
        <v>4</v>
      </c>
      <c r="AH851" t="n">
        <v>5</v>
      </c>
      <c r="AI851" t="n">
        <v>5</v>
      </c>
      <c r="AJ851" t="n">
        <v>7</v>
      </c>
      <c r="AK851" t="n">
        <v>7</v>
      </c>
      <c r="AL851" t="n">
        <v>2</v>
      </c>
      <c r="AM851" t="n">
        <v>2</v>
      </c>
      <c r="AN851" t="n">
        <v>0</v>
      </c>
      <c r="AO851" t="n">
        <v>0</v>
      </c>
      <c r="AP851" t="inlineStr">
        <is>
          <t>No</t>
        </is>
      </c>
      <c r="AQ851" t="inlineStr">
        <is>
          <t>Yes</t>
        </is>
      </c>
      <c r="AR851">
        <f>HYPERLINK("http://catalog.hathitrust.org/Record/002981732","HathiTrust Record")</f>
        <v/>
      </c>
      <c r="AS851">
        <f>HYPERLINK("https://creighton-primo.hosted.exlibrisgroup.com/primo-explore/search?tab=default_tab&amp;search_scope=EVERYTHING&amp;vid=01CRU&amp;lang=en_US&amp;offset=0&amp;query=any,contains,991002253239702656","Catalog Record")</f>
        <v/>
      </c>
      <c r="AT851">
        <f>HYPERLINK("http://www.worldcat.org/oclc/29184972","WorldCat Record")</f>
        <v/>
      </c>
      <c r="AU851" t="inlineStr">
        <is>
          <t>31599184:eng</t>
        </is>
      </c>
      <c r="AV851" t="inlineStr">
        <is>
          <t>29184972</t>
        </is>
      </c>
      <c r="AW851" t="inlineStr">
        <is>
          <t>991002253239702656</t>
        </is>
      </c>
      <c r="AX851" t="inlineStr">
        <is>
          <t>991002253239702656</t>
        </is>
      </c>
      <c r="AY851" t="inlineStr">
        <is>
          <t>2263606410002656</t>
        </is>
      </c>
      <c r="AZ851" t="inlineStr">
        <is>
          <t>BOOK</t>
        </is>
      </c>
      <c r="BB851" t="inlineStr">
        <is>
          <t>9780582063037</t>
        </is>
      </c>
      <c r="BC851" t="inlineStr">
        <is>
          <t>32285002036159</t>
        </is>
      </c>
      <c r="BD851" t="inlineStr">
        <is>
          <t>893609644</t>
        </is>
      </c>
    </row>
    <row r="852">
      <c r="A852" t="inlineStr">
        <is>
          <t>No</t>
        </is>
      </c>
      <c r="B852" t="inlineStr">
        <is>
          <t>DF593 .R8 1988</t>
        </is>
      </c>
      <c r="C852" t="inlineStr">
        <is>
          <t>0                      DF 0593000R  8           1988</t>
        </is>
      </c>
      <c r="D852" t="inlineStr">
        <is>
          <t>The Emperor Romanus Lecapenus and his reign : a study of tenth-century Byzantium / by Steven Runciman.</t>
        </is>
      </c>
      <c r="F852" t="inlineStr">
        <is>
          <t>No</t>
        </is>
      </c>
      <c r="G852" t="inlineStr">
        <is>
          <t>1</t>
        </is>
      </c>
      <c r="H852" t="inlineStr">
        <is>
          <t>No</t>
        </is>
      </c>
      <c r="I852" t="inlineStr">
        <is>
          <t>No</t>
        </is>
      </c>
      <c r="J852" t="inlineStr">
        <is>
          <t>0</t>
        </is>
      </c>
      <c r="K852" t="inlineStr">
        <is>
          <t>Runciman, Steven, 1903-2000.</t>
        </is>
      </c>
      <c r="L852" t="inlineStr">
        <is>
          <t>Cambridge [England] ; New York : Cambridge University Press, 1988, c1929.</t>
        </is>
      </c>
      <c r="M852" t="inlineStr">
        <is>
          <t>1988</t>
        </is>
      </c>
      <c r="N852" t="inlineStr">
        <is>
          <t>1st paperback ed.</t>
        </is>
      </c>
      <c r="O852" t="inlineStr">
        <is>
          <t>eng</t>
        </is>
      </c>
      <c r="P852" t="inlineStr">
        <is>
          <t>enk</t>
        </is>
      </c>
      <c r="Q852" t="inlineStr">
        <is>
          <t>Cambridge paperback library</t>
        </is>
      </c>
      <c r="R852" t="inlineStr">
        <is>
          <t xml:space="preserve">DF </t>
        </is>
      </c>
      <c r="S852" t="n">
        <v>1</v>
      </c>
      <c r="T852" t="n">
        <v>1</v>
      </c>
      <c r="U852" t="inlineStr">
        <is>
          <t>2003-04-09</t>
        </is>
      </c>
      <c r="V852" t="inlineStr">
        <is>
          <t>2003-04-09</t>
        </is>
      </c>
      <c r="W852" t="inlineStr">
        <is>
          <t>1992-10-07</t>
        </is>
      </c>
      <c r="X852" t="inlineStr">
        <is>
          <t>1992-10-07</t>
        </is>
      </c>
      <c r="Y852" t="n">
        <v>120</v>
      </c>
      <c r="Z852" t="n">
        <v>75</v>
      </c>
      <c r="AA852" t="n">
        <v>463</v>
      </c>
      <c r="AB852" t="n">
        <v>1</v>
      </c>
      <c r="AC852" t="n">
        <v>2</v>
      </c>
      <c r="AD852" t="n">
        <v>0</v>
      </c>
      <c r="AE852" t="n">
        <v>22</v>
      </c>
      <c r="AF852" t="n">
        <v>0</v>
      </c>
      <c r="AG852" t="n">
        <v>7</v>
      </c>
      <c r="AH852" t="n">
        <v>0</v>
      </c>
      <c r="AI852" t="n">
        <v>7</v>
      </c>
      <c r="AJ852" t="n">
        <v>0</v>
      </c>
      <c r="AK852" t="n">
        <v>14</v>
      </c>
      <c r="AL852" t="n">
        <v>0</v>
      </c>
      <c r="AM852" t="n">
        <v>1</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HYPERLINK("https://creighton-primo.hosted.exlibrisgroup.com/primo-explore/search?tab=default_tab&amp;search_scope=EVERYTHING&amp;vid=01CRU&amp;lang=en_US&amp;offset=0&amp;query=any,contains,991001223289702656","Catalog Record")</f>
        <v/>
      </c>
      <c r="AT852">
        <f>HYPERLINK("http://www.worldcat.org/oclc/17483098","WorldCat Record")</f>
        <v/>
      </c>
      <c r="AU852" t="inlineStr">
        <is>
          <t>1102339820:eng</t>
        </is>
      </c>
      <c r="AV852" t="inlineStr">
        <is>
          <t>17483098</t>
        </is>
      </c>
      <c r="AW852" t="inlineStr">
        <is>
          <t>991001223289702656</t>
        </is>
      </c>
      <c r="AX852" t="inlineStr">
        <is>
          <t>991001223289702656</t>
        </is>
      </c>
      <c r="AY852" t="inlineStr">
        <is>
          <t>2259802270002656</t>
        </is>
      </c>
      <c r="AZ852" t="inlineStr">
        <is>
          <t>BOOK</t>
        </is>
      </c>
      <c r="BB852" t="inlineStr">
        <is>
          <t>9780521357227</t>
        </is>
      </c>
      <c r="BC852" t="inlineStr">
        <is>
          <t>32285001315935</t>
        </is>
      </c>
      <c r="BD852" t="inlineStr">
        <is>
          <t>893528771</t>
        </is>
      </c>
    </row>
    <row r="853">
      <c r="A853" t="inlineStr">
        <is>
          <t>No</t>
        </is>
      </c>
      <c r="B853" t="inlineStr">
        <is>
          <t>DF605 .C6 1978</t>
        </is>
      </c>
      <c r="C853" t="inlineStr">
        <is>
          <t>0                      DF 0605000C  6           1978</t>
        </is>
      </c>
      <c r="D853" t="inlineStr">
        <is>
          <t>The Alexiad of the Princess Anna Comnena : being the history of the reign of her father, Alexius I, Emperor of the Romans, 1081-1118 A.D. ; translated by Elizabeth A. S. Dawes.</t>
        </is>
      </c>
      <c r="F853" t="inlineStr">
        <is>
          <t>No</t>
        </is>
      </c>
      <c r="G853" t="inlineStr">
        <is>
          <t>1</t>
        </is>
      </c>
      <c r="H853" t="inlineStr">
        <is>
          <t>No</t>
        </is>
      </c>
      <c r="I853" t="inlineStr">
        <is>
          <t>No</t>
        </is>
      </c>
      <c r="J853" t="inlineStr">
        <is>
          <t>0</t>
        </is>
      </c>
      <c r="K853" t="inlineStr">
        <is>
          <t>Comnena, Anna, 1083-</t>
        </is>
      </c>
      <c r="L853" t="inlineStr">
        <is>
          <t>New York : AMS Press, 1978.</t>
        </is>
      </c>
      <c r="M853" t="inlineStr">
        <is>
          <t>1978</t>
        </is>
      </c>
      <c r="N853" t="inlineStr">
        <is>
          <t>1st AMS ed.</t>
        </is>
      </c>
      <c r="O853" t="inlineStr">
        <is>
          <t>eng</t>
        </is>
      </c>
      <c r="P853" t="inlineStr">
        <is>
          <t>nyu</t>
        </is>
      </c>
      <c r="R853" t="inlineStr">
        <is>
          <t xml:space="preserve">DF </t>
        </is>
      </c>
      <c r="S853" t="n">
        <v>10</v>
      </c>
      <c r="T853" t="n">
        <v>10</v>
      </c>
      <c r="U853" t="inlineStr">
        <is>
          <t>2007-07-17</t>
        </is>
      </c>
      <c r="V853" t="inlineStr">
        <is>
          <t>2007-07-17</t>
        </is>
      </c>
      <c r="W853" t="inlineStr">
        <is>
          <t>1991-11-08</t>
        </is>
      </c>
      <c r="X853" t="inlineStr">
        <is>
          <t>1991-11-08</t>
        </is>
      </c>
      <c r="Y853" t="n">
        <v>89</v>
      </c>
      <c r="Z853" t="n">
        <v>77</v>
      </c>
      <c r="AA853" t="n">
        <v>875</v>
      </c>
      <c r="AB853" t="n">
        <v>1</v>
      </c>
      <c r="AC853" t="n">
        <v>5</v>
      </c>
      <c r="AD853" t="n">
        <v>3</v>
      </c>
      <c r="AE853" t="n">
        <v>41</v>
      </c>
      <c r="AF853" t="n">
        <v>0</v>
      </c>
      <c r="AG853" t="n">
        <v>17</v>
      </c>
      <c r="AH853" t="n">
        <v>2</v>
      </c>
      <c r="AI853" t="n">
        <v>8</v>
      </c>
      <c r="AJ853" t="n">
        <v>3</v>
      </c>
      <c r="AK853" t="n">
        <v>23</v>
      </c>
      <c r="AL853" t="n">
        <v>0</v>
      </c>
      <c r="AM853" t="n">
        <v>4</v>
      </c>
      <c r="AN853" t="n">
        <v>0</v>
      </c>
      <c r="AO853" t="n">
        <v>0</v>
      </c>
      <c r="AP853" t="inlineStr">
        <is>
          <t>No</t>
        </is>
      </c>
      <c r="AQ853" t="inlineStr">
        <is>
          <t>Yes</t>
        </is>
      </c>
      <c r="AR853">
        <f>HYPERLINK("http://catalog.hathitrust.org/Record/102009172","HathiTrust Record")</f>
        <v/>
      </c>
      <c r="AS853">
        <f>HYPERLINK("https://creighton-primo.hosted.exlibrisgroup.com/primo-explore/search?tab=default_tab&amp;search_scope=EVERYTHING&amp;vid=01CRU&amp;lang=en_US&amp;offset=0&amp;query=any,contains,991005371529702656","Catalog Record")</f>
        <v/>
      </c>
      <c r="AT853">
        <f>HYPERLINK("http://www.worldcat.org/oclc/3772450","WorldCat Record")</f>
        <v/>
      </c>
      <c r="AU853" t="inlineStr">
        <is>
          <t>3945322923:eng</t>
        </is>
      </c>
      <c r="AV853" t="inlineStr">
        <is>
          <t>3772450</t>
        </is>
      </c>
      <c r="AW853" t="inlineStr">
        <is>
          <t>991005371529702656</t>
        </is>
      </c>
      <c r="AX853" t="inlineStr">
        <is>
          <t>991005371529702656</t>
        </is>
      </c>
      <c r="AY853" t="inlineStr">
        <is>
          <t>2262463620002656</t>
        </is>
      </c>
      <c r="AZ853" t="inlineStr">
        <is>
          <t>BOOK</t>
        </is>
      </c>
      <c r="BB853" t="inlineStr">
        <is>
          <t>9780404154141</t>
        </is>
      </c>
      <c r="BC853" t="inlineStr">
        <is>
          <t>32285000654342</t>
        </is>
      </c>
      <c r="BD853" t="inlineStr">
        <is>
          <t>893720318</t>
        </is>
      </c>
    </row>
    <row r="854">
      <c r="A854" t="inlineStr">
        <is>
          <t>No</t>
        </is>
      </c>
      <c r="B854" t="inlineStr">
        <is>
          <t>DF605.3 .D35</t>
        </is>
      </c>
      <c r="C854" t="inlineStr">
        <is>
          <t>0                      DF 0605300D  35</t>
        </is>
      </c>
      <c r="D854" t="inlineStr">
        <is>
          <t>Anna Comnena.</t>
        </is>
      </c>
      <c r="F854" t="inlineStr">
        <is>
          <t>No</t>
        </is>
      </c>
      <c r="G854" t="inlineStr">
        <is>
          <t>1</t>
        </is>
      </c>
      <c r="H854" t="inlineStr">
        <is>
          <t>No</t>
        </is>
      </c>
      <c r="I854" t="inlineStr">
        <is>
          <t>No</t>
        </is>
      </c>
      <c r="J854" t="inlineStr">
        <is>
          <t>0</t>
        </is>
      </c>
      <c r="K854" t="inlineStr">
        <is>
          <t>Dalven, Rae.</t>
        </is>
      </c>
      <c r="L854" t="inlineStr">
        <is>
          <t>New York, Twayne Publishers [1972]</t>
        </is>
      </c>
      <c r="M854" t="inlineStr">
        <is>
          <t>1972</t>
        </is>
      </c>
      <c r="O854" t="inlineStr">
        <is>
          <t>eng</t>
        </is>
      </c>
      <c r="P854" t="inlineStr">
        <is>
          <t>nyu</t>
        </is>
      </c>
      <c r="Q854" t="inlineStr">
        <is>
          <t>Twayne's world authors series, TWAS 213: Greece</t>
        </is>
      </c>
      <c r="R854" t="inlineStr">
        <is>
          <t xml:space="preserve">DF </t>
        </is>
      </c>
      <c r="S854" t="n">
        <v>2</v>
      </c>
      <c r="T854" t="n">
        <v>2</v>
      </c>
      <c r="U854" t="inlineStr">
        <is>
          <t>2004-04-13</t>
        </is>
      </c>
      <c r="V854" t="inlineStr">
        <is>
          <t>2004-04-13</t>
        </is>
      </c>
      <c r="W854" t="inlineStr">
        <is>
          <t>1996-11-26</t>
        </is>
      </c>
      <c r="X854" t="inlineStr">
        <is>
          <t>1996-11-26</t>
        </is>
      </c>
      <c r="Y854" t="n">
        <v>522</v>
      </c>
      <c r="Z854" t="n">
        <v>462</v>
      </c>
      <c r="AA854" t="n">
        <v>469</v>
      </c>
      <c r="AB854" t="n">
        <v>3</v>
      </c>
      <c r="AC854" t="n">
        <v>3</v>
      </c>
      <c r="AD854" t="n">
        <v>27</v>
      </c>
      <c r="AE854" t="n">
        <v>27</v>
      </c>
      <c r="AF854" t="n">
        <v>12</v>
      </c>
      <c r="AG854" t="n">
        <v>12</v>
      </c>
      <c r="AH854" t="n">
        <v>7</v>
      </c>
      <c r="AI854" t="n">
        <v>7</v>
      </c>
      <c r="AJ854" t="n">
        <v>16</v>
      </c>
      <c r="AK854" t="n">
        <v>16</v>
      </c>
      <c r="AL854" t="n">
        <v>2</v>
      </c>
      <c r="AM854" t="n">
        <v>2</v>
      </c>
      <c r="AN854" t="n">
        <v>0</v>
      </c>
      <c r="AO854" t="n">
        <v>0</v>
      </c>
      <c r="AP854" t="inlineStr">
        <is>
          <t>No</t>
        </is>
      </c>
      <c r="AQ854" t="inlineStr">
        <is>
          <t>Yes</t>
        </is>
      </c>
      <c r="AR854">
        <f>HYPERLINK("http://catalog.hathitrust.org/Record/001181861","HathiTrust Record")</f>
        <v/>
      </c>
      <c r="AS854">
        <f>HYPERLINK("https://creighton-primo.hosted.exlibrisgroup.com/primo-explore/search?tab=default_tab&amp;search_scope=EVERYTHING&amp;vid=01CRU&amp;lang=en_US&amp;offset=0&amp;query=any,contains,991002951949702656","Catalog Record")</f>
        <v/>
      </c>
      <c r="AT854">
        <f>HYPERLINK("http://www.worldcat.org/oclc/539539","WorldCat Record")</f>
        <v/>
      </c>
      <c r="AU854" t="inlineStr">
        <is>
          <t>1564909:eng</t>
        </is>
      </c>
      <c r="AV854" t="inlineStr">
        <is>
          <t>539539</t>
        </is>
      </c>
      <c r="AW854" t="inlineStr">
        <is>
          <t>991002951949702656</t>
        </is>
      </c>
      <c r="AX854" t="inlineStr">
        <is>
          <t>991002951949702656</t>
        </is>
      </c>
      <c r="AY854" t="inlineStr">
        <is>
          <t>2261840090002656</t>
        </is>
      </c>
      <c r="AZ854" t="inlineStr">
        <is>
          <t>BOOK</t>
        </is>
      </c>
      <c r="BC854" t="inlineStr">
        <is>
          <t>32285002346434</t>
        </is>
      </c>
      <c r="BD854" t="inlineStr">
        <is>
          <t>893245851</t>
        </is>
      </c>
    </row>
    <row r="855">
      <c r="A855" t="inlineStr">
        <is>
          <t>No</t>
        </is>
      </c>
      <c r="B855" t="inlineStr">
        <is>
          <t>DF606 .C5613</t>
        </is>
      </c>
      <c r="C855" t="inlineStr">
        <is>
          <t>0                      DF 0606000C  5613</t>
        </is>
      </c>
      <c r="D855" t="inlineStr">
        <is>
          <t>Deeds of John and Manuel Comnenus / by John Kinnamos ; translated by Charles M. Brand.</t>
        </is>
      </c>
      <c r="F855" t="inlineStr">
        <is>
          <t>No</t>
        </is>
      </c>
      <c r="G855" t="inlineStr">
        <is>
          <t>1</t>
        </is>
      </c>
      <c r="H855" t="inlineStr">
        <is>
          <t>No</t>
        </is>
      </c>
      <c r="I855" t="inlineStr">
        <is>
          <t>No</t>
        </is>
      </c>
      <c r="J855" t="inlineStr">
        <is>
          <t>0</t>
        </is>
      </c>
      <c r="K855" t="inlineStr">
        <is>
          <t>Kinnamos, Iōannēs, approximately 1143-</t>
        </is>
      </c>
      <c r="L855" t="inlineStr">
        <is>
          <t>New York : Columbia University Press, 1976.</t>
        </is>
      </c>
      <c r="M855" t="inlineStr">
        <is>
          <t>1976</t>
        </is>
      </c>
      <c r="O855" t="inlineStr">
        <is>
          <t>eng</t>
        </is>
      </c>
      <c r="P855" t="inlineStr">
        <is>
          <t>nyu</t>
        </is>
      </c>
      <c r="Q855" t="inlineStr">
        <is>
          <t>Records of civilization, sources and studies ; no. 95</t>
        </is>
      </c>
      <c r="R855" t="inlineStr">
        <is>
          <t xml:space="preserve">DF </t>
        </is>
      </c>
      <c r="S855" t="n">
        <v>0</v>
      </c>
      <c r="T855" t="n">
        <v>0</v>
      </c>
      <c r="U855" t="inlineStr">
        <is>
          <t>2010-04-26</t>
        </is>
      </c>
      <c r="V855" t="inlineStr">
        <is>
          <t>2010-04-26</t>
        </is>
      </c>
      <c r="W855" t="inlineStr">
        <is>
          <t>1996-11-26</t>
        </is>
      </c>
      <c r="X855" t="inlineStr">
        <is>
          <t>1996-11-26</t>
        </is>
      </c>
      <c r="Y855" t="n">
        <v>437</v>
      </c>
      <c r="Z855" t="n">
        <v>346</v>
      </c>
      <c r="AA855" t="n">
        <v>675</v>
      </c>
      <c r="AB855" t="n">
        <v>3</v>
      </c>
      <c r="AC855" t="n">
        <v>6</v>
      </c>
      <c r="AD855" t="n">
        <v>21</v>
      </c>
      <c r="AE855" t="n">
        <v>34</v>
      </c>
      <c r="AF855" t="n">
        <v>7</v>
      </c>
      <c r="AG855" t="n">
        <v>12</v>
      </c>
      <c r="AH855" t="n">
        <v>7</v>
      </c>
      <c r="AI855" t="n">
        <v>9</v>
      </c>
      <c r="AJ855" t="n">
        <v>14</v>
      </c>
      <c r="AK855" t="n">
        <v>18</v>
      </c>
      <c r="AL855" t="n">
        <v>2</v>
      </c>
      <c r="AM855" t="n">
        <v>5</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HYPERLINK("https://creighton-primo.hosted.exlibrisgroup.com/primo-explore/search?tab=default_tab&amp;search_scope=EVERYTHING&amp;vid=01CRU&amp;lang=en_US&amp;offset=0&amp;query=any,contains,991004138269702656","Catalog Record")</f>
        <v/>
      </c>
      <c r="AT855">
        <f>HYPERLINK("http://www.worldcat.org/oclc/2493224","WorldCat Record")</f>
        <v/>
      </c>
      <c r="AU855" t="inlineStr">
        <is>
          <t>49904189:eng</t>
        </is>
      </c>
      <c r="AV855" t="inlineStr">
        <is>
          <t>2493224</t>
        </is>
      </c>
      <c r="AW855" t="inlineStr">
        <is>
          <t>991004138269702656</t>
        </is>
      </c>
      <c r="AX855" t="inlineStr">
        <is>
          <t>991004138269702656</t>
        </is>
      </c>
      <c r="AY855" t="inlineStr">
        <is>
          <t>2256695130002656</t>
        </is>
      </c>
      <c r="AZ855" t="inlineStr">
        <is>
          <t>BOOK</t>
        </is>
      </c>
      <c r="BB855" t="inlineStr">
        <is>
          <t>9780231040808</t>
        </is>
      </c>
      <c r="BC855" t="inlineStr">
        <is>
          <t>32285002346442</t>
        </is>
      </c>
      <c r="BD855" t="inlineStr">
        <is>
          <t>893235096</t>
        </is>
      </c>
    </row>
    <row r="856">
      <c r="A856" t="inlineStr">
        <is>
          <t>No</t>
        </is>
      </c>
      <c r="B856" t="inlineStr">
        <is>
          <t>DF636.5 .C3</t>
        </is>
      </c>
      <c r="C856" t="inlineStr">
        <is>
          <t>0                      DF 0636500C  3</t>
        </is>
      </c>
      <c r="D856" t="inlineStr">
        <is>
          <t>Roger de Flor : (Adalid de Almogávares).</t>
        </is>
      </c>
      <c r="F856" t="inlineStr">
        <is>
          <t>No</t>
        </is>
      </c>
      <c r="G856" t="inlineStr">
        <is>
          <t>1</t>
        </is>
      </c>
      <c r="H856" t="inlineStr">
        <is>
          <t>No</t>
        </is>
      </c>
      <c r="I856" t="inlineStr">
        <is>
          <t>No</t>
        </is>
      </c>
      <c r="J856" t="inlineStr">
        <is>
          <t>0</t>
        </is>
      </c>
      <c r="K856" t="inlineStr">
        <is>
          <t>Caba, Carlos.</t>
        </is>
      </c>
      <c r="L856" t="inlineStr">
        <is>
          <t>Madrid, Ediciones Morata, 1946.</t>
        </is>
      </c>
      <c r="M856" t="inlineStr">
        <is>
          <t>1946</t>
        </is>
      </c>
      <c r="N856" t="inlineStr">
        <is>
          <t>1. ed.</t>
        </is>
      </c>
      <c r="O856" t="inlineStr">
        <is>
          <t>spa</t>
        </is>
      </c>
      <c r="P856" t="inlineStr">
        <is>
          <t xml:space="preserve">sp </t>
        </is>
      </c>
      <c r="R856" t="inlineStr">
        <is>
          <t xml:space="preserve">DF </t>
        </is>
      </c>
      <c r="S856" t="n">
        <v>0</v>
      </c>
      <c r="T856" t="n">
        <v>0</v>
      </c>
      <c r="U856" t="inlineStr">
        <is>
          <t>2010-04-08</t>
        </is>
      </c>
      <c r="V856" t="inlineStr">
        <is>
          <t>2010-04-08</t>
        </is>
      </c>
      <c r="W856" t="inlineStr">
        <is>
          <t>1996-11-26</t>
        </is>
      </c>
      <c r="X856" t="inlineStr">
        <is>
          <t>1996-11-26</t>
        </is>
      </c>
      <c r="Y856" t="n">
        <v>13</v>
      </c>
      <c r="Z856" t="n">
        <v>8</v>
      </c>
      <c r="AA856" t="n">
        <v>9</v>
      </c>
      <c r="AB856" t="n">
        <v>1</v>
      </c>
      <c r="AC856" t="n">
        <v>1</v>
      </c>
      <c r="AD856" t="n">
        <v>0</v>
      </c>
      <c r="AE856" t="n">
        <v>0</v>
      </c>
      <c r="AF856" t="n">
        <v>0</v>
      </c>
      <c r="AG856" t="n">
        <v>0</v>
      </c>
      <c r="AH856" t="n">
        <v>0</v>
      </c>
      <c r="AI856" t="n">
        <v>0</v>
      </c>
      <c r="AJ856" t="n">
        <v>0</v>
      </c>
      <c r="AK856" t="n">
        <v>0</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HYPERLINK("https://creighton-primo.hosted.exlibrisgroup.com/primo-explore/search?tab=default_tab&amp;search_scope=EVERYTHING&amp;vid=01CRU&amp;lang=en_US&amp;offset=0&amp;query=any,contains,991005022139702656","Catalog Record")</f>
        <v/>
      </c>
      <c r="AT856">
        <f>HYPERLINK("http://www.worldcat.org/oclc/44129339","WorldCat Record")</f>
        <v/>
      </c>
      <c r="AU856" t="inlineStr">
        <is>
          <t>33546553:spa</t>
        </is>
      </c>
      <c r="AV856" t="inlineStr">
        <is>
          <t>44129339</t>
        </is>
      </c>
      <c r="AW856" t="inlineStr">
        <is>
          <t>991005022139702656</t>
        </is>
      </c>
      <c r="AX856" t="inlineStr">
        <is>
          <t>991005022139702656</t>
        </is>
      </c>
      <c r="AY856" t="inlineStr">
        <is>
          <t>2260763210002656</t>
        </is>
      </c>
      <c r="AZ856" t="inlineStr">
        <is>
          <t>BOOK</t>
        </is>
      </c>
      <c r="BC856" t="inlineStr">
        <is>
          <t>32285002346491</t>
        </is>
      </c>
      <c r="BD856" t="inlineStr">
        <is>
          <t>893895752</t>
        </is>
      </c>
    </row>
    <row r="857">
      <c r="A857" t="inlineStr">
        <is>
          <t>No</t>
        </is>
      </c>
      <c r="B857" t="inlineStr">
        <is>
          <t>DF649 .P39 2007</t>
        </is>
      </c>
      <c r="C857" t="inlineStr">
        <is>
          <t>0                      DF 0649000P  39          2007</t>
        </is>
      </c>
      <c r="D857" t="inlineStr">
        <is>
          <t>Mehmed II the Conqueror and the fall of the Franco-Byzantine Levant to the Ottoman Turks : some western views and testimonies / edited, translated, and annotated by Marios Philippides.</t>
        </is>
      </c>
      <c r="F857" t="inlineStr">
        <is>
          <t>No</t>
        </is>
      </c>
      <c r="G857" t="inlineStr">
        <is>
          <t>1</t>
        </is>
      </c>
      <c r="H857" t="inlineStr">
        <is>
          <t>No</t>
        </is>
      </c>
      <c r="I857" t="inlineStr">
        <is>
          <t>No</t>
        </is>
      </c>
      <c r="J857" t="inlineStr">
        <is>
          <t>0</t>
        </is>
      </c>
      <c r="L857" t="inlineStr">
        <is>
          <t>Tempe, Ariz. : ACMRS/Arizona Center for Medieval and Renaissance Studies, 2007.</t>
        </is>
      </c>
      <c r="M857" t="inlineStr">
        <is>
          <t>2007</t>
        </is>
      </c>
      <c r="O857" t="inlineStr">
        <is>
          <t>eng</t>
        </is>
      </c>
      <c r="P857" t="inlineStr">
        <is>
          <t>azu</t>
        </is>
      </c>
      <c r="Q857" t="inlineStr">
        <is>
          <t>Medieval and Renaissance texts and studies ; v. 302</t>
        </is>
      </c>
      <c r="R857" t="inlineStr">
        <is>
          <t xml:space="preserve">DF </t>
        </is>
      </c>
      <c r="S857" t="n">
        <v>2</v>
      </c>
      <c r="T857" t="n">
        <v>2</v>
      </c>
      <c r="U857" t="inlineStr">
        <is>
          <t>2010-11-17</t>
        </is>
      </c>
      <c r="V857" t="inlineStr">
        <is>
          <t>2010-11-17</t>
        </is>
      </c>
      <c r="W857" t="inlineStr">
        <is>
          <t>2010-05-03</t>
        </is>
      </c>
      <c r="X857" t="inlineStr">
        <is>
          <t>2010-05-03</t>
        </is>
      </c>
      <c r="Y857" t="n">
        <v>149</v>
      </c>
      <c r="Z857" t="n">
        <v>110</v>
      </c>
      <c r="AA857" t="n">
        <v>112</v>
      </c>
      <c r="AB857" t="n">
        <v>1</v>
      </c>
      <c r="AC857" t="n">
        <v>1</v>
      </c>
      <c r="AD857" t="n">
        <v>7</v>
      </c>
      <c r="AE857" t="n">
        <v>7</v>
      </c>
      <c r="AF857" t="n">
        <v>1</v>
      </c>
      <c r="AG857" t="n">
        <v>1</v>
      </c>
      <c r="AH857" t="n">
        <v>4</v>
      </c>
      <c r="AI857" t="n">
        <v>4</v>
      </c>
      <c r="AJ857" t="n">
        <v>5</v>
      </c>
      <c r="AK857" t="n">
        <v>5</v>
      </c>
      <c r="AL857" t="n">
        <v>0</v>
      </c>
      <c r="AM857" t="n">
        <v>0</v>
      </c>
      <c r="AN857" t="n">
        <v>0</v>
      </c>
      <c r="AO857" t="n">
        <v>0</v>
      </c>
      <c r="AP857" t="inlineStr">
        <is>
          <t>No</t>
        </is>
      </c>
      <c r="AQ857" t="inlineStr">
        <is>
          <t>Yes</t>
        </is>
      </c>
      <c r="AR857">
        <f>HYPERLINK("http://catalog.hathitrust.org/Record/005643110","HathiTrust Record")</f>
        <v/>
      </c>
      <c r="AS857">
        <f>HYPERLINK("https://creighton-primo.hosted.exlibrisgroup.com/primo-explore/search?tab=default_tab&amp;search_scope=EVERYTHING&amp;vid=01CRU&amp;lang=en_US&amp;offset=0&amp;query=any,contains,991005386489702656","Catalog Record")</f>
        <v/>
      </c>
      <c r="AT857">
        <f>HYPERLINK("http://www.worldcat.org/oclc/122424834","WorldCat Record")</f>
        <v/>
      </c>
      <c r="AU857" t="inlineStr">
        <is>
          <t>807191418:eng</t>
        </is>
      </c>
      <c r="AV857" t="inlineStr">
        <is>
          <t>122424834</t>
        </is>
      </c>
      <c r="AW857" t="inlineStr">
        <is>
          <t>991005386489702656</t>
        </is>
      </c>
      <c r="AX857" t="inlineStr">
        <is>
          <t>991005386489702656</t>
        </is>
      </c>
      <c r="AY857" t="inlineStr">
        <is>
          <t>2260815660002656</t>
        </is>
      </c>
      <c r="AZ857" t="inlineStr">
        <is>
          <t>BOOK</t>
        </is>
      </c>
      <c r="BB857" t="inlineStr">
        <is>
          <t>9780866983464</t>
        </is>
      </c>
      <c r="BC857" t="inlineStr">
        <is>
          <t>32285005568752</t>
        </is>
      </c>
      <c r="BD857" t="inlineStr">
        <is>
          <t>893527530</t>
        </is>
      </c>
    </row>
    <row r="858">
      <c r="A858" t="inlineStr">
        <is>
          <t>No</t>
        </is>
      </c>
      <c r="B858" t="inlineStr">
        <is>
          <t>DF649 .R8 1969</t>
        </is>
      </c>
      <c r="C858" t="inlineStr">
        <is>
          <t>0                      DF 0649000R  8           1969</t>
        </is>
      </c>
      <c r="D858" t="inlineStr">
        <is>
          <t>The fall of Constantinople, 1453 / Steven Runciman.</t>
        </is>
      </c>
      <c r="F858" t="inlineStr">
        <is>
          <t>No</t>
        </is>
      </c>
      <c r="G858" t="inlineStr">
        <is>
          <t>1</t>
        </is>
      </c>
      <c r="H858" t="inlineStr">
        <is>
          <t>No</t>
        </is>
      </c>
      <c r="I858" t="inlineStr">
        <is>
          <t>No</t>
        </is>
      </c>
      <c r="J858" t="inlineStr">
        <is>
          <t>0</t>
        </is>
      </c>
      <c r="K858" t="inlineStr">
        <is>
          <t>Runciman, Steven, 1903-2000.</t>
        </is>
      </c>
      <c r="L858" t="inlineStr">
        <is>
          <t>Cambridge : Cambridge U.P., 1969.</t>
        </is>
      </c>
      <c r="M858" t="inlineStr">
        <is>
          <t>1969</t>
        </is>
      </c>
      <c r="O858" t="inlineStr">
        <is>
          <t>eng</t>
        </is>
      </c>
      <c r="P858" t="inlineStr">
        <is>
          <t>enk</t>
        </is>
      </c>
      <c r="R858" t="inlineStr">
        <is>
          <t xml:space="preserve">DF </t>
        </is>
      </c>
      <c r="S858" t="n">
        <v>3</v>
      </c>
      <c r="T858" t="n">
        <v>3</v>
      </c>
      <c r="U858" t="inlineStr">
        <is>
          <t>2009-07-13</t>
        </is>
      </c>
      <c r="V858" t="inlineStr">
        <is>
          <t>2009-07-13</t>
        </is>
      </c>
      <c r="W858" t="inlineStr">
        <is>
          <t>1991-02-21</t>
        </is>
      </c>
      <c r="X858" t="inlineStr">
        <is>
          <t>1991-02-21</t>
        </is>
      </c>
      <c r="Y858" t="n">
        <v>163</v>
      </c>
      <c r="Z858" t="n">
        <v>108</v>
      </c>
      <c r="AA858" t="n">
        <v>1487</v>
      </c>
      <c r="AB858" t="n">
        <v>1</v>
      </c>
      <c r="AC858" t="n">
        <v>11</v>
      </c>
      <c r="AD858" t="n">
        <v>5</v>
      </c>
      <c r="AE858" t="n">
        <v>56</v>
      </c>
      <c r="AF858" t="n">
        <v>2</v>
      </c>
      <c r="AG858" t="n">
        <v>24</v>
      </c>
      <c r="AH858" t="n">
        <v>1</v>
      </c>
      <c r="AI858" t="n">
        <v>11</v>
      </c>
      <c r="AJ858" t="n">
        <v>3</v>
      </c>
      <c r="AK858" t="n">
        <v>26</v>
      </c>
      <c r="AL858" t="n">
        <v>0</v>
      </c>
      <c r="AM858" t="n">
        <v>9</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HYPERLINK("https://creighton-primo.hosted.exlibrisgroup.com/primo-explore/search?tab=default_tab&amp;search_scope=EVERYTHING&amp;vid=01CRU&amp;lang=en_US&amp;offset=0&amp;query=any,contains,991000035969702656","Catalog Record")</f>
        <v/>
      </c>
      <c r="AT858">
        <f>HYPERLINK("http://www.worldcat.org/oclc/20318","WorldCat Record")</f>
        <v/>
      </c>
      <c r="AU858" t="inlineStr">
        <is>
          <t>52927656:eng</t>
        </is>
      </c>
      <c r="AV858" t="inlineStr">
        <is>
          <t>20318</t>
        </is>
      </c>
      <c r="AW858" t="inlineStr">
        <is>
          <t>991000035969702656</t>
        </is>
      </c>
      <c r="AX858" t="inlineStr">
        <is>
          <t>991000035969702656</t>
        </is>
      </c>
      <c r="AY858" t="inlineStr">
        <is>
          <t>2258404220002656</t>
        </is>
      </c>
      <c r="AZ858" t="inlineStr">
        <is>
          <t>BOOK</t>
        </is>
      </c>
      <c r="BB858" t="inlineStr">
        <is>
          <t>9780521095730</t>
        </is>
      </c>
      <c r="BC858" t="inlineStr">
        <is>
          <t>32285000520642</t>
        </is>
      </c>
      <c r="BD858" t="inlineStr">
        <is>
          <t>893521328</t>
        </is>
      </c>
    </row>
    <row r="859">
      <c r="A859" t="inlineStr">
        <is>
          <t>No</t>
        </is>
      </c>
      <c r="B859" t="inlineStr">
        <is>
          <t>DF717 .W6</t>
        </is>
      </c>
      <c r="C859" t="inlineStr">
        <is>
          <t>0                      DF 0717000W  6</t>
        </is>
      </c>
      <c r="D859" t="inlineStr">
        <is>
          <t>The World and its peoples : Greece, Cyprus, Mount Athos.</t>
        </is>
      </c>
      <c r="F859" t="inlineStr">
        <is>
          <t>No</t>
        </is>
      </c>
      <c r="G859" t="inlineStr">
        <is>
          <t>1</t>
        </is>
      </c>
      <c r="H859" t="inlineStr">
        <is>
          <t>No</t>
        </is>
      </c>
      <c r="I859" t="inlineStr">
        <is>
          <t>No</t>
        </is>
      </c>
      <c r="J859" t="inlineStr">
        <is>
          <t>0</t>
        </is>
      </c>
      <c r="L859" t="inlineStr">
        <is>
          <t>New York : Greystone Press, [1964]</t>
        </is>
      </c>
      <c r="M859" t="inlineStr">
        <is>
          <t>1964</t>
        </is>
      </c>
      <c r="O859" t="inlineStr">
        <is>
          <t>eng</t>
        </is>
      </c>
      <c r="P859" t="inlineStr">
        <is>
          <t>nyu</t>
        </is>
      </c>
      <c r="R859" t="inlineStr">
        <is>
          <t xml:space="preserve">DF </t>
        </is>
      </c>
      <c r="S859" t="n">
        <v>7</v>
      </c>
      <c r="T859" t="n">
        <v>7</v>
      </c>
      <c r="U859" t="inlineStr">
        <is>
          <t>2002-01-22</t>
        </is>
      </c>
      <c r="V859" t="inlineStr">
        <is>
          <t>2002-01-22</t>
        </is>
      </c>
      <c r="W859" t="inlineStr">
        <is>
          <t>1991-04-19</t>
        </is>
      </c>
      <c r="X859" t="inlineStr">
        <is>
          <t>1991-04-19</t>
        </is>
      </c>
      <c r="Y859" t="n">
        <v>242</v>
      </c>
      <c r="Z859" t="n">
        <v>224</v>
      </c>
      <c r="AA859" t="n">
        <v>242</v>
      </c>
      <c r="AB859" t="n">
        <v>2</v>
      </c>
      <c r="AC859" t="n">
        <v>2</v>
      </c>
      <c r="AD859" t="n">
        <v>5</v>
      </c>
      <c r="AE859" t="n">
        <v>5</v>
      </c>
      <c r="AF859" t="n">
        <v>2</v>
      </c>
      <c r="AG859" t="n">
        <v>2</v>
      </c>
      <c r="AH859" t="n">
        <v>1</v>
      </c>
      <c r="AI859" t="n">
        <v>1</v>
      </c>
      <c r="AJ859" t="n">
        <v>3</v>
      </c>
      <c r="AK859" t="n">
        <v>3</v>
      </c>
      <c r="AL859" t="n">
        <v>0</v>
      </c>
      <c r="AM859" t="n">
        <v>0</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HYPERLINK("https://creighton-primo.hosted.exlibrisgroup.com/primo-explore/search?tab=default_tab&amp;search_scope=EVERYTHING&amp;vid=01CRU&amp;lang=en_US&amp;offset=0&amp;query=any,contains,991003518219702656","Catalog Record")</f>
        <v/>
      </c>
      <c r="AT859">
        <f>HYPERLINK("http://www.worldcat.org/oclc/1076762","WorldCat Record")</f>
        <v/>
      </c>
      <c r="AU859" t="inlineStr">
        <is>
          <t>1150821703:eng</t>
        </is>
      </c>
      <c r="AV859" t="inlineStr">
        <is>
          <t>1076762</t>
        </is>
      </c>
      <c r="AW859" t="inlineStr">
        <is>
          <t>991003518219702656</t>
        </is>
      </c>
      <c r="AX859" t="inlineStr">
        <is>
          <t>991003518219702656</t>
        </is>
      </c>
      <c r="AY859" t="inlineStr">
        <is>
          <t>2257314270002656</t>
        </is>
      </c>
      <c r="AZ859" t="inlineStr">
        <is>
          <t>BOOK</t>
        </is>
      </c>
      <c r="BC859" t="inlineStr">
        <is>
          <t>32285000583830</t>
        </is>
      </c>
      <c r="BD859" t="inlineStr">
        <is>
          <t>893623575</t>
        </is>
      </c>
    </row>
    <row r="860">
      <c r="A860" t="inlineStr">
        <is>
          <t>No</t>
        </is>
      </c>
      <c r="B860" t="inlineStr">
        <is>
          <t>DF719 .S36</t>
        </is>
      </c>
      <c r="C860" t="inlineStr">
        <is>
          <t>0                      DF 0719000S  36</t>
        </is>
      </c>
      <c r="D860" t="inlineStr">
        <is>
          <t>Ancient Greece from the air / Raymond V. Schoder ; with 140 colour photos. by the author, 138 ground plans and 1 map.</t>
        </is>
      </c>
      <c r="F860" t="inlineStr">
        <is>
          <t>No</t>
        </is>
      </c>
      <c r="G860" t="inlineStr">
        <is>
          <t>1</t>
        </is>
      </c>
      <c r="H860" t="inlineStr">
        <is>
          <t>No</t>
        </is>
      </c>
      <c r="I860" t="inlineStr">
        <is>
          <t>No</t>
        </is>
      </c>
      <c r="J860" t="inlineStr">
        <is>
          <t>0</t>
        </is>
      </c>
      <c r="K860" t="inlineStr">
        <is>
          <t>Schoder, Raymond V., 1916-1987.</t>
        </is>
      </c>
      <c r="L860" t="inlineStr">
        <is>
          <t>London : Thames and Hudson, [1974]</t>
        </is>
      </c>
      <c r="M860" t="inlineStr">
        <is>
          <t>1974</t>
        </is>
      </c>
      <c r="O860" t="inlineStr">
        <is>
          <t>eng</t>
        </is>
      </c>
      <c r="P860" t="inlineStr">
        <is>
          <t>enk</t>
        </is>
      </c>
      <c r="R860" t="inlineStr">
        <is>
          <t xml:space="preserve">DF </t>
        </is>
      </c>
      <c r="S860" t="n">
        <v>2</v>
      </c>
      <c r="T860" t="n">
        <v>2</v>
      </c>
      <c r="U860" t="inlineStr">
        <is>
          <t>2006-03-21</t>
        </is>
      </c>
      <c r="V860" t="inlineStr">
        <is>
          <t>2006-03-21</t>
        </is>
      </c>
      <c r="W860" t="inlineStr">
        <is>
          <t>1996-11-26</t>
        </is>
      </c>
      <c r="X860" t="inlineStr">
        <is>
          <t>1996-11-26</t>
        </is>
      </c>
      <c r="Y860" t="n">
        <v>397</v>
      </c>
      <c r="Z860" t="n">
        <v>202</v>
      </c>
      <c r="AA860" t="n">
        <v>207</v>
      </c>
      <c r="AB860" t="n">
        <v>1</v>
      </c>
      <c r="AC860" t="n">
        <v>1</v>
      </c>
      <c r="AD860" t="n">
        <v>10</v>
      </c>
      <c r="AE860" t="n">
        <v>10</v>
      </c>
      <c r="AF860" t="n">
        <v>4</v>
      </c>
      <c r="AG860" t="n">
        <v>4</v>
      </c>
      <c r="AH860" t="n">
        <v>1</v>
      </c>
      <c r="AI860" t="n">
        <v>1</v>
      </c>
      <c r="AJ860" t="n">
        <v>8</v>
      </c>
      <c r="AK860" t="n">
        <v>8</v>
      </c>
      <c r="AL860" t="n">
        <v>0</v>
      </c>
      <c r="AM860" t="n">
        <v>0</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HYPERLINK("https://creighton-primo.hosted.exlibrisgroup.com/primo-explore/search?tab=default_tab&amp;search_scope=EVERYTHING&amp;vid=01CRU&amp;lang=en_US&amp;offset=0&amp;query=any,contains,991003606519702656","Catalog Record")</f>
        <v/>
      </c>
      <c r="AT860">
        <f>HYPERLINK("http://www.worldcat.org/oclc/1186851","WorldCat Record")</f>
        <v/>
      </c>
      <c r="AU860" t="inlineStr">
        <is>
          <t>2140797:eng</t>
        </is>
      </c>
      <c r="AV860" t="inlineStr">
        <is>
          <t>1186851</t>
        </is>
      </c>
      <c r="AW860" t="inlineStr">
        <is>
          <t>991003606519702656</t>
        </is>
      </c>
      <c r="AX860" t="inlineStr">
        <is>
          <t>991003606519702656</t>
        </is>
      </c>
      <c r="AY860" t="inlineStr">
        <is>
          <t>2266839880002656</t>
        </is>
      </c>
      <c r="AZ860" t="inlineStr">
        <is>
          <t>BOOK</t>
        </is>
      </c>
      <c r="BB860" t="inlineStr">
        <is>
          <t>9780500050163</t>
        </is>
      </c>
      <c r="BC860" t="inlineStr">
        <is>
          <t>32285002346517</t>
        </is>
      </c>
      <c r="BD860" t="inlineStr">
        <is>
          <t>893805975</t>
        </is>
      </c>
    </row>
    <row r="861">
      <c r="A861" t="inlineStr">
        <is>
          <t>No</t>
        </is>
      </c>
      <c r="B861" t="inlineStr">
        <is>
          <t>DF720.5 .L58 1994</t>
        </is>
      </c>
      <c r="C861" t="inlineStr">
        <is>
          <t>0                      DF 0720500L  58          1994</t>
        </is>
      </c>
      <c r="D861" t="inlineStr">
        <is>
          <t>A literary companion to travel in Greece / edited by Richard Stoneman.</t>
        </is>
      </c>
      <c r="F861" t="inlineStr">
        <is>
          <t>No</t>
        </is>
      </c>
      <c r="G861" t="inlineStr">
        <is>
          <t>1</t>
        </is>
      </c>
      <c r="H861" t="inlineStr">
        <is>
          <t>No</t>
        </is>
      </c>
      <c r="I861" t="inlineStr">
        <is>
          <t>No</t>
        </is>
      </c>
      <c r="J861" t="inlineStr">
        <is>
          <t>0</t>
        </is>
      </c>
      <c r="L861" t="inlineStr">
        <is>
          <t>Malibu, Calif. : J. Paul Getty Museum, c1994.</t>
        </is>
      </c>
      <c r="M861" t="inlineStr">
        <is>
          <t>1994</t>
        </is>
      </c>
      <c r="O861" t="inlineStr">
        <is>
          <t>eng</t>
        </is>
      </c>
      <c r="P861" t="inlineStr">
        <is>
          <t>cau</t>
        </is>
      </c>
      <c r="R861" t="inlineStr">
        <is>
          <t xml:space="preserve">DF </t>
        </is>
      </c>
      <c r="S861" t="n">
        <v>1</v>
      </c>
      <c r="T861" t="n">
        <v>1</v>
      </c>
      <c r="U861" t="inlineStr">
        <is>
          <t>2007-08-24</t>
        </is>
      </c>
      <c r="V861" t="inlineStr">
        <is>
          <t>2007-08-24</t>
        </is>
      </c>
      <c r="W861" t="inlineStr">
        <is>
          <t>2006-09-12</t>
        </is>
      </c>
      <c r="X861" t="inlineStr">
        <is>
          <t>2006-09-12</t>
        </is>
      </c>
      <c r="Y861" t="n">
        <v>286</v>
      </c>
      <c r="Z861" t="n">
        <v>239</v>
      </c>
      <c r="AA861" t="n">
        <v>273</v>
      </c>
      <c r="AB861" t="n">
        <v>1</v>
      </c>
      <c r="AC861" t="n">
        <v>1</v>
      </c>
      <c r="AD861" t="n">
        <v>7</v>
      </c>
      <c r="AE861" t="n">
        <v>7</v>
      </c>
      <c r="AF861" t="n">
        <v>4</v>
      </c>
      <c r="AG861" t="n">
        <v>4</v>
      </c>
      <c r="AH861" t="n">
        <v>2</v>
      </c>
      <c r="AI861" t="n">
        <v>2</v>
      </c>
      <c r="AJ861" t="n">
        <v>6</v>
      </c>
      <c r="AK861" t="n">
        <v>6</v>
      </c>
      <c r="AL861" t="n">
        <v>0</v>
      </c>
      <c r="AM861" t="n">
        <v>0</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HYPERLINK("https://creighton-primo.hosted.exlibrisgroup.com/primo-explore/search?tab=default_tab&amp;search_scope=EVERYTHING&amp;vid=01CRU&amp;lang=en_US&amp;offset=0&amp;query=any,contains,991004917419702656","Catalog Record")</f>
        <v/>
      </c>
      <c r="AT861">
        <f>HYPERLINK("http://www.worldcat.org/oclc/30070467","WorldCat Record")</f>
        <v/>
      </c>
      <c r="AU861" t="inlineStr">
        <is>
          <t>55803278:eng</t>
        </is>
      </c>
      <c r="AV861" t="inlineStr">
        <is>
          <t>30070467</t>
        </is>
      </c>
      <c r="AW861" t="inlineStr">
        <is>
          <t>991004917419702656</t>
        </is>
      </c>
      <c r="AX861" t="inlineStr">
        <is>
          <t>991004917419702656</t>
        </is>
      </c>
      <c r="AY861" t="inlineStr">
        <is>
          <t>2260858510002656</t>
        </is>
      </c>
      <c r="AZ861" t="inlineStr">
        <is>
          <t>BOOK</t>
        </is>
      </c>
      <c r="BB861" t="inlineStr">
        <is>
          <t>9780892362981</t>
        </is>
      </c>
      <c r="BC861" t="inlineStr">
        <is>
          <t>32285005223259</t>
        </is>
      </c>
      <c r="BD861" t="inlineStr">
        <is>
          <t>893436898</t>
        </is>
      </c>
    </row>
    <row r="862">
      <c r="A862" t="inlineStr">
        <is>
          <t>No</t>
        </is>
      </c>
      <c r="B862" t="inlineStr">
        <is>
          <t>DF727 .S5 1969b</t>
        </is>
      </c>
      <c r="C862" t="inlineStr">
        <is>
          <t>0                      DF 0727000S  5           1969b</t>
        </is>
      </c>
      <c r="D862" t="inlineStr">
        <is>
          <t>Greece: the unclouded eye.</t>
        </is>
      </c>
      <c r="F862" t="inlineStr">
        <is>
          <t>No</t>
        </is>
      </c>
      <c r="G862" t="inlineStr">
        <is>
          <t>1</t>
        </is>
      </c>
      <c r="H862" t="inlineStr">
        <is>
          <t>No</t>
        </is>
      </c>
      <c r="I862" t="inlineStr">
        <is>
          <t>No</t>
        </is>
      </c>
      <c r="J862" t="inlineStr">
        <is>
          <t>0</t>
        </is>
      </c>
      <c r="K862" t="inlineStr">
        <is>
          <t>Simpson, Colin, 1908-1983.</t>
        </is>
      </c>
      <c r="L862" t="inlineStr">
        <is>
          <t>New York, Fielding Publications [1969, c1968]</t>
        </is>
      </c>
      <c r="M862" t="inlineStr">
        <is>
          <t>1969</t>
        </is>
      </c>
      <c r="O862" t="inlineStr">
        <is>
          <t>eng</t>
        </is>
      </c>
      <c r="P862" t="inlineStr">
        <is>
          <t>nyu</t>
        </is>
      </c>
      <c r="R862" t="inlineStr">
        <is>
          <t xml:space="preserve">DF </t>
        </is>
      </c>
      <c r="S862" t="n">
        <v>2</v>
      </c>
      <c r="T862" t="n">
        <v>2</v>
      </c>
      <c r="U862" t="inlineStr">
        <is>
          <t>2000-12-07</t>
        </is>
      </c>
      <c r="V862" t="inlineStr">
        <is>
          <t>2000-12-07</t>
        </is>
      </c>
      <c r="W862" t="inlineStr">
        <is>
          <t>1996-11-26</t>
        </is>
      </c>
      <c r="X862" t="inlineStr">
        <is>
          <t>1996-11-26</t>
        </is>
      </c>
      <c r="Y862" t="n">
        <v>246</v>
      </c>
      <c r="Z862" t="n">
        <v>235</v>
      </c>
      <c r="AA862" t="n">
        <v>270</v>
      </c>
      <c r="AB862" t="n">
        <v>3</v>
      </c>
      <c r="AC862" t="n">
        <v>3</v>
      </c>
      <c r="AD862" t="n">
        <v>6</v>
      </c>
      <c r="AE862" t="n">
        <v>7</v>
      </c>
      <c r="AF862" t="n">
        <v>2</v>
      </c>
      <c r="AG862" t="n">
        <v>2</v>
      </c>
      <c r="AH862" t="n">
        <v>0</v>
      </c>
      <c r="AI862" t="n">
        <v>0</v>
      </c>
      <c r="AJ862" t="n">
        <v>2</v>
      </c>
      <c r="AK862" t="n">
        <v>3</v>
      </c>
      <c r="AL862" t="n">
        <v>2</v>
      </c>
      <c r="AM862" t="n">
        <v>2</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HYPERLINK("https://creighton-primo.hosted.exlibrisgroup.com/primo-explore/search?tab=default_tab&amp;search_scope=EVERYTHING&amp;vid=01CRU&amp;lang=en_US&amp;offset=0&amp;query=any,contains,991000135199702656","Catalog Record")</f>
        <v/>
      </c>
      <c r="AT862">
        <f>HYPERLINK("http://www.worldcat.org/oclc/55933","WorldCat Record")</f>
        <v/>
      </c>
      <c r="AU862" t="inlineStr">
        <is>
          <t>1187125:eng</t>
        </is>
      </c>
      <c r="AV862" t="inlineStr">
        <is>
          <t>55933</t>
        </is>
      </c>
      <c r="AW862" t="inlineStr">
        <is>
          <t>991000135199702656</t>
        </is>
      </c>
      <c r="AX862" t="inlineStr">
        <is>
          <t>991000135199702656</t>
        </is>
      </c>
      <c r="AY862" t="inlineStr">
        <is>
          <t>2258315770002656</t>
        </is>
      </c>
      <c r="AZ862" t="inlineStr">
        <is>
          <t>BOOK</t>
        </is>
      </c>
      <c r="BC862" t="inlineStr">
        <is>
          <t>32285002346533</t>
        </is>
      </c>
      <c r="BD862" t="inlineStr">
        <is>
          <t>893683188</t>
        </is>
      </c>
    </row>
    <row r="863">
      <c r="A863" t="inlineStr">
        <is>
          <t>No</t>
        </is>
      </c>
      <c r="B863" t="inlineStr">
        <is>
          <t>DF741 .G73 1985</t>
        </is>
      </c>
      <c r="C863" t="inlineStr">
        <is>
          <t>0                      DF 0741000G  73          1985</t>
        </is>
      </c>
      <c r="D863" t="inlineStr">
        <is>
          <t>The Greek world : classical, Byzantine, and modern / texts by Robert Browning ... et al. ; edited by Robert Browning.</t>
        </is>
      </c>
      <c r="F863" t="inlineStr">
        <is>
          <t>No</t>
        </is>
      </c>
      <c r="G863" t="inlineStr">
        <is>
          <t>1</t>
        </is>
      </c>
      <c r="H863" t="inlineStr">
        <is>
          <t>Yes</t>
        </is>
      </c>
      <c r="I863" t="inlineStr">
        <is>
          <t>No</t>
        </is>
      </c>
      <c r="J863" t="inlineStr">
        <is>
          <t>0</t>
        </is>
      </c>
      <c r="L863" t="inlineStr">
        <is>
          <t>London : Thames and Hudson, c1985.</t>
        </is>
      </c>
      <c r="M863" t="inlineStr">
        <is>
          <t>1985</t>
        </is>
      </c>
      <c r="O863" t="inlineStr">
        <is>
          <t>eng</t>
        </is>
      </c>
      <c r="P863" t="inlineStr">
        <is>
          <t>enk</t>
        </is>
      </c>
      <c r="R863" t="inlineStr">
        <is>
          <t xml:space="preserve">DF </t>
        </is>
      </c>
      <c r="S863" t="n">
        <v>5</v>
      </c>
      <c r="T863" t="n">
        <v>8</v>
      </c>
      <c r="U863" t="inlineStr">
        <is>
          <t>1994-02-20</t>
        </is>
      </c>
      <c r="V863" t="inlineStr">
        <is>
          <t>1994-02-20</t>
        </is>
      </c>
      <c r="W863" t="inlineStr">
        <is>
          <t>1991-02-21</t>
        </is>
      </c>
      <c r="X863" t="inlineStr">
        <is>
          <t>1991-02-21</t>
        </is>
      </c>
      <c r="Y863" t="n">
        <v>606</v>
      </c>
      <c r="Z863" t="n">
        <v>441</v>
      </c>
      <c r="AA863" t="n">
        <v>579</v>
      </c>
      <c r="AB863" t="n">
        <v>3</v>
      </c>
      <c r="AC863" t="n">
        <v>4</v>
      </c>
      <c r="AD863" t="n">
        <v>15</v>
      </c>
      <c r="AE863" t="n">
        <v>22</v>
      </c>
      <c r="AF863" t="n">
        <v>5</v>
      </c>
      <c r="AG863" t="n">
        <v>10</v>
      </c>
      <c r="AH863" t="n">
        <v>4</v>
      </c>
      <c r="AI863" t="n">
        <v>6</v>
      </c>
      <c r="AJ863" t="n">
        <v>8</v>
      </c>
      <c r="AK863" t="n">
        <v>12</v>
      </c>
      <c r="AL863" t="n">
        <v>2</v>
      </c>
      <c r="AM863" t="n">
        <v>2</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HYPERLINK("https://creighton-primo.hosted.exlibrisgroup.com/primo-explore/search?tab=default_tab&amp;search_scope=EVERYTHING&amp;vid=01CRU&amp;lang=en_US&amp;offset=0&amp;query=any,contains,991000789929702656","Catalog Record")</f>
        <v/>
      </c>
      <c r="AT863">
        <f>HYPERLINK("http://www.worldcat.org/oclc/13149368","WorldCat Record")</f>
        <v/>
      </c>
      <c r="AU863" t="inlineStr">
        <is>
          <t>836619867:eng</t>
        </is>
      </c>
      <c r="AV863" t="inlineStr">
        <is>
          <t>13149368</t>
        </is>
      </c>
      <c r="AW863" t="inlineStr">
        <is>
          <t>991000789929702656</t>
        </is>
      </c>
      <c r="AX863" t="inlineStr">
        <is>
          <t>991000789929702656</t>
        </is>
      </c>
      <c r="AY863" t="inlineStr">
        <is>
          <t>2257238310002656</t>
        </is>
      </c>
      <c r="AZ863" t="inlineStr">
        <is>
          <t>BOOK</t>
        </is>
      </c>
      <c r="BB863" t="inlineStr">
        <is>
          <t>9780500250921</t>
        </is>
      </c>
      <c r="BC863" t="inlineStr">
        <is>
          <t>32285000520675</t>
        </is>
      </c>
      <c r="BD863" t="inlineStr">
        <is>
          <t>893790857</t>
        </is>
      </c>
    </row>
    <row r="864">
      <c r="A864" t="inlineStr">
        <is>
          <t>No</t>
        </is>
      </c>
      <c r="B864" t="inlineStr">
        <is>
          <t>DF741 .G73 1985</t>
        </is>
      </c>
      <c r="C864" t="inlineStr">
        <is>
          <t>0                      DF 0741000G  73          1985</t>
        </is>
      </c>
      <c r="D864" t="inlineStr">
        <is>
          <t>The Greek world : classical, Byzantine, and modern / texts by Robert Browning ... et al. ; edited by Robert Browning.</t>
        </is>
      </c>
      <c r="F864" t="inlineStr">
        <is>
          <t>No</t>
        </is>
      </c>
      <c r="G864" t="inlineStr">
        <is>
          <t>1</t>
        </is>
      </c>
      <c r="H864" t="inlineStr">
        <is>
          <t>Yes</t>
        </is>
      </c>
      <c r="I864" t="inlineStr">
        <is>
          <t>No</t>
        </is>
      </c>
      <c r="J864" t="inlineStr">
        <is>
          <t>0</t>
        </is>
      </c>
      <c r="L864" t="inlineStr">
        <is>
          <t>London : Thames and Hudson, c1985.</t>
        </is>
      </c>
      <c r="M864" t="inlineStr">
        <is>
          <t>1985</t>
        </is>
      </c>
      <c r="O864" t="inlineStr">
        <is>
          <t>eng</t>
        </is>
      </c>
      <c r="P864" t="inlineStr">
        <is>
          <t>enk</t>
        </is>
      </c>
      <c r="R864" t="inlineStr">
        <is>
          <t xml:space="preserve">DF </t>
        </is>
      </c>
      <c r="S864" t="n">
        <v>3</v>
      </c>
      <c r="T864" t="n">
        <v>8</v>
      </c>
      <c r="U864" t="inlineStr">
        <is>
          <t>2020-02-21</t>
        </is>
      </c>
      <c r="V864" t="inlineStr">
        <is>
          <t>1994-02-20</t>
        </is>
      </c>
      <c r="W864" t="inlineStr">
        <is>
          <t>1991-02-21</t>
        </is>
      </c>
      <c r="X864" t="inlineStr">
        <is>
          <t>1991-02-21</t>
        </is>
      </c>
      <c r="Y864" t="n">
        <v>606</v>
      </c>
      <c r="Z864" t="n">
        <v>441</v>
      </c>
      <c r="AA864" t="n">
        <v>579</v>
      </c>
      <c r="AB864" t="n">
        <v>3</v>
      </c>
      <c r="AC864" t="n">
        <v>4</v>
      </c>
      <c r="AD864" t="n">
        <v>15</v>
      </c>
      <c r="AE864" t="n">
        <v>22</v>
      </c>
      <c r="AF864" t="n">
        <v>5</v>
      </c>
      <c r="AG864" t="n">
        <v>10</v>
      </c>
      <c r="AH864" t="n">
        <v>4</v>
      </c>
      <c r="AI864" t="n">
        <v>6</v>
      </c>
      <c r="AJ864" t="n">
        <v>8</v>
      </c>
      <c r="AK864" t="n">
        <v>12</v>
      </c>
      <c r="AL864" t="n">
        <v>2</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HYPERLINK("https://creighton-primo.hosted.exlibrisgroup.com/primo-explore/search?tab=default_tab&amp;search_scope=EVERYTHING&amp;vid=01CRU&amp;lang=en_US&amp;offset=0&amp;query=any,contains,991000789929702656","Catalog Record")</f>
        <v/>
      </c>
      <c r="AT864">
        <f>HYPERLINK("http://www.worldcat.org/oclc/13149368","WorldCat Record")</f>
        <v/>
      </c>
      <c r="AU864" t="inlineStr">
        <is>
          <t>836619867:eng</t>
        </is>
      </c>
      <c r="AV864" t="inlineStr">
        <is>
          <t>13149368</t>
        </is>
      </c>
      <c r="AW864" t="inlineStr">
        <is>
          <t>991000789929702656</t>
        </is>
      </c>
      <c r="AX864" t="inlineStr">
        <is>
          <t>991000789929702656</t>
        </is>
      </c>
      <c r="AY864" t="inlineStr">
        <is>
          <t>2257238310002656</t>
        </is>
      </c>
      <c r="AZ864" t="inlineStr">
        <is>
          <t>BOOK</t>
        </is>
      </c>
      <c r="BB864" t="inlineStr">
        <is>
          <t>9780500250921</t>
        </is>
      </c>
      <c r="BC864" t="inlineStr">
        <is>
          <t>32285000520667</t>
        </is>
      </c>
      <c r="BD864" t="inlineStr">
        <is>
          <t>893808822</t>
        </is>
      </c>
    </row>
    <row r="865">
      <c r="A865" t="inlineStr">
        <is>
          <t>No</t>
        </is>
      </c>
      <c r="B865" t="inlineStr">
        <is>
          <t>DF757 .B45</t>
        </is>
      </c>
      <c r="C865" t="inlineStr">
        <is>
          <t>0                      DF 0757000B  45</t>
        </is>
      </c>
      <c r="D865" t="inlineStr">
        <is>
          <t>Griechische geschichte / von Karl Julius Beloch.</t>
        </is>
      </c>
      <c r="E865" t="inlineStr">
        <is>
          <t>V.4</t>
        </is>
      </c>
      <c r="F865" t="inlineStr">
        <is>
          <t>Yes</t>
        </is>
      </c>
      <c r="G865" t="inlineStr">
        <is>
          <t>1</t>
        </is>
      </c>
      <c r="H865" t="inlineStr">
        <is>
          <t>No</t>
        </is>
      </c>
      <c r="I865" t="inlineStr">
        <is>
          <t>No</t>
        </is>
      </c>
      <c r="J865" t="inlineStr">
        <is>
          <t>0</t>
        </is>
      </c>
      <c r="K865" t="inlineStr">
        <is>
          <t>Beloch, Julius, 1854-1929.</t>
        </is>
      </c>
      <c r="L865" t="inlineStr">
        <is>
          <t>Berlin ; Leipzig : W. de Gruyter &amp; Co., 1922-1931.</t>
        </is>
      </c>
      <c r="M865" t="inlineStr">
        <is>
          <t>1922</t>
        </is>
      </c>
      <c r="N865" t="inlineStr">
        <is>
          <t>Zweite neugestaltete aufl.</t>
        </is>
      </c>
      <c r="O865" t="inlineStr">
        <is>
          <t>ger</t>
        </is>
      </c>
      <c r="P865" t="inlineStr">
        <is>
          <t xml:space="preserve">gw </t>
        </is>
      </c>
      <c r="R865" t="inlineStr">
        <is>
          <t xml:space="preserve">DF </t>
        </is>
      </c>
      <c r="S865" t="n">
        <v>0</v>
      </c>
      <c r="T865" t="n">
        <v>2</v>
      </c>
      <c r="V865" t="inlineStr">
        <is>
          <t>2009-03-06</t>
        </is>
      </c>
      <c r="W865" t="inlineStr">
        <is>
          <t>1996-08-08</t>
        </is>
      </c>
      <c r="X865" t="inlineStr">
        <is>
          <t>1996-08-08</t>
        </is>
      </c>
      <c r="Y865" t="n">
        <v>11</v>
      </c>
      <c r="Z865" t="n">
        <v>6</v>
      </c>
      <c r="AA865" t="n">
        <v>119</v>
      </c>
      <c r="AB865" t="n">
        <v>1</v>
      </c>
      <c r="AC865" t="n">
        <v>2</v>
      </c>
      <c r="AD865" t="n">
        <v>0</v>
      </c>
      <c r="AE865" t="n">
        <v>5</v>
      </c>
      <c r="AF865" t="n">
        <v>0</v>
      </c>
      <c r="AG865" t="n">
        <v>1</v>
      </c>
      <c r="AH865" t="n">
        <v>0</v>
      </c>
      <c r="AI865" t="n">
        <v>1</v>
      </c>
      <c r="AJ865" t="n">
        <v>0</v>
      </c>
      <c r="AK865" t="n">
        <v>3</v>
      </c>
      <c r="AL865" t="n">
        <v>0</v>
      </c>
      <c r="AM865" t="n">
        <v>1</v>
      </c>
      <c r="AN865" t="n">
        <v>0</v>
      </c>
      <c r="AO865" t="n">
        <v>0</v>
      </c>
      <c r="AP865" t="inlineStr">
        <is>
          <t>No</t>
        </is>
      </c>
      <c r="AQ865" t="inlineStr">
        <is>
          <t>Yes</t>
        </is>
      </c>
      <c r="AR865">
        <f>HYPERLINK("http://catalog.hathitrust.org/Record/100645484","HathiTrust Record")</f>
        <v/>
      </c>
      <c r="AS865">
        <f>HYPERLINK("https://creighton-primo.hosted.exlibrisgroup.com/primo-explore/search?tab=default_tab&amp;search_scope=EVERYTHING&amp;vid=01CRU&amp;lang=en_US&amp;offset=0&amp;query=any,contains,991000090079702656","Catalog Record")</f>
        <v/>
      </c>
      <c r="AT865">
        <f>HYPERLINK("http://www.worldcat.org/oclc/8896577","WorldCat Record")</f>
        <v/>
      </c>
      <c r="AU865" t="inlineStr">
        <is>
          <t>4922313369:ger</t>
        </is>
      </c>
      <c r="AV865" t="inlineStr">
        <is>
          <t>8896577</t>
        </is>
      </c>
      <c r="AW865" t="inlineStr">
        <is>
          <t>991000090079702656</t>
        </is>
      </c>
      <c r="AX865" t="inlineStr">
        <is>
          <t>991000090079702656</t>
        </is>
      </c>
      <c r="AY865" t="inlineStr">
        <is>
          <t>2261259150002656</t>
        </is>
      </c>
      <c r="AZ865" t="inlineStr">
        <is>
          <t>BOOK</t>
        </is>
      </c>
      <c r="BC865" t="inlineStr">
        <is>
          <t>32285002272507</t>
        </is>
      </c>
      <c r="BD865" t="inlineStr">
        <is>
          <t>893884096</t>
        </is>
      </c>
    </row>
    <row r="866">
      <c r="A866" t="inlineStr">
        <is>
          <t>No</t>
        </is>
      </c>
      <c r="B866" t="inlineStr">
        <is>
          <t>DF757 .B45</t>
        </is>
      </c>
      <c r="C866" t="inlineStr">
        <is>
          <t>0                      DF 0757000B  45</t>
        </is>
      </c>
      <c r="D866" t="inlineStr">
        <is>
          <t>Griechische geschichte / von Karl Julius Beloch.</t>
        </is>
      </c>
      <c r="E866" t="inlineStr">
        <is>
          <t>V.1</t>
        </is>
      </c>
      <c r="F866" t="inlineStr">
        <is>
          <t>Yes</t>
        </is>
      </c>
      <c r="G866" t="inlineStr">
        <is>
          <t>1</t>
        </is>
      </c>
      <c r="H866" t="inlineStr">
        <is>
          <t>No</t>
        </is>
      </c>
      <c r="I866" t="inlineStr">
        <is>
          <t>No</t>
        </is>
      </c>
      <c r="J866" t="inlineStr">
        <is>
          <t>0</t>
        </is>
      </c>
      <c r="K866" t="inlineStr">
        <is>
          <t>Beloch, Julius, 1854-1929.</t>
        </is>
      </c>
      <c r="L866" t="inlineStr">
        <is>
          <t>Berlin ; Leipzig : W. de Gruyter &amp; Co., 1922-1931.</t>
        </is>
      </c>
      <c r="M866" t="inlineStr">
        <is>
          <t>1922</t>
        </is>
      </c>
      <c r="N866" t="inlineStr">
        <is>
          <t>Zweite neugestaltete aufl.</t>
        </is>
      </c>
      <c r="O866" t="inlineStr">
        <is>
          <t>ger</t>
        </is>
      </c>
      <c r="P866" t="inlineStr">
        <is>
          <t xml:space="preserve">gw </t>
        </is>
      </c>
      <c r="R866" t="inlineStr">
        <is>
          <t xml:space="preserve">DF </t>
        </is>
      </c>
      <c r="S866" t="n">
        <v>0</v>
      </c>
      <c r="T866" t="n">
        <v>2</v>
      </c>
      <c r="V866" t="inlineStr">
        <is>
          <t>2009-03-06</t>
        </is>
      </c>
      <c r="W866" t="inlineStr">
        <is>
          <t>1996-08-08</t>
        </is>
      </c>
      <c r="X866" t="inlineStr">
        <is>
          <t>1996-08-08</t>
        </is>
      </c>
      <c r="Y866" t="n">
        <v>11</v>
      </c>
      <c r="Z866" t="n">
        <v>6</v>
      </c>
      <c r="AA866" t="n">
        <v>119</v>
      </c>
      <c r="AB866" t="n">
        <v>1</v>
      </c>
      <c r="AC866" t="n">
        <v>2</v>
      </c>
      <c r="AD866" t="n">
        <v>0</v>
      </c>
      <c r="AE866" t="n">
        <v>5</v>
      </c>
      <c r="AF866" t="n">
        <v>0</v>
      </c>
      <c r="AG866" t="n">
        <v>1</v>
      </c>
      <c r="AH866" t="n">
        <v>0</v>
      </c>
      <c r="AI866" t="n">
        <v>1</v>
      </c>
      <c r="AJ866" t="n">
        <v>0</v>
      </c>
      <c r="AK866" t="n">
        <v>3</v>
      </c>
      <c r="AL866" t="n">
        <v>0</v>
      </c>
      <c r="AM866" t="n">
        <v>1</v>
      </c>
      <c r="AN866" t="n">
        <v>0</v>
      </c>
      <c r="AO866" t="n">
        <v>0</v>
      </c>
      <c r="AP866" t="inlineStr">
        <is>
          <t>No</t>
        </is>
      </c>
      <c r="AQ866" t="inlineStr">
        <is>
          <t>Yes</t>
        </is>
      </c>
      <c r="AR866">
        <f>HYPERLINK("http://catalog.hathitrust.org/Record/100645484","HathiTrust Record")</f>
        <v/>
      </c>
      <c r="AS866">
        <f>HYPERLINK("https://creighton-primo.hosted.exlibrisgroup.com/primo-explore/search?tab=default_tab&amp;search_scope=EVERYTHING&amp;vid=01CRU&amp;lang=en_US&amp;offset=0&amp;query=any,contains,991000090079702656","Catalog Record")</f>
        <v/>
      </c>
      <c r="AT866">
        <f>HYPERLINK("http://www.worldcat.org/oclc/8896577","WorldCat Record")</f>
        <v/>
      </c>
      <c r="AU866" t="inlineStr">
        <is>
          <t>4922313369:ger</t>
        </is>
      </c>
      <c r="AV866" t="inlineStr">
        <is>
          <t>8896577</t>
        </is>
      </c>
      <c r="AW866" t="inlineStr">
        <is>
          <t>991000090079702656</t>
        </is>
      </c>
      <c r="AX866" t="inlineStr">
        <is>
          <t>991000090079702656</t>
        </is>
      </c>
      <c r="AY866" t="inlineStr">
        <is>
          <t>2261259150002656</t>
        </is>
      </c>
      <c r="AZ866" t="inlineStr">
        <is>
          <t>BOOK</t>
        </is>
      </c>
      <c r="BC866" t="inlineStr">
        <is>
          <t>32285002272465</t>
        </is>
      </c>
      <c r="BD866" t="inlineStr">
        <is>
          <t>893884097</t>
        </is>
      </c>
    </row>
    <row r="867">
      <c r="A867" t="inlineStr">
        <is>
          <t>No</t>
        </is>
      </c>
      <c r="B867" t="inlineStr">
        <is>
          <t>DF757 .B45</t>
        </is>
      </c>
      <c r="C867" t="inlineStr">
        <is>
          <t>0                      DF 0757000B  45</t>
        </is>
      </c>
      <c r="D867" t="inlineStr">
        <is>
          <t>Griechische geschichte / von Karl Julius Beloch.</t>
        </is>
      </c>
      <c r="E867" t="inlineStr">
        <is>
          <t>V.3 PT.2</t>
        </is>
      </c>
      <c r="F867" t="inlineStr">
        <is>
          <t>Yes</t>
        </is>
      </c>
      <c r="G867" t="inlineStr">
        <is>
          <t>1</t>
        </is>
      </c>
      <c r="H867" t="inlineStr">
        <is>
          <t>No</t>
        </is>
      </c>
      <c r="I867" t="inlineStr">
        <is>
          <t>No</t>
        </is>
      </c>
      <c r="J867" t="inlineStr">
        <is>
          <t>0</t>
        </is>
      </c>
      <c r="K867" t="inlineStr">
        <is>
          <t>Beloch, Julius, 1854-1929.</t>
        </is>
      </c>
      <c r="L867" t="inlineStr">
        <is>
          <t>Berlin ; Leipzig : W. de Gruyter &amp; Co., 1922-1931.</t>
        </is>
      </c>
      <c r="M867" t="inlineStr">
        <is>
          <t>1922</t>
        </is>
      </c>
      <c r="N867" t="inlineStr">
        <is>
          <t>Zweite neugestaltete aufl.</t>
        </is>
      </c>
      <c r="O867" t="inlineStr">
        <is>
          <t>ger</t>
        </is>
      </c>
      <c r="P867" t="inlineStr">
        <is>
          <t xml:space="preserve">gw </t>
        </is>
      </c>
      <c r="R867" t="inlineStr">
        <is>
          <t xml:space="preserve">DF </t>
        </is>
      </c>
      <c r="S867" t="n">
        <v>2</v>
      </c>
      <c r="T867" t="n">
        <v>2</v>
      </c>
      <c r="U867" t="inlineStr">
        <is>
          <t>2009-03-06</t>
        </is>
      </c>
      <c r="V867" t="inlineStr">
        <is>
          <t>2009-03-06</t>
        </is>
      </c>
      <c r="W867" t="inlineStr">
        <is>
          <t>1996-08-08</t>
        </is>
      </c>
      <c r="X867" t="inlineStr">
        <is>
          <t>1996-08-08</t>
        </is>
      </c>
      <c r="Y867" t="n">
        <v>11</v>
      </c>
      <c r="Z867" t="n">
        <v>6</v>
      </c>
      <c r="AA867" t="n">
        <v>119</v>
      </c>
      <c r="AB867" t="n">
        <v>1</v>
      </c>
      <c r="AC867" t="n">
        <v>2</v>
      </c>
      <c r="AD867" t="n">
        <v>0</v>
      </c>
      <c r="AE867" t="n">
        <v>5</v>
      </c>
      <c r="AF867" t="n">
        <v>0</v>
      </c>
      <c r="AG867" t="n">
        <v>1</v>
      </c>
      <c r="AH867" t="n">
        <v>0</v>
      </c>
      <c r="AI867" t="n">
        <v>1</v>
      </c>
      <c r="AJ867" t="n">
        <v>0</v>
      </c>
      <c r="AK867" t="n">
        <v>3</v>
      </c>
      <c r="AL867" t="n">
        <v>0</v>
      </c>
      <c r="AM867" t="n">
        <v>1</v>
      </c>
      <c r="AN867" t="n">
        <v>0</v>
      </c>
      <c r="AO867" t="n">
        <v>0</v>
      </c>
      <c r="AP867" t="inlineStr">
        <is>
          <t>No</t>
        </is>
      </c>
      <c r="AQ867" t="inlineStr">
        <is>
          <t>Yes</t>
        </is>
      </c>
      <c r="AR867">
        <f>HYPERLINK("http://catalog.hathitrust.org/Record/100645484","HathiTrust Record")</f>
        <v/>
      </c>
      <c r="AS867">
        <f>HYPERLINK("https://creighton-primo.hosted.exlibrisgroup.com/primo-explore/search?tab=default_tab&amp;search_scope=EVERYTHING&amp;vid=01CRU&amp;lang=en_US&amp;offset=0&amp;query=any,contains,991000090079702656","Catalog Record")</f>
        <v/>
      </c>
      <c r="AT867">
        <f>HYPERLINK("http://www.worldcat.org/oclc/8896577","WorldCat Record")</f>
        <v/>
      </c>
      <c r="AU867" t="inlineStr">
        <is>
          <t>4922313369:ger</t>
        </is>
      </c>
      <c r="AV867" t="inlineStr">
        <is>
          <t>8896577</t>
        </is>
      </c>
      <c r="AW867" t="inlineStr">
        <is>
          <t>991000090079702656</t>
        </is>
      </c>
      <c r="AX867" t="inlineStr">
        <is>
          <t>991000090079702656</t>
        </is>
      </c>
      <c r="AY867" t="inlineStr">
        <is>
          <t>2261259150002656</t>
        </is>
      </c>
      <c r="AZ867" t="inlineStr">
        <is>
          <t>BOOK</t>
        </is>
      </c>
      <c r="BC867" t="inlineStr">
        <is>
          <t>32285002272499</t>
        </is>
      </c>
      <c r="BD867" t="inlineStr">
        <is>
          <t>893865078</t>
        </is>
      </c>
    </row>
    <row r="868">
      <c r="A868" t="inlineStr">
        <is>
          <t>No</t>
        </is>
      </c>
      <c r="B868" t="inlineStr">
        <is>
          <t>DF757 .B45</t>
        </is>
      </c>
      <c r="C868" t="inlineStr">
        <is>
          <t>0                      DF 0757000B  45</t>
        </is>
      </c>
      <c r="D868" t="inlineStr">
        <is>
          <t>Griechische geschichte / von Karl Julius Beloch.</t>
        </is>
      </c>
      <c r="E868" t="inlineStr">
        <is>
          <t>V.2</t>
        </is>
      </c>
      <c r="F868" t="inlineStr">
        <is>
          <t>Yes</t>
        </is>
      </c>
      <c r="G868" t="inlineStr">
        <is>
          <t>1</t>
        </is>
      </c>
      <c r="H868" t="inlineStr">
        <is>
          <t>No</t>
        </is>
      </c>
      <c r="I868" t="inlineStr">
        <is>
          <t>No</t>
        </is>
      </c>
      <c r="J868" t="inlineStr">
        <is>
          <t>0</t>
        </is>
      </c>
      <c r="K868" t="inlineStr">
        <is>
          <t>Beloch, Julius, 1854-1929.</t>
        </is>
      </c>
      <c r="L868" t="inlineStr">
        <is>
          <t>Berlin ; Leipzig : W. de Gruyter &amp; Co., 1922-1931.</t>
        </is>
      </c>
      <c r="M868" t="inlineStr">
        <is>
          <t>1922</t>
        </is>
      </c>
      <c r="N868" t="inlineStr">
        <is>
          <t>Zweite neugestaltete aufl.</t>
        </is>
      </c>
      <c r="O868" t="inlineStr">
        <is>
          <t>ger</t>
        </is>
      </c>
      <c r="P868" t="inlineStr">
        <is>
          <t xml:space="preserve">gw </t>
        </is>
      </c>
      <c r="R868" t="inlineStr">
        <is>
          <t xml:space="preserve">DF </t>
        </is>
      </c>
      <c r="S868" t="n">
        <v>0</v>
      </c>
      <c r="T868" t="n">
        <v>2</v>
      </c>
      <c r="V868" t="inlineStr">
        <is>
          <t>2009-03-06</t>
        </is>
      </c>
      <c r="W868" t="inlineStr">
        <is>
          <t>1996-08-08</t>
        </is>
      </c>
      <c r="X868" t="inlineStr">
        <is>
          <t>1996-08-08</t>
        </is>
      </c>
      <c r="Y868" t="n">
        <v>11</v>
      </c>
      <c r="Z868" t="n">
        <v>6</v>
      </c>
      <c r="AA868" t="n">
        <v>119</v>
      </c>
      <c r="AB868" t="n">
        <v>1</v>
      </c>
      <c r="AC868" t="n">
        <v>2</v>
      </c>
      <c r="AD868" t="n">
        <v>0</v>
      </c>
      <c r="AE868" t="n">
        <v>5</v>
      </c>
      <c r="AF868" t="n">
        <v>0</v>
      </c>
      <c r="AG868" t="n">
        <v>1</v>
      </c>
      <c r="AH868" t="n">
        <v>0</v>
      </c>
      <c r="AI868" t="n">
        <v>1</v>
      </c>
      <c r="AJ868" t="n">
        <v>0</v>
      </c>
      <c r="AK868" t="n">
        <v>3</v>
      </c>
      <c r="AL868" t="n">
        <v>0</v>
      </c>
      <c r="AM868" t="n">
        <v>1</v>
      </c>
      <c r="AN868" t="n">
        <v>0</v>
      </c>
      <c r="AO868" t="n">
        <v>0</v>
      </c>
      <c r="AP868" t="inlineStr">
        <is>
          <t>No</t>
        </is>
      </c>
      <c r="AQ868" t="inlineStr">
        <is>
          <t>Yes</t>
        </is>
      </c>
      <c r="AR868">
        <f>HYPERLINK("http://catalog.hathitrust.org/Record/100645484","HathiTrust Record")</f>
        <v/>
      </c>
      <c r="AS868">
        <f>HYPERLINK("https://creighton-primo.hosted.exlibrisgroup.com/primo-explore/search?tab=default_tab&amp;search_scope=EVERYTHING&amp;vid=01CRU&amp;lang=en_US&amp;offset=0&amp;query=any,contains,991000090079702656","Catalog Record")</f>
        <v/>
      </c>
      <c r="AT868">
        <f>HYPERLINK("http://www.worldcat.org/oclc/8896577","WorldCat Record")</f>
        <v/>
      </c>
      <c r="AU868" t="inlineStr">
        <is>
          <t>4922313369:ger</t>
        </is>
      </c>
      <c r="AV868" t="inlineStr">
        <is>
          <t>8896577</t>
        </is>
      </c>
      <c r="AW868" t="inlineStr">
        <is>
          <t>991000090079702656</t>
        </is>
      </c>
      <c r="AX868" t="inlineStr">
        <is>
          <t>991000090079702656</t>
        </is>
      </c>
      <c r="AY868" t="inlineStr">
        <is>
          <t>2261259150002656</t>
        </is>
      </c>
      <c r="AZ868" t="inlineStr">
        <is>
          <t>BOOK</t>
        </is>
      </c>
      <c r="BC868" t="inlineStr">
        <is>
          <t>32285002272473</t>
        </is>
      </c>
      <c r="BD868" t="inlineStr">
        <is>
          <t>893865079</t>
        </is>
      </c>
    </row>
    <row r="869">
      <c r="A869" t="inlineStr">
        <is>
          <t>No</t>
        </is>
      </c>
      <c r="B869" t="inlineStr">
        <is>
          <t>DF757 .B45</t>
        </is>
      </c>
      <c r="C869" t="inlineStr">
        <is>
          <t>0                      DF 0757000B  45</t>
        </is>
      </c>
      <c r="D869" t="inlineStr">
        <is>
          <t>Griechische geschichte / von Karl Julius Beloch.</t>
        </is>
      </c>
      <c r="E869" t="inlineStr">
        <is>
          <t>V.3 PT.1</t>
        </is>
      </c>
      <c r="F869" t="inlineStr">
        <is>
          <t>Yes</t>
        </is>
      </c>
      <c r="G869" t="inlineStr">
        <is>
          <t>1</t>
        </is>
      </c>
      <c r="H869" t="inlineStr">
        <is>
          <t>No</t>
        </is>
      </c>
      <c r="I869" t="inlineStr">
        <is>
          <t>No</t>
        </is>
      </c>
      <c r="J869" t="inlineStr">
        <is>
          <t>0</t>
        </is>
      </c>
      <c r="K869" t="inlineStr">
        <is>
          <t>Beloch, Julius, 1854-1929.</t>
        </is>
      </c>
      <c r="L869" t="inlineStr">
        <is>
          <t>Berlin ; Leipzig : W. de Gruyter &amp; Co., 1922-1931.</t>
        </is>
      </c>
      <c r="M869" t="inlineStr">
        <is>
          <t>1922</t>
        </is>
      </c>
      <c r="N869" t="inlineStr">
        <is>
          <t>Zweite neugestaltete aufl.</t>
        </is>
      </c>
      <c r="O869" t="inlineStr">
        <is>
          <t>ger</t>
        </is>
      </c>
      <c r="P869" t="inlineStr">
        <is>
          <t xml:space="preserve">gw </t>
        </is>
      </c>
      <c r="R869" t="inlineStr">
        <is>
          <t xml:space="preserve">DF </t>
        </is>
      </c>
      <c r="S869" t="n">
        <v>0</v>
      </c>
      <c r="T869" t="n">
        <v>2</v>
      </c>
      <c r="V869" t="inlineStr">
        <is>
          <t>2009-03-06</t>
        </is>
      </c>
      <c r="W869" t="inlineStr">
        <is>
          <t>1996-08-08</t>
        </is>
      </c>
      <c r="X869" t="inlineStr">
        <is>
          <t>1996-08-08</t>
        </is>
      </c>
      <c r="Y869" t="n">
        <v>11</v>
      </c>
      <c r="Z869" t="n">
        <v>6</v>
      </c>
      <c r="AA869" t="n">
        <v>119</v>
      </c>
      <c r="AB869" t="n">
        <v>1</v>
      </c>
      <c r="AC869" t="n">
        <v>2</v>
      </c>
      <c r="AD869" t="n">
        <v>0</v>
      </c>
      <c r="AE869" t="n">
        <v>5</v>
      </c>
      <c r="AF869" t="n">
        <v>0</v>
      </c>
      <c r="AG869" t="n">
        <v>1</v>
      </c>
      <c r="AH869" t="n">
        <v>0</v>
      </c>
      <c r="AI869" t="n">
        <v>1</v>
      </c>
      <c r="AJ869" t="n">
        <v>0</v>
      </c>
      <c r="AK869" t="n">
        <v>3</v>
      </c>
      <c r="AL869" t="n">
        <v>0</v>
      </c>
      <c r="AM869" t="n">
        <v>1</v>
      </c>
      <c r="AN869" t="n">
        <v>0</v>
      </c>
      <c r="AO869" t="n">
        <v>0</v>
      </c>
      <c r="AP869" t="inlineStr">
        <is>
          <t>No</t>
        </is>
      </c>
      <c r="AQ869" t="inlineStr">
        <is>
          <t>Yes</t>
        </is>
      </c>
      <c r="AR869">
        <f>HYPERLINK("http://catalog.hathitrust.org/Record/100645484","HathiTrust Record")</f>
        <v/>
      </c>
      <c r="AS869">
        <f>HYPERLINK("https://creighton-primo.hosted.exlibrisgroup.com/primo-explore/search?tab=default_tab&amp;search_scope=EVERYTHING&amp;vid=01CRU&amp;lang=en_US&amp;offset=0&amp;query=any,contains,991000090079702656","Catalog Record")</f>
        <v/>
      </c>
      <c r="AT869">
        <f>HYPERLINK("http://www.worldcat.org/oclc/8896577","WorldCat Record")</f>
        <v/>
      </c>
      <c r="AU869" t="inlineStr">
        <is>
          <t>4922313369:ger</t>
        </is>
      </c>
      <c r="AV869" t="inlineStr">
        <is>
          <t>8896577</t>
        </is>
      </c>
      <c r="AW869" t="inlineStr">
        <is>
          <t>991000090079702656</t>
        </is>
      </c>
      <c r="AX869" t="inlineStr">
        <is>
          <t>991000090079702656</t>
        </is>
      </c>
      <c r="AY869" t="inlineStr">
        <is>
          <t>2261259150002656</t>
        </is>
      </c>
      <c r="AZ869" t="inlineStr">
        <is>
          <t>BOOK</t>
        </is>
      </c>
      <c r="BC869" t="inlineStr">
        <is>
          <t>32285002272481</t>
        </is>
      </c>
      <c r="BD869" t="inlineStr">
        <is>
          <t>893896606</t>
        </is>
      </c>
    </row>
    <row r="870">
      <c r="A870" t="inlineStr">
        <is>
          <t>No</t>
        </is>
      </c>
      <c r="B870" t="inlineStr">
        <is>
          <t>DF757 .C56 1986</t>
        </is>
      </c>
      <c r="C870" t="inlineStr">
        <is>
          <t>0                      DF 0757000C  56          1986</t>
        </is>
      </c>
      <c r="D870" t="inlineStr">
        <is>
          <t>A short history of modern Greece / Richard Clogg.</t>
        </is>
      </c>
      <c r="F870" t="inlineStr">
        <is>
          <t>No</t>
        </is>
      </c>
      <c r="G870" t="inlineStr">
        <is>
          <t>1</t>
        </is>
      </c>
      <c r="H870" t="inlineStr">
        <is>
          <t>No</t>
        </is>
      </c>
      <c r="I870" t="inlineStr">
        <is>
          <t>No</t>
        </is>
      </c>
      <c r="J870" t="inlineStr">
        <is>
          <t>0</t>
        </is>
      </c>
      <c r="K870" t="inlineStr">
        <is>
          <t>Clogg, Richard, 1939-</t>
        </is>
      </c>
      <c r="L870" t="inlineStr">
        <is>
          <t>Cambridge [Cambridgeshire] ; New York : Cambridge University Press, 1986.</t>
        </is>
      </c>
      <c r="M870" t="inlineStr">
        <is>
          <t>1986</t>
        </is>
      </c>
      <c r="N870" t="inlineStr">
        <is>
          <t>2nd ed.</t>
        </is>
      </c>
      <c r="O870" t="inlineStr">
        <is>
          <t>eng</t>
        </is>
      </c>
      <c r="P870" t="inlineStr">
        <is>
          <t>enk</t>
        </is>
      </c>
      <c r="R870" t="inlineStr">
        <is>
          <t xml:space="preserve">DF </t>
        </is>
      </c>
      <c r="S870" t="n">
        <v>10</v>
      </c>
      <c r="T870" t="n">
        <v>10</v>
      </c>
      <c r="U870" t="inlineStr">
        <is>
          <t>2003-03-25</t>
        </is>
      </c>
      <c r="V870" t="inlineStr">
        <is>
          <t>2003-03-25</t>
        </is>
      </c>
      <c r="W870" t="inlineStr">
        <is>
          <t>1991-02-21</t>
        </is>
      </c>
      <c r="X870" t="inlineStr">
        <is>
          <t>1991-02-21</t>
        </is>
      </c>
      <c r="Y870" t="n">
        <v>353</v>
      </c>
      <c r="Z870" t="n">
        <v>251</v>
      </c>
      <c r="AA870" t="n">
        <v>914</v>
      </c>
      <c r="AB870" t="n">
        <v>3</v>
      </c>
      <c r="AC870" t="n">
        <v>5</v>
      </c>
      <c r="AD870" t="n">
        <v>11</v>
      </c>
      <c r="AE870" t="n">
        <v>30</v>
      </c>
      <c r="AF870" t="n">
        <v>1</v>
      </c>
      <c r="AG870" t="n">
        <v>12</v>
      </c>
      <c r="AH870" t="n">
        <v>5</v>
      </c>
      <c r="AI870" t="n">
        <v>7</v>
      </c>
      <c r="AJ870" t="n">
        <v>6</v>
      </c>
      <c r="AK870" t="n">
        <v>14</v>
      </c>
      <c r="AL870" t="n">
        <v>2</v>
      </c>
      <c r="AM870" t="n">
        <v>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HYPERLINK("https://creighton-primo.hosted.exlibrisgroup.com/primo-explore/search?tab=default_tab&amp;search_scope=EVERYTHING&amp;vid=01CRU&amp;lang=en_US&amp;offset=0&amp;query=any,contains,991000832929702656","Catalog Record")</f>
        <v/>
      </c>
      <c r="AT870">
        <f>HYPERLINK("http://www.worldcat.org/oclc/13456322","WorldCat Record")</f>
        <v/>
      </c>
      <c r="AU870" t="inlineStr">
        <is>
          <t>6859861:eng</t>
        </is>
      </c>
      <c r="AV870" t="inlineStr">
        <is>
          <t>13456322</t>
        </is>
      </c>
      <c r="AW870" t="inlineStr">
        <is>
          <t>991000832929702656</t>
        </is>
      </c>
      <c r="AX870" t="inlineStr">
        <is>
          <t>991000832929702656</t>
        </is>
      </c>
      <c r="AY870" t="inlineStr">
        <is>
          <t>2263105140002656</t>
        </is>
      </c>
      <c r="AZ870" t="inlineStr">
        <is>
          <t>BOOK</t>
        </is>
      </c>
      <c r="BB870" t="inlineStr">
        <is>
          <t>9780521338042</t>
        </is>
      </c>
      <c r="BC870" t="inlineStr">
        <is>
          <t>32285000520683</t>
        </is>
      </c>
      <c r="BD870" t="inlineStr">
        <is>
          <t>893432345</t>
        </is>
      </c>
    </row>
    <row r="871">
      <c r="A871" t="inlineStr">
        <is>
          <t>No</t>
        </is>
      </c>
      <c r="B871" t="inlineStr">
        <is>
          <t>DF757 .S5</t>
        </is>
      </c>
      <c r="C871" t="inlineStr">
        <is>
          <t>0                      DF 0757000S  5</t>
        </is>
      </c>
      <c r="D871" t="inlineStr">
        <is>
          <t>A short history of Greece, from early times to 1964, by W.A. Heurtley [and others]</t>
        </is>
      </c>
      <c r="F871" t="inlineStr">
        <is>
          <t>No</t>
        </is>
      </c>
      <c r="G871" t="inlineStr">
        <is>
          <t>1</t>
        </is>
      </c>
      <c r="H871" t="inlineStr">
        <is>
          <t>No</t>
        </is>
      </c>
      <c r="I871" t="inlineStr">
        <is>
          <t>No</t>
        </is>
      </c>
      <c r="J871" t="inlineStr">
        <is>
          <t>0</t>
        </is>
      </c>
      <c r="L871" t="inlineStr">
        <is>
          <t>Cambridge, University Press, 1965.</t>
        </is>
      </c>
      <c r="M871" t="inlineStr">
        <is>
          <t>1965</t>
        </is>
      </c>
      <c r="O871" t="inlineStr">
        <is>
          <t>eng</t>
        </is>
      </c>
      <c r="P871" t="inlineStr">
        <is>
          <t>enk</t>
        </is>
      </c>
      <c r="R871" t="inlineStr">
        <is>
          <t xml:space="preserve">DF </t>
        </is>
      </c>
      <c r="S871" t="n">
        <v>1</v>
      </c>
      <c r="T871" t="n">
        <v>1</v>
      </c>
      <c r="U871" t="inlineStr">
        <is>
          <t>2007-01-22</t>
        </is>
      </c>
      <c r="V871" t="inlineStr">
        <is>
          <t>2007-01-22</t>
        </is>
      </c>
      <c r="W871" t="inlineStr">
        <is>
          <t>1996-11-26</t>
        </is>
      </c>
      <c r="X871" t="inlineStr">
        <is>
          <t>1996-11-26</t>
        </is>
      </c>
      <c r="Y871" t="n">
        <v>749</v>
      </c>
      <c r="Z871" t="n">
        <v>624</v>
      </c>
      <c r="AA871" t="n">
        <v>758</v>
      </c>
      <c r="AB871" t="n">
        <v>5</v>
      </c>
      <c r="AC871" t="n">
        <v>6</v>
      </c>
      <c r="AD871" t="n">
        <v>23</v>
      </c>
      <c r="AE871" t="n">
        <v>28</v>
      </c>
      <c r="AF871" t="n">
        <v>8</v>
      </c>
      <c r="AG871" t="n">
        <v>10</v>
      </c>
      <c r="AH871" t="n">
        <v>5</v>
      </c>
      <c r="AI871" t="n">
        <v>6</v>
      </c>
      <c r="AJ871" t="n">
        <v>12</v>
      </c>
      <c r="AK871" t="n">
        <v>13</v>
      </c>
      <c r="AL871" t="n">
        <v>4</v>
      </c>
      <c r="AM871" t="n">
        <v>5</v>
      </c>
      <c r="AN871" t="n">
        <v>0</v>
      </c>
      <c r="AO871" t="n">
        <v>0</v>
      </c>
      <c r="AP871" t="inlineStr">
        <is>
          <t>No</t>
        </is>
      </c>
      <c r="AQ871" t="inlineStr">
        <is>
          <t>Yes</t>
        </is>
      </c>
      <c r="AR871">
        <f>HYPERLINK("http://catalog.hathitrust.org/Record/000609939","HathiTrust Record")</f>
        <v/>
      </c>
      <c r="AS871">
        <f>HYPERLINK("https://creighton-primo.hosted.exlibrisgroup.com/primo-explore/search?tab=default_tab&amp;search_scope=EVERYTHING&amp;vid=01CRU&amp;lang=en_US&amp;offset=0&amp;query=any,contains,991002700429702656","Catalog Record")</f>
        <v/>
      </c>
      <c r="AT871">
        <f>HYPERLINK("http://www.worldcat.org/oclc/405331","WorldCat Record")</f>
        <v/>
      </c>
      <c r="AU871" t="inlineStr">
        <is>
          <t>53972687:eng</t>
        </is>
      </c>
      <c r="AV871" t="inlineStr">
        <is>
          <t>405331</t>
        </is>
      </c>
      <c r="AW871" t="inlineStr">
        <is>
          <t>991002700429702656</t>
        </is>
      </c>
      <c r="AX871" t="inlineStr">
        <is>
          <t>991002700429702656</t>
        </is>
      </c>
      <c r="AY871" t="inlineStr">
        <is>
          <t>2260578690002656</t>
        </is>
      </c>
      <c r="AZ871" t="inlineStr">
        <is>
          <t>BOOK</t>
        </is>
      </c>
      <c r="BC871" t="inlineStr">
        <is>
          <t>32285002346558</t>
        </is>
      </c>
      <c r="BD871" t="inlineStr">
        <is>
          <t>893415544</t>
        </is>
      </c>
    </row>
    <row r="872">
      <c r="A872" t="inlineStr">
        <is>
          <t>No</t>
        </is>
      </c>
      <c r="B872" t="inlineStr">
        <is>
          <t>DF77 .A35 1998</t>
        </is>
      </c>
      <c r="C872" t="inlineStr">
        <is>
          <t>0                      DF 0077000A  35          1998</t>
        </is>
      </c>
      <c r="D872" t="inlineStr">
        <is>
          <t>Handbook to life in ancient Greece / Lesley Adkins and Roy A. Adkins.</t>
        </is>
      </c>
      <c r="F872" t="inlineStr">
        <is>
          <t>No</t>
        </is>
      </c>
      <c r="G872" t="inlineStr">
        <is>
          <t>1</t>
        </is>
      </c>
      <c r="H872" t="inlineStr">
        <is>
          <t>No</t>
        </is>
      </c>
      <c r="I872" t="inlineStr">
        <is>
          <t>No</t>
        </is>
      </c>
      <c r="J872" t="inlineStr">
        <is>
          <t>0</t>
        </is>
      </c>
      <c r="K872" t="inlineStr">
        <is>
          <t>Adkins, Lesley.</t>
        </is>
      </c>
      <c r="L872" t="inlineStr">
        <is>
          <t>New York : Oxford University Press, 1998.</t>
        </is>
      </c>
      <c r="M872" t="inlineStr">
        <is>
          <t>1998</t>
        </is>
      </c>
      <c r="O872" t="inlineStr">
        <is>
          <t>eng</t>
        </is>
      </c>
      <c r="P872" t="inlineStr">
        <is>
          <t>nyu</t>
        </is>
      </c>
      <c r="R872" t="inlineStr">
        <is>
          <t xml:space="preserve">DF </t>
        </is>
      </c>
      <c r="S872" t="n">
        <v>7</v>
      </c>
      <c r="T872" t="n">
        <v>7</v>
      </c>
      <c r="U872" t="inlineStr">
        <is>
          <t>2008-03-16</t>
        </is>
      </c>
      <c r="V872" t="inlineStr">
        <is>
          <t>2008-03-16</t>
        </is>
      </c>
      <c r="W872" t="inlineStr">
        <is>
          <t>2002-09-30</t>
        </is>
      </c>
      <c r="X872" t="inlineStr">
        <is>
          <t>2002-09-30</t>
        </is>
      </c>
      <c r="Y872" t="n">
        <v>368</v>
      </c>
      <c r="Z872" t="n">
        <v>353</v>
      </c>
      <c r="AA872" t="n">
        <v>1721</v>
      </c>
      <c r="AB872" t="n">
        <v>5</v>
      </c>
      <c r="AC872" t="n">
        <v>11</v>
      </c>
      <c r="AD872" t="n">
        <v>9</v>
      </c>
      <c r="AE872" t="n">
        <v>35</v>
      </c>
      <c r="AF872" t="n">
        <v>4</v>
      </c>
      <c r="AG872" t="n">
        <v>16</v>
      </c>
      <c r="AH872" t="n">
        <v>2</v>
      </c>
      <c r="AI872" t="n">
        <v>7</v>
      </c>
      <c r="AJ872" t="n">
        <v>2</v>
      </c>
      <c r="AK872" t="n">
        <v>15</v>
      </c>
      <c r="AL872" t="n">
        <v>2</v>
      </c>
      <c r="AM872" t="n">
        <v>7</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HYPERLINK("https://creighton-primo.hosted.exlibrisgroup.com/primo-explore/search?tab=default_tab&amp;search_scope=EVERYTHING&amp;vid=01CRU&amp;lang=en_US&amp;offset=0&amp;query=any,contains,991003900109702656","Catalog Record")</f>
        <v/>
      </c>
      <c r="AT872">
        <f>HYPERLINK("http://www.worldcat.org/oclc/38550247","WorldCat Record")</f>
        <v/>
      </c>
      <c r="AU872" t="inlineStr">
        <is>
          <t>986614:eng</t>
        </is>
      </c>
      <c r="AV872" t="inlineStr">
        <is>
          <t>38550247</t>
        </is>
      </c>
      <c r="AW872" t="inlineStr">
        <is>
          <t>991003900109702656</t>
        </is>
      </c>
      <c r="AX872" t="inlineStr">
        <is>
          <t>991003900109702656</t>
        </is>
      </c>
      <c r="AY872" t="inlineStr">
        <is>
          <t>2268014450002656</t>
        </is>
      </c>
      <c r="AZ872" t="inlineStr">
        <is>
          <t>BOOK</t>
        </is>
      </c>
      <c r="BB872" t="inlineStr">
        <is>
          <t>9780195124910</t>
        </is>
      </c>
      <c r="BC872" t="inlineStr">
        <is>
          <t>32285004654033</t>
        </is>
      </c>
      <c r="BD872" t="inlineStr">
        <is>
          <t>893800350</t>
        </is>
      </c>
    </row>
    <row r="873">
      <c r="A873" t="inlineStr">
        <is>
          <t>No</t>
        </is>
      </c>
      <c r="B873" t="inlineStr">
        <is>
          <t>DF77 .B58</t>
        </is>
      </c>
      <c r="C873" t="inlineStr">
        <is>
          <t>0                      DF 0077000B  58</t>
        </is>
      </c>
      <c r="D873" t="inlineStr">
        <is>
          <t>The archaeology of Greece : an introduction / William R. Biers.</t>
        </is>
      </c>
      <c r="F873" t="inlineStr">
        <is>
          <t>No</t>
        </is>
      </c>
      <c r="G873" t="inlineStr">
        <is>
          <t>1</t>
        </is>
      </c>
      <c r="H873" t="inlineStr">
        <is>
          <t>No</t>
        </is>
      </c>
      <c r="I873" t="inlineStr">
        <is>
          <t>No</t>
        </is>
      </c>
      <c r="J873" t="inlineStr">
        <is>
          <t>0</t>
        </is>
      </c>
      <c r="K873" t="inlineStr">
        <is>
          <t>Biers, William R., 1938-2018.</t>
        </is>
      </c>
      <c r="L873" t="inlineStr">
        <is>
          <t>Ithaca, N.Y. : Cornell University Press, 1980.</t>
        </is>
      </c>
      <c r="M873" t="inlineStr">
        <is>
          <t>1980</t>
        </is>
      </c>
      <c r="O873" t="inlineStr">
        <is>
          <t>eng</t>
        </is>
      </c>
      <c r="P873" t="inlineStr">
        <is>
          <t>nyu</t>
        </is>
      </c>
      <c r="R873" t="inlineStr">
        <is>
          <t xml:space="preserve">DF </t>
        </is>
      </c>
      <c r="S873" t="n">
        <v>3</v>
      </c>
      <c r="T873" t="n">
        <v>3</v>
      </c>
      <c r="U873" t="inlineStr">
        <is>
          <t>2001-09-17</t>
        </is>
      </c>
      <c r="V873" t="inlineStr">
        <is>
          <t>2001-09-17</t>
        </is>
      </c>
      <c r="W873" t="inlineStr">
        <is>
          <t>1991-02-14</t>
        </is>
      </c>
      <c r="X873" t="inlineStr">
        <is>
          <t>1991-02-14</t>
        </is>
      </c>
      <c r="Y873" t="n">
        <v>884</v>
      </c>
      <c r="Z873" t="n">
        <v>744</v>
      </c>
      <c r="AA873" t="n">
        <v>1089</v>
      </c>
      <c r="AB873" t="n">
        <v>4</v>
      </c>
      <c r="AC873" t="n">
        <v>5</v>
      </c>
      <c r="AD873" t="n">
        <v>32</v>
      </c>
      <c r="AE873" t="n">
        <v>46</v>
      </c>
      <c r="AF873" t="n">
        <v>13</v>
      </c>
      <c r="AG873" t="n">
        <v>23</v>
      </c>
      <c r="AH873" t="n">
        <v>8</v>
      </c>
      <c r="AI873" t="n">
        <v>10</v>
      </c>
      <c r="AJ873" t="n">
        <v>16</v>
      </c>
      <c r="AK873" t="n">
        <v>20</v>
      </c>
      <c r="AL873" t="n">
        <v>4</v>
      </c>
      <c r="AM873" t="n">
        <v>5</v>
      </c>
      <c r="AN873" t="n">
        <v>0</v>
      </c>
      <c r="AO873" t="n">
        <v>0</v>
      </c>
      <c r="AP873" t="inlineStr">
        <is>
          <t>No</t>
        </is>
      </c>
      <c r="AQ873" t="inlineStr">
        <is>
          <t>Yes</t>
        </is>
      </c>
      <c r="AR873">
        <f>HYPERLINK("http://catalog.hathitrust.org/Record/000683301","HathiTrust Record")</f>
        <v/>
      </c>
      <c r="AS873">
        <f>HYPERLINK("https://creighton-primo.hosted.exlibrisgroup.com/primo-explore/search?tab=default_tab&amp;search_scope=EVERYTHING&amp;vid=01CRU&amp;lang=en_US&amp;offset=0&amp;query=any,contains,991004839749702656","Catalog Record")</f>
        <v/>
      </c>
      <c r="AT873">
        <f>HYPERLINK("http://www.worldcat.org/oclc/5495375","WorldCat Record")</f>
        <v/>
      </c>
      <c r="AU873" t="inlineStr">
        <is>
          <t>10139806:eng</t>
        </is>
      </c>
      <c r="AV873" t="inlineStr">
        <is>
          <t>5495375</t>
        </is>
      </c>
      <c r="AW873" t="inlineStr">
        <is>
          <t>991004839749702656</t>
        </is>
      </c>
      <c r="AX873" t="inlineStr">
        <is>
          <t>991004839749702656</t>
        </is>
      </c>
      <c r="AY873" t="inlineStr">
        <is>
          <t>2265696380002656</t>
        </is>
      </c>
      <c r="AZ873" t="inlineStr">
        <is>
          <t>BOOK</t>
        </is>
      </c>
      <c r="BB873" t="inlineStr">
        <is>
          <t>9780801410239</t>
        </is>
      </c>
      <c r="BC873" t="inlineStr">
        <is>
          <t>32285000458769</t>
        </is>
      </c>
      <c r="BD873" t="inlineStr">
        <is>
          <t>893694397</t>
        </is>
      </c>
    </row>
    <row r="874">
      <c r="A874" t="inlineStr">
        <is>
          <t>No</t>
        </is>
      </c>
      <c r="B874" t="inlineStr">
        <is>
          <t>DF77 .B67 1986</t>
        </is>
      </c>
      <c r="C874" t="inlineStr">
        <is>
          <t>0                      DF 0077000B  67          1986</t>
        </is>
      </c>
      <c r="D874" t="inlineStr">
        <is>
          <t>Treasures of ancient Greece / John S. Bowman.</t>
        </is>
      </c>
      <c r="F874" t="inlineStr">
        <is>
          <t>No</t>
        </is>
      </c>
      <c r="G874" t="inlineStr">
        <is>
          <t>1</t>
        </is>
      </c>
      <c r="H874" t="inlineStr">
        <is>
          <t>No</t>
        </is>
      </c>
      <c r="I874" t="inlineStr">
        <is>
          <t>No</t>
        </is>
      </c>
      <c r="J874" t="inlineStr">
        <is>
          <t>0</t>
        </is>
      </c>
      <c r="K874" t="inlineStr">
        <is>
          <t>Bowman, John Stewart, 1931-</t>
        </is>
      </c>
      <c r="L874" t="inlineStr">
        <is>
          <t>New York : Gallery Books, c1986.</t>
        </is>
      </c>
      <c r="M874" t="inlineStr">
        <is>
          <t>1986</t>
        </is>
      </c>
      <c r="O874" t="inlineStr">
        <is>
          <t>eng</t>
        </is>
      </c>
      <c r="P874" t="inlineStr">
        <is>
          <t>nyu</t>
        </is>
      </c>
      <c r="R874" t="inlineStr">
        <is>
          <t xml:space="preserve">DF </t>
        </is>
      </c>
      <c r="S874" t="n">
        <v>4</v>
      </c>
      <c r="T874" t="n">
        <v>4</v>
      </c>
      <c r="U874" t="inlineStr">
        <is>
          <t>2001-11-05</t>
        </is>
      </c>
      <c r="V874" t="inlineStr">
        <is>
          <t>2001-11-05</t>
        </is>
      </c>
      <c r="W874" t="inlineStr">
        <is>
          <t>1991-02-14</t>
        </is>
      </c>
      <c r="X874" t="inlineStr">
        <is>
          <t>1991-02-14</t>
        </is>
      </c>
      <c r="Y874" t="n">
        <v>170</v>
      </c>
      <c r="Z874" t="n">
        <v>146</v>
      </c>
      <c r="AA874" t="n">
        <v>245</v>
      </c>
      <c r="AB874" t="n">
        <v>2</v>
      </c>
      <c r="AC874" t="n">
        <v>2</v>
      </c>
      <c r="AD874" t="n">
        <v>2</v>
      </c>
      <c r="AE874" t="n">
        <v>3</v>
      </c>
      <c r="AF874" t="n">
        <v>1</v>
      </c>
      <c r="AG874" t="n">
        <v>1</v>
      </c>
      <c r="AH874" t="n">
        <v>0</v>
      </c>
      <c r="AI874" t="n">
        <v>0</v>
      </c>
      <c r="AJ874" t="n">
        <v>1</v>
      </c>
      <c r="AK874" t="n">
        <v>2</v>
      </c>
      <c r="AL874" t="n">
        <v>0</v>
      </c>
      <c r="AM874" t="n">
        <v>0</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HYPERLINK("https://creighton-primo.hosted.exlibrisgroup.com/primo-explore/search?tab=default_tab&amp;search_scope=EVERYTHING&amp;vid=01CRU&amp;lang=en_US&amp;offset=0&amp;query=any,contains,991000882119702656","Catalog Record")</f>
        <v/>
      </c>
      <c r="AT874">
        <f>HYPERLINK("http://www.worldcat.org/oclc/13843896","WorldCat Record")</f>
        <v/>
      </c>
      <c r="AU874" t="inlineStr">
        <is>
          <t>7829176:eng</t>
        </is>
      </c>
      <c r="AV874" t="inlineStr">
        <is>
          <t>13843896</t>
        </is>
      </c>
      <c r="AW874" t="inlineStr">
        <is>
          <t>991000882119702656</t>
        </is>
      </c>
      <c r="AX874" t="inlineStr">
        <is>
          <t>991000882119702656</t>
        </is>
      </c>
      <c r="AY874" t="inlineStr">
        <is>
          <t>2258322450002656</t>
        </is>
      </c>
      <c r="AZ874" t="inlineStr">
        <is>
          <t>BOOK</t>
        </is>
      </c>
      <c r="BB874" t="inlineStr">
        <is>
          <t>9780831788131</t>
        </is>
      </c>
      <c r="BC874" t="inlineStr">
        <is>
          <t>32285000458777</t>
        </is>
      </c>
      <c r="BD874" t="inlineStr">
        <is>
          <t>893419855</t>
        </is>
      </c>
    </row>
    <row r="875">
      <c r="A875" t="inlineStr">
        <is>
          <t>No</t>
        </is>
      </c>
      <c r="B875" t="inlineStr">
        <is>
          <t>DF77 .B83 1980</t>
        </is>
      </c>
      <c r="C875" t="inlineStr">
        <is>
          <t>0                      DF 0077000B  83          1980</t>
        </is>
      </c>
      <c r="D875" t="inlineStr">
        <is>
          <t>Hellas, the civilizations of ancient Greece / Keith Branigan, Michael Vickers ; foreword by John Boardman.</t>
        </is>
      </c>
      <c r="F875" t="inlineStr">
        <is>
          <t>No</t>
        </is>
      </c>
      <c r="G875" t="inlineStr">
        <is>
          <t>1</t>
        </is>
      </c>
      <c r="H875" t="inlineStr">
        <is>
          <t>No</t>
        </is>
      </c>
      <c r="I875" t="inlineStr">
        <is>
          <t>No</t>
        </is>
      </c>
      <c r="J875" t="inlineStr">
        <is>
          <t>0</t>
        </is>
      </c>
      <c r="K875" t="inlineStr">
        <is>
          <t>Branigan, Keith.</t>
        </is>
      </c>
      <c r="L875" t="inlineStr">
        <is>
          <t>New York : McGraw-Hill, c1980.</t>
        </is>
      </c>
      <c r="M875" t="inlineStr">
        <is>
          <t>1980</t>
        </is>
      </c>
      <c r="O875" t="inlineStr">
        <is>
          <t>eng</t>
        </is>
      </c>
      <c r="P875" t="inlineStr">
        <is>
          <t>nyu</t>
        </is>
      </c>
      <c r="R875" t="inlineStr">
        <is>
          <t xml:space="preserve">DF </t>
        </is>
      </c>
      <c r="S875" t="n">
        <v>2</v>
      </c>
      <c r="T875" t="n">
        <v>2</v>
      </c>
      <c r="U875" t="inlineStr">
        <is>
          <t>2008-06-12</t>
        </is>
      </c>
      <c r="V875" t="inlineStr">
        <is>
          <t>2008-06-12</t>
        </is>
      </c>
      <c r="W875" t="inlineStr">
        <is>
          <t>2008-06-12</t>
        </is>
      </c>
      <c r="X875" t="inlineStr">
        <is>
          <t>2008-06-12</t>
        </is>
      </c>
      <c r="Y875" t="n">
        <v>455</v>
      </c>
      <c r="Z875" t="n">
        <v>411</v>
      </c>
      <c r="AA875" t="n">
        <v>412</v>
      </c>
      <c r="AB875" t="n">
        <v>4</v>
      </c>
      <c r="AC875" t="n">
        <v>4</v>
      </c>
      <c r="AD875" t="n">
        <v>15</v>
      </c>
      <c r="AE875" t="n">
        <v>15</v>
      </c>
      <c r="AF875" t="n">
        <v>7</v>
      </c>
      <c r="AG875" t="n">
        <v>7</v>
      </c>
      <c r="AH875" t="n">
        <v>2</v>
      </c>
      <c r="AI875" t="n">
        <v>2</v>
      </c>
      <c r="AJ875" t="n">
        <v>9</v>
      </c>
      <c r="AK875" t="n">
        <v>9</v>
      </c>
      <c r="AL875" t="n">
        <v>2</v>
      </c>
      <c r="AM875" t="n">
        <v>2</v>
      </c>
      <c r="AN875" t="n">
        <v>0</v>
      </c>
      <c r="AO875" t="n">
        <v>0</v>
      </c>
      <c r="AP875" t="inlineStr">
        <is>
          <t>No</t>
        </is>
      </c>
      <c r="AQ875" t="inlineStr">
        <is>
          <t>Yes</t>
        </is>
      </c>
      <c r="AR875">
        <f>HYPERLINK("http://catalog.hathitrust.org/Record/000142306","HathiTrust Record")</f>
        <v/>
      </c>
      <c r="AS875">
        <f>HYPERLINK("https://creighton-primo.hosted.exlibrisgroup.com/primo-explore/search?tab=default_tab&amp;search_scope=EVERYTHING&amp;vid=01CRU&amp;lang=en_US&amp;offset=0&amp;query=any,contains,991005235109702656","Catalog Record")</f>
        <v/>
      </c>
      <c r="AT875">
        <f>HYPERLINK("http://www.worldcat.org/oclc/6487078","WorldCat Record")</f>
        <v/>
      </c>
      <c r="AU875" t="inlineStr">
        <is>
          <t>4495389675:eng</t>
        </is>
      </c>
      <c r="AV875" t="inlineStr">
        <is>
          <t>6487078</t>
        </is>
      </c>
      <c r="AW875" t="inlineStr">
        <is>
          <t>991005235109702656</t>
        </is>
      </c>
      <c r="AX875" t="inlineStr">
        <is>
          <t>991005235109702656</t>
        </is>
      </c>
      <c r="AY875" t="inlineStr">
        <is>
          <t>2271744610002656</t>
        </is>
      </c>
      <c r="AZ875" t="inlineStr">
        <is>
          <t>BOOK</t>
        </is>
      </c>
      <c r="BB875" t="inlineStr">
        <is>
          <t>9780070072299</t>
        </is>
      </c>
      <c r="BC875" t="inlineStr">
        <is>
          <t>32285005444921</t>
        </is>
      </c>
      <c r="BD875" t="inlineStr">
        <is>
          <t>893625673</t>
        </is>
      </c>
    </row>
    <row r="876">
      <c r="A876" t="inlineStr">
        <is>
          <t>No</t>
        </is>
      </c>
      <c r="B876" t="inlineStr">
        <is>
          <t>DF77 .B9445 1974</t>
        </is>
      </c>
      <c r="C876" t="inlineStr">
        <is>
          <t>0                      DF 0077000B  9445        1974</t>
        </is>
      </c>
      <c r="D876" t="inlineStr">
        <is>
          <t>Minoans, Philistines, and Greeks, B.C. 1400-900 / by A. R. Burn.</t>
        </is>
      </c>
      <c r="F876" t="inlineStr">
        <is>
          <t>No</t>
        </is>
      </c>
      <c r="G876" t="inlineStr">
        <is>
          <t>1</t>
        </is>
      </c>
      <c r="H876" t="inlineStr">
        <is>
          <t>No</t>
        </is>
      </c>
      <c r="I876" t="inlineStr">
        <is>
          <t>No</t>
        </is>
      </c>
      <c r="J876" t="inlineStr">
        <is>
          <t>0</t>
        </is>
      </c>
      <c r="K876" t="inlineStr">
        <is>
          <t>Burn, A. R. (Andrew Robert), 1902-1991.</t>
        </is>
      </c>
      <c r="L876" t="inlineStr">
        <is>
          <t>Westport, Conn. : Greenwood Press, 1974.</t>
        </is>
      </c>
      <c r="M876" t="inlineStr">
        <is>
          <t>1974</t>
        </is>
      </c>
      <c r="O876" t="inlineStr">
        <is>
          <t>eng</t>
        </is>
      </c>
      <c r="P876" t="inlineStr">
        <is>
          <t>ctu</t>
        </is>
      </c>
      <c r="R876" t="inlineStr">
        <is>
          <t xml:space="preserve">DF </t>
        </is>
      </c>
      <c r="S876" t="n">
        <v>3</v>
      </c>
      <c r="T876" t="n">
        <v>3</v>
      </c>
      <c r="U876" t="inlineStr">
        <is>
          <t>2007-03-19</t>
        </is>
      </c>
      <c r="V876" t="inlineStr">
        <is>
          <t>2007-03-19</t>
        </is>
      </c>
      <c r="W876" t="inlineStr">
        <is>
          <t>1997-01-28</t>
        </is>
      </c>
      <c r="X876" t="inlineStr">
        <is>
          <t>1997-01-28</t>
        </is>
      </c>
      <c r="Y876" t="n">
        <v>63</v>
      </c>
      <c r="Z876" t="n">
        <v>59</v>
      </c>
      <c r="AA876" t="n">
        <v>433</v>
      </c>
      <c r="AB876" t="n">
        <v>1</v>
      </c>
      <c r="AC876" t="n">
        <v>3</v>
      </c>
      <c r="AD876" t="n">
        <v>5</v>
      </c>
      <c r="AE876" t="n">
        <v>19</v>
      </c>
      <c r="AF876" t="n">
        <v>2</v>
      </c>
      <c r="AG876" t="n">
        <v>5</v>
      </c>
      <c r="AH876" t="n">
        <v>3</v>
      </c>
      <c r="AI876" t="n">
        <v>6</v>
      </c>
      <c r="AJ876" t="n">
        <v>2</v>
      </c>
      <c r="AK876" t="n">
        <v>8</v>
      </c>
      <c r="AL876" t="n">
        <v>0</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HYPERLINK("https://creighton-primo.hosted.exlibrisgroup.com/primo-explore/search?tab=default_tab&amp;search_scope=EVERYTHING&amp;vid=01CRU&amp;lang=en_US&amp;offset=0&amp;query=any,contains,991003607989702656","Catalog Record")</f>
        <v/>
      </c>
      <c r="AT876">
        <f>HYPERLINK("http://www.worldcat.org/oclc/1188996","WorldCat Record")</f>
        <v/>
      </c>
      <c r="AU876" t="inlineStr">
        <is>
          <t>552145591:eng</t>
        </is>
      </c>
      <c r="AV876" t="inlineStr">
        <is>
          <t>1188996</t>
        </is>
      </c>
      <c r="AW876" t="inlineStr">
        <is>
          <t>991003607989702656</t>
        </is>
      </c>
      <c r="AX876" t="inlineStr">
        <is>
          <t>991003607989702656</t>
        </is>
      </c>
      <c r="AY876" t="inlineStr">
        <is>
          <t>2266130830002656</t>
        </is>
      </c>
      <c r="AZ876" t="inlineStr">
        <is>
          <t>BOOK</t>
        </is>
      </c>
      <c r="BB876" t="inlineStr">
        <is>
          <t>9780837177946</t>
        </is>
      </c>
      <c r="BC876" t="inlineStr">
        <is>
          <t>32285002416989</t>
        </is>
      </c>
      <c r="BD876" t="inlineStr">
        <is>
          <t>893787533</t>
        </is>
      </c>
    </row>
    <row r="877">
      <c r="A877" t="inlineStr">
        <is>
          <t>No</t>
        </is>
      </c>
      <c r="B877" t="inlineStr">
        <is>
          <t>DF77 .C32 1998</t>
        </is>
      </c>
      <c r="C877" t="inlineStr">
        <is>
          <t>0                      DF 0077000C  32          1998</t>
        </is>
      </c>
      <c r="D877" t="inlineStr">
        <is>
          <t>The Cambridge illustrated history of ancient Greece / edited by Paul Cartledge.</t>
        </is>
      </c>
      <c r="F877" t="inlineStr">
        <is>
          <t>No</t>
        </is>
      </c>
      <c r="G877" t="inlineStr">
        <is>
          <t>1</t>
        </is>
      </c>
      <c r="H877" t="inlineStr">
        <is>
          <t>No</t>
        </is>
      </c>
      <c r="I877" t="inlineStr">
        <is>
          <t>No</t>
        </is>
      </c>
      <c r="J877" t="inlineStr">
        <is>
          <t>0</t>
        </is>
      </c>
      <c r="L877" t="inlineStr">
        <is>
          <t>Cambridge, U.K. ; New York, NY, USA : Cambridge University Press, 1998.</t>
        </is>
      </c>
      <c r="M877" t="inlineStr">
        <is>
          <t>1998</t>
        </is>
      </c>
      <c r="O877" t="inlineStr">
        <is>
          <t>eng</t>
        </is>
      </c>
      <c r="P877" t="inlineStr">
        <is>
          <t>enk</t>
        </is>
      </c>
      <c r="Q877" t="inlineStr">
        <is>
          <t>Cambridge illustrated history</t>
        </is>
      </c>
      <c r="R877" t="inlineStr">
        <is>
          <t xml:space="preserve">DF </t>
        </is>
      </c>
      <c r="S877" t="n">
        <v>9</v>
      </c>
      <c r="T877" t="n">
        <v>9</v>
      </c>
      <c r="U877" t="inlineStr">
        <is>
          <t>2008-03-16</t>
        </is>
      </c>
      <c r="V877" t="inlineStr">
        <is>
          <t>2008-03-16</t>
        </is>
      </c>
      <c r="W877" t="inlineStr">
        <is>
          <t>1998-11-04</t>
        </is>
      </c>
      <c r="X877" t="inlineStr">
        <is>
          <t>1998-11-04</t>
        </is>
      </c>
      <c r="Y877" t="n">
        <v>1145</v>
      </c>
      <c r="Z877" t="n">
        <v>853</v>
      </c>
      <c r="AA877" t="n">
        <v>1049</v>
      </c>
      <c r="AB877" t="n">
        <v>6</v>
      </c>
      <c r="AC877" t="n">
        <v>8</v>
      </c>
      <c r="AD877" t="n">
        <v>37</v>
      </c>
      <c r="AE877" t="n">
        <v>38</v>
      </c>
      <c r="AF877" t="n">
        <v>17</v>
      </c>
      <c r="AG877" t="n">
        <v>17</v>
      </c>
      <c r="AH877" t="n">
        <v>8</v>
      </c>
      <c r="AI877" t="n">
        <v>8</v>
      </c>
      <c r="AJ877" t="n">
        <v>15</v>
      </c>
      <c r="AK877" t="n">
        <v>15</v>
      </c>
      <c r="AL877" t="n">
        <v>4</v>
      </c>
      <c r="AM877" t="n">
        <v>5</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HYPERLINK("https://creighton-primo.hosted.exlibrisgroup.com/primo-explore/search?tab=default_tab&amp;search_scope=EVERYTHING&amp;vid=01CRU&amp;lang=en_US&amp;offset=0&amp;query=any,contains,991002740919702656","Catalog Record")</f>
        <v/>
      </c>
      <c r="AT877">
        <f>HYPERLINK("http://www.worldcat.org/oclc/35990429","WorldCat Record")</f>
        <v/>
      </c>
      <c r="AU877" t="inlineStr">
        <is>
          <t>56130748:eng</t>
        </is>
      </c>
      <c r="AV877" t="inlineStr">
        <is>
          <t>35990429</t>
        </is>
      </c>
      <c r="AW877" t="inlineStr">
        <is>
          <t>991002740919702656</t>
        </is>
      </c>
      <c r="AX877" t="inlineStr">
        <is>
          <t>991002740919702656</t>
        </is>
      </c>
      <c r="AY877" t="inlineStr">
        <is>
          <t>2264395790002656</t>
        </is>
      </c>
      <c r="AZ877" t="inlineStr">
        <is>
          <t>BOOK</t>
        </is>
      </c>
      <c r="BB877" t="inlineStr">
        <is>
          <t>9780521481960</t>
        </is>
      </c>
      <c r="BC877" t="inlineStr">
        <is>
          <t>32285003485272</t>
        </is>
      </c>
      <c r="BD877" t="inlineStr">
        <is>
          <t>893704456</t>
        </is>
      </c>
    </row>
    <row r="878">
      <c r="A878" t="inlineStr">
        <is>
          <t>No</t>
        </is>
      </c>
      <c r="B878" t="inlineStr">
        <is>
          <t>DF77 .C63 1994</t>
        </is>
      </c>
      <c r="C878" t="inlineStr">
        <is>
          <t>0                      DF 0077000C  63          1994</t>
        </is>
      </c>
      <c r="D878" t="inlineStr">
        <is>
          <t>Classical Greece : ancient histories and modern archaeologies / edited by Ian Morris.</t>
        </is>
      </c>
      <c r="F878" t="inlineStr">
        <is>
          <t>No</t>
        </is>
      </c>
      <c r="G878" t="inlineStr">
        <is>
          <t>1</t>
        </is>
      </c>
      <c r="H878" t="inlineStr">
        <is>
          <t>No</t>
        </is>
      </c>
      <c r="I878" t="inlineStr">
        <is>
          <t>No</t>
        </is>
      </c>
      <c r="J878" t="inlineStr">
        <is>
          <t>0</t>
        </is>
      </c>
      <c r="L878" t="inlineStr">
        <is>
          <t>Cambridge [England] ; New York, NY, USA : Cambridge University Press, 1994.</t>
        </is>
      </c>
      <c r="M878" t="inlineStr">
        <is>
          <t>1994</t>
        </is>
      </c>
      <c r="O878" t="inlineStr">
        <is>
          <t>eng</t>
        </is>
      </c>
      <c r="P878" t="inlineStr">
        <is>
          <t>enk</t>
        </is>
      </c>
      <c r="Q878" t="inlineStr">
        <is>
          <t>New directions in archaeology</t>
        </is>
      </c>
      <c r="R878" t="inlineStr">
        <is>
          <t xml:space="preserve">DF </t>
        </is>
      </c>
      <c r="S878" t="n">
        <v>8</v>
      </c>
      <c r="T878" t="n">
        <v>8</v>
      </c>
      <c r="U878" t="inlineStr">
        <is>
          <t>2006-03-13</t>
        </is>
      </c>
      <c r="V878" t="inlineStr">
        <is>
          <t>2006-03-13</t>
        </is>
      </c>
      <c r="W878" t="inlineStr">
        <is>
          <t>1994-11-22</t>
        </is>
      </c>
      <c r="X878" t="inlineStr">
        <is>
          <t>1994-11-22</t>
        </is>
      </c>
      <c r="Y878" t="n">
        <v>559</v>
      </c>
      <c r="Z878" t="n">
        <v>405</v>
      </c>
      <c r="AA878" t="n">
        <v>405</v>
      </c>
      <c r="AB878" t="n">
        <v>3</v>
      </c>
      <c r="AC878" t="n">
        <v>3</v>
      </c>
      <c r="AD878" t="n">
        <v>24</v>
      </c>
      <c r="AE878" t="n">
        <v>24</v>
      </c>
      <c r="AF878" t="n">
        <v>9</v>
      </c>
      <c r="AG878" t="n">
        <v>9</v>
      </c>
      <c r="AH878" t="n">
        <v>6</v>
      </c>
      <c r="AI878" t="n">
        <v>6</v>
      </c>
      <c r="AJ878" t="n">
        <v>13</v>
      </c>
      <c r="AK878" t="n">
        <v>13</v>
      </c>
      <c r="AL878" t="n">
        <v>2</v>
      </c>
      <c r="AM878" t="n">
        <v>2</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HYPERLINK("https://creighton-primo.hosted.exlibrisgroup.com/primo-explore/search?tab=default_tab&amp;search_scope=EVERYTHING&amp;vid=01CRU&amp;lang=en_US&amp;offset=0&amp;query=any,contains,991002135159702656","Catalog Record")</f>
        <v/>
      </c>
      <c r="AT878">
        <f>HYPERLINK("http://www.worldcat.org/oclc/27381025","WorldCat Record")</f>
        <v/>
      </c>
      <c r="AU878" t="inlineStr">
        <is>
          <t>795714685:eng</t>
        </is>
      </c>
      <c r="AV878" t="inlineStr">
        <is>
          <t>27381025</t>
        </is>
      </c>
      <c r="AW878" t="inlineStr">
        <is>
          <t>991002135159702656</t>
        </is>
      </c>
      <c r="AX878" t="inlineStr">
        <is>
          <t>991002135159702656</t>
        </is>
      </c>
      <c r="AY878" t="inlineStr">
        <is>
          <t>2262168080002656</t>
        </is>
      </c>
      <c r="AZ878" t="inlineStr">
        <is>
          <t>BOOK</t>
        </is>
      </c>
      <c r="BB878" t="inlineStr">
        <is>
          <t>9780521392792</t>
        </is>
      </c>
      <c r="BC878" t="inlineStr">
        <is>
          <t>32285001959260</t>
        </is>
      </c>
      <c r="BD878" t="inlineStr">
        <is>
          <t>893779459</t>
        </is>
      </c>
    </row>
    <row r="879">
      <c r="A879" t="inlineStr">
        <is>
          <t>No</t>
        </is>
      </c>
      <c r="B879" t="inlineStr">
        <is>
          <t>DF77 .D44 1996</t>
        </is>
      </c>
      <c r="C879" t="inlineStr">
        <is>
          <t>0                      DF 0077000D  44          1996</t>
        </is>
      </c>
      <c r="D879" t="inlineStr">
        <is>
          <t>A history of ancient Greece / Nancy Demand.</t>
        </is>
      </c>
      <c r="F879" t="inlineStr">
        <is>
          <t>No</t>
        </is>
      </c>
      <c r="G879" t="inlineStr">
        <is>
          <t>1</t>
        </is>
      </c>
      <c r="H879" t="inlineStr">
        <is>
          <t>No</t>
        </is>
      </c>
      <c r="I879" t="inlineStr">
        <is>
          <t>No</t>
        </is>
      </c>
      <c r="J879" t="inlineStr">
        <is>
          <t>0</t>
        </is>
      </c>
      <c r="K879" t="inlineStr">
        <is>
          <t>Demand, Nancy H.</t>
        </is>
      </c>
      <c r="L879" t="inlineStr">
        <is>
          <t>Boston, Mass. : McGraw-Hill Companies, c1996.</t>
        </is>
      </c>
      <c r="M879" t="inlineStr">
        <is>
          <t>1996</t>
        </is>
      </c>
      <c r="O879" t="inlineStr">
        <is>
          <t>eng</t>
        </is>
      </c>
      <c r="P879" t="inlineStr">
        <is>
          <t>mau</t>
        </is>
      </c>
      <c r="R879" t="inlineStr">
        <is>
          <t xml:space="preserve">DF </t>
        </is>
      </c>
      <c r="S879" t="n">
        <v>1</v>
      </c>
      <c r="T879" t="n">
        <v>1</v>
      </c>
      <c r="U879" t="inlineStr">
        <is>
          <t>2009-01-12</t>
        </is>
      </c>
      <c r="V879" t="inlineStr">
        <is>
          <t>2009-01-12</t>
        </is>
      </c>
      <c r="W879" t="inlineStr">
        <is>
          <t>2009-01-12</t>
        </is>
      </c>
      <c r="X879" t="inlineStr">
        <is>
          <t>2009-01-12</t>
        </is>
      </c>
      <c r="Y879" t="n">
        <v>164</v>
      </c>
      <c r="Z879" t="n">
        <v>112</v>
      </c>
      <c r="AA879" t="n">
        <v>118</v>
      </c>
      <c r="AB879" t="n">
        <v>1</v>
      </c>
      <c r="AC879" t="n">
        <v>1</v>
      </c>
      <c r="AD879" t="n">
        <v>3</v>
      </c>
      <c r="AE879" t="n">
        <v>3</v>
      </c>
      <c r="AF879" t="n">
        <v>1</v>
      </c>
      <c r="AG879" t="n">
        <v>1</v>
      </c>
      <c r="AH879" t="n">
        <v>1</v>
      </c>
      <c r="AI879" t="n">
        <v>1</v>
      </c>
      <c r="AJ879" t="n">
        <v>2</v>
      </c>
      <c r="AK879" t="n">
        <v>2</v>
      </c>
      <c r="AL879" t="n">
        <v>0</v>
      </c>
      <c r="AM879" t="n">
        <v>0</v>
      </c>
      <c r="AN879" t="n">
        <v>0</v>
      </c>
      <c r="AO879" t="n">
        <v>0</v>
      </c>
      <c r="AP879" t="inlineStr">
        <is>
          <t>No</t>
        </is>
      </c>
      <c r="AQ879" t="inlineStr">
        <is>
          <t>Yes</t>
        </is>
      </c>
      <c r="AR879">
        <f>HYPERLINK("http://catalog.hathitrust.org/Record/003129538","HathiTrust Record")</f>
        <v/>
      </c>
      <c r="AS879">
        <f>HYPERLINK("https://creighton-primo.hosted.exlibrisgroup.com/primo-explore/search?tab=default_tab&amp;search_scope=EVERYTHING&amp;vid=01CRU&amp;lang=en_US&amp;offset=0&amp;query=any,contains,991005289209702656","Catalog Record")</f>
        <v/>
      </c>
      <c r="AT879">
        <f>HYPERLINK("http://www.worldcat.org/oclc/33243373","WorldCat Record")</f>
        <v/>
      </c>
      <c r="AU879" t="inlineStr">
        <is>
          <t>3768882289:eng</t>
        </is>
      </c>
      <c r="AV879" t="inlineStr">
        <is>
          <t>33243373</t>
        </is>
      </c>
      <c r="AW879" t="inlineStr">
        <is>
          <t>991005289209702656</t>
        </is>
      </c>
      <c r="AX879" t="inlineStr">
        <is>
          <t>991005289209702656</t>
        </is>
      </c>
      <c r="AY879" t="inlineStr">
        <is>
          <t>2255225030002656</t>
        </is>
      </c>
      <c r="AZ879" t="inlineStr">
        <is>
          <t>BOOK</t>
        </is>
      </c>
      <c r="BB879" t="inlineStr">
        <is>
          <t>9780070162075</t>
        </is>
      </c>
      <c r="BC879" t="inlineStr">
        <is>
          <t>32285005476519</t>
        </is>
      </c>
      <c r="BD879" t="inlineStr">
        <is>
          <t>893242493</t>
        </is>
      </c>
    </row>
    <row r="880">
      <c r="A880" t="inlineStr">
        <is>
          <t>No</t>
        </is>
      </c>
      <c r="B880" t="inlineStr">
        <is>
          <t>DF77 .D54</t>
        </is>
      </c>
      <c r="C880" t="inlineStr">
        <is>
          <t>0                      DF 0077000D  54</t>
        </is>
      </c>
      <c r="D880" t="inlineStr">
        <is>
          <t>The Greek view of life / by G. Lowes Dickinson.</t>
        </is>
      </c>
      <c r="F880" t="inlineStr">
        <is>
          <t>No</t>
        </is>
      </c>
      <c r="G880" t="inlineStr">
        <is>
          <t>1</t>
        </is>
      </c>
      <c r="H880" t="inlineStr">
        <is>
          <t>No</t>
        </is>
      </c>
      <c r="I880" t="inlineStr">
        <is>
          <t>No</t>
        </is>
      </c>
      <c r="J880" t="inlineStr">
        <is>
          <t>0</t>
        </is>
      </c>
      <c r="K880" t="inlineStr">
        <is>
          <t>Dickinson, G. Lowes (Goldsworthy Lowes), 1862-1932.</t>
        </is>
      </c>
      <c r="L880" t="inlineStr">
        <is>
          <t>Garden City, NY : Doubleday, Doran and Co., [n.d.].</t>
        </is>
      </c>
      <c r="N880" t="inlineStr">
        <is>
          <t>Educational edition.</t>
        </is>
      </c>
      <c r="O880" t="inlineStr">
        <is>
          <t>eng</t>
        </is>
      </c>
      <c r="P880" t="inlineStr">
        <is>
          <t>nyu</t>
        </is>
      </c>
      <c r="R880" t="inlineStr">
        <is>
          <t xml:space="preserve">DF </t>
        </is>
      </c>
      <c r="S880" t="n">
        <v>8</v>
      </c>
      <c r="T880" t="n">
        <v>8</v>
      </c>
      <c r="U880" t="inlineStr">
        <is>
          <t>2005-09-06</t>
        </is>
      </c>
      <c r="V880" t="inlineStr">
        <is>
          <t>2005-09-06</t>
        </is>
      </c>
      <c r="W880" t="inlineStr">
        <is>
          <t>1996-05-29</t>
        </is>
      </c>
      <c r="X880" t="inlineStr">
        <is>
          <t>1996-05-29</t>
        </is>
      </c>
      <c r="Y880" t="n">
        <v>47</v>
      </c>
      <c r="Z880" t="n">
        <v>47</v>
      </c>
      <c r="AA880" t="n">
        <v>1330</v>
      </c>
      <c r="AB880" t="n">
        <v>3</v>
      </c>
      <c r="AC880" t="n">
        <v>7</v>
      </c>
      <c r="AD880" t="n">
        <v>3</v>
      </c>
      <c r="AE880" t="n">
        <v>52</v>
      </c>
      <c r="AF880" t="n">
        <v>0</v>
      </c>
      <c r="AG880" t="n">
        <v>26</v>
      </c>
      <c r="AH880" t="n">
        <v>0</v>
      </c>
      <c r="AI880" t="n">
        <v>8</v>
      </c>
      <c r="AJ880" t="n">
        <v>1</v>
      </c>
      <c r="AK880" t="n">
        <v>24</v>
      </c>
      <c r="AL880" t="n">
        <v>2</v>
      </c>
      <c r="AM880" t="n">
        <v>5</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HYPERLINK("https://creighton-primo.hosted.exlibrisgroup.com/primo-explore/search?tab=default_tab&amp;search_scope=EVERYTHING&amp;vid=01CRU&amp;lang=en_US&amp;offset=0&amp;query=any,contains,991000073319702656","Catalog Record")</f>
        <v/>
      </c>
      <c r="AT880">
        <f>HYPERLINK("http://www.worldcat.org/oclc/8793113","WorldCat Record")</f>
        <v/>
      </c>
      <c r="AU880" t="inlineStr">
        <is>
          <t>358625:eng</t>
        </is>
      </c>
      <c r="AV880" t="inlineStr">
        <is>
          <t>8793113</t>
        </is>
      </c>
      <c r="AW880" t="inlineStr">
        <is>
          <t>991000073319702656</t>
        </is>
      </c>
      <c r="AX880" t="inlineStr">
        <is>
          <t>991000073319702656</t>
        </is>
      </c>
      <c r="AY880" t="inlineStr">
        <is>
          <t>2264110240002656</t>
        </is>
      </c>
      <c r="AZ880" t="inlineStr">
        <is>
          <t>BOOK</t>
        </is>
      </c>
      <c r="BC880" t="inlineStr">
        <is>
          <t>32285002164449</t>
        </is>
      </c>
      <c r="BD880" t="inlineStr">
        <is>
          <t>893701810</t>
        </is>
      </c>
    </row>
    <row r="881">
      <c r="A881" t="inlineStr">
        <is>
          <t>No</t>
        </is>
      </c>
      <c r="B881" t="inlineStr">
        <is>
          <t>DF77 .D8513 1971c</t>
        </is>
      </c>
      <c r="C881" t="inlineStr">
        <is>
          <t>0                      DF 0077000D  8513        1971c</t>
        </is>
      </c>
      <c r="D881" t="inlineStr">
        <is>
          <t>The world of the Greeks / texts by Victor Duruy ; translated by Joël Rosenthal.</t>
        </is>
      </c>
      <c r="F881" t="inlineStr">
        <is>
          <t>No</t>
        </is>
      </c>
      <c r="G881" t="inlineStr">
        <is>
          <t>1</t>
        </is>
      </c>
      <c r="H881" t="inlineStr">
        <is>
          <t>No</t>
        </is>
      </c>
      <c r="I881" t="inlineStr">
        <is>
          <t>No</t>
        </is>
      </c>
      <c r="J881" t="inlineStr">
        <is>
          <t>0</t>
        </is>
      </c>
      <c r="K881" t="inlineStr">
        <is>
          <t>Duruy, Victor, 1811-1894.</t>
        </is>
      </c>
      <c r="L881" t="inlineStr">
        <is>
          <t>Geneve : Editions Minerva, c1971.</t>
        </is>
      </c>
      <c r="M881" t="inlineStr">
        <is>
          <t>1971</t>
        </is>
      </c>
      <c r="O881" t="inlineStr">
        <is>
          <t>eng</t>
        </is>
      </c>
      <c r="P881" t="inlineStr">
        <is>
          <t xml:space="preserve">sw </t>
        </is>
      </c>
      <c r="R881" t="inlineStr">
        <is>
          <t xml:space="preserve">DF </t>
        </is>
      </c>
      <c r="S881" t="n">
        <v>5</v>
      </c>
      <c r="T881" t="n">
        <v>5</v>
      </c>
      <c r="U881" t="inlineStr">
        <is>
          <t>2000-02-10</t>
        </is>
      </c>
      <c r="V881" t="inlineStr">
        <is>
          <t>2000-02-10</t>
        </is>
      </c>
      <c r="W881" t="inlineStr">
        <is>
          <t>1997-01-28</t>
        </is>
      </c>
      <c r="X881" t="inlineStr">
        <is>
          <t>1997-01-28</t>
        </is>
      </c>
      <c r="Y881" t="n">
        <v>388</v>
      </c>
      <c r="Z881" t="n">
        <v>348</v>
      </c>
      <c r="AA881" t="n">
        <v>534</v>
      </c>
      <c r="AB881" t="n">
        <v>1</v>
      </c>
      <c r="AC881" t="n">
        <v>1</v>
      </c>
      <c r="AD881" t="n">
        <v>6</v>
      </c>
      <c r="AE881" t="n">
        <v>9</v>
      </c>
      <c r="AF881" t="n">
        <v>3</v>
      </c>
      <c r="AG881" t="n">
        <v>3</v>
      </c>
      <c r="AH881" t="n">
        <v>2</v>
      </c>
      <c r="AI881" t="n">
        <v>4</v>
      </c>
      <c r="AJ881" t="n">
        <v>2</v>
      </c>
      <c r="AK881" t="n">
        <v>3</v>
      </c>
      <c r="AL881" t="n">
        <v>0</v>
      </c>
      <c r="AM881" t="n">
        <v>0</v>
      </c>
      <c r="AN881" t="n">
        <v>0</v>
      </c>
      <c r="AO881" t="n">
        <v>0</v>
      </c>
      <c r="AP881" t="inlineStr">
        <is>
          <t>No</t>
        </is>
      </c>
      <c r="AQ881" t="inlineStr">
        <is>
          <t>Yes</t>
        </is>
      </c>
      <c r="AR881">
        <f>HYPERLINK("http://catalog.hathitrust.org/Record/004407861","HathiTrust Record")</f>
        <v/>
      </c>
      <c r="AS881">
        <f>HYPERLINK("https://creighton-primo.hosted.exlibrisgroup.com/primo-explore/search?tab=default_tab&amp;search_scope=EVERYTHING&amp;vid=01CRU&amp;lang=en_US&amp;offset=0&amp;query=any,contains,991002178439702656","Catalog Record")</f>
        <v/>
      </c>
      <c r="AT881">
        <f>HYPERLINK("http://www.worldcat.org/oclc/1294436","WorldCat Record")</f>
        <v/>
      </c>
      <c r="AU881" t="inlineStr">
        <is>
          <t>1577059:eng</t>
        </is>
      </c>
      <c r="AV881" t="inlineStr">
        <is>
          <t>1294436</t>
        </is>
      </c>
      <c r="AW881" t="inlineStr">
        <is>
          <t>991002178439702656</t>
        </is>
      </c>
      <c r="AX881" t="inlineStr">
        <is>
          <t>991002178439702656</t>
        </is>
      </c>
      <c r="AY881" t="inlineStr">
        <is>
          <t>2272197910002656</t>
        </is>
      </c>
      <c r="AZ881" t="inlineStr">
        <is>
          <t>BOOK</t>
        </is>
      </c>
      <c r="BC881" t="inlineStr">
        <is>
          <t>32285002417011</t>
        </is>
      </c>
      <c r="BD881" t="inlineStr">
        <is>
          <t>893903739</t>
        </is>
      </c>
    </row>
    <row r="882">
      <c r="A882" t="inlineStr">
        <is>
          <t>No</t>
        </is>
      </c>
      <c r="B882" t="inlineStr">
        <is>
          <t>DF77 .E35 1973</t>
        </is>
      </c>
      <c r="C882" t="inlineStr">
        <is>
          <t>0                      DF 0077000E  35          1973</t>
        </is>
      </c>
      <c r="D882" t="inlineStr">
        <is>
          <t>From Solon to Socrates : Greek history and civilization during the sixth and fifth centuries B.C. / Victor Ehrenberg.</t>
        </is>
      </c>
      <c r="F882" t="inlineStr">
        <is>
          <t>No</t>
        </is>
      </c>
      <c r="G882" t="inlineStr">
        <is>
          <t>1</t>
        </is>
      </c>
      <c r="H882" t="inlineStr">
        <is>
          <t>No</t>
        </is>
      </c>
      <c r="I882" t="inlineStr">
        <is>
          <t>Yes</t>
        </is>
      </c>
      <c r="J882" t="inlineStr">
        <is>
          <t>0</t>
        </is>
      </c>
      <c r="K882" t="inlineStr">
        <is>
          <t>Ehrenberg, Victor, 1891-1976.</t>
        </is>
      </c>
      <c r="L882" t="inlineStr">
        <is>
          <t>London : Methuen [distributed by Barnes &amp; Noble, New York, c1973] 1981 printing.</t>
        </is>
      </c>
      <c r="M882" t="inlineStr">
        <is>
          <t>1973</t>
        </is>
      </c>
      <c r="N882" t="inlineStr">
        <is>
          <t>2d ed.</t>
        </is>
      </c>
      <c r="O882" t="inlineStr">
        <is>
          <t>eng</t>
        </is>
      </c>
      <c r="P882" t="inlineStr">
        <is>
          <t>enk</t>
        </is>
      </c>
      <c r="R882" t="inlineStr">
        <is>
          <t xml:space="preserve">DF </t>
        </is>
      </c>
      <c r="S882" t="n">
        <v>2</v>
      </c>
      <c r="T882" t="n">
        <v>2</v>
      </c>
      <c r="U882" t="inlineStr">
        <is>
          <t>2004-04-24</t>
        </is>
      </c>
      <c r="V882" t="inlineStr">
        <is>
          <t>2004-04-24</t>
        </is>
      </c>
      <c r="W882" t="inlineStr">
        <is>
          <t>1993-10-25</t>
        </is>
      </c>
      <c r="X882" t="inlineStr">
        <is>
          <t>1993-10-25</t>
        </is>
      </c>
      <c r="Y882" t="n">
        <v>652</v>
      </c>
      <c r="Z882" t="n">
        <v>464</v>
      </c>
      <c r="AA882" t="n">
        <v>1175</v>
      </c>
      <c r="AB882" t="n">
        <v>3</v>
      </c>
      <c r="AC882" t="n">
        <v>7</v>
      </c>
      <c r="AD882" t="n">
        <v>18</v>
      </c>
      <c r="AE882" t="n">
        <v>49</v>
      </c>
      <c r="AF882" t="n">
        <v>9</v>
      </c>
      <c r="AG882" t="n">
        <v>23</v>
      </c>
      <c r="AH882" t="n">
        <v>5</v>
      </c>
      <c r="AI882" t="n">
        <v>10</v>
      </c>
      <c r="AJ882" t="n">
        <v>7</v>
      </c>
      <c r="AK882" t="n">
        <v>23</v>
      </c>
      <c r="AL882" t="n">
        <v>2</v>
      </c>
      <c r="AM882" t="n">
        <v>6</v>
      </c>
      <c r="AN882" t="n">
        <v>0</v>
      </c>
      <c r="AO882" t="n">
        <v>0</v>
      </c>
      <c r="AP882" t="inlineStr">
        <is>
          <t>No</t>
        </is>
      </c>
      <c r="AQ882" t="inlineStr">
        <is>
          <t>Yes</t>
        </is>
      </c>
      <c r="AR882">
        <f>HYPERLINK("http://catalog.hathitrust.org/Record/000609519","HathiTrust Record")</f>
        <v/>
      </c>
      <c r="AS882">
        <f>HYPERLINK("https://creighton-primo.hosted.exlibrisgroup.com/primo-explore/search?tab=default_tab&amp;search_scope=EVERYTHING&amp;vid=01CRU&amp;lang=en_US&amp;offset=0&amp;query=any,contains,991003255589702656","Catalog Record")</f>
        <v/>
      </c>
      <c r="AT882">
        <f>HYPERLINK("http://www.worldcat.org/oclc/780603","WorldCat Record")</f>
        <v/>
      </c>
      <c r="AU882" t="inlineStr">
        <is>
          <t>196576834:eng</t>
        </is>
      </c>
      <c r="AV882" t="inlineStr">
        <is>
          <t>780603</t>
        </is>
      </c>
      <c r="AW882" t="inlineStr">
        <is>
          <t>991003255589702656</t>
        </is>
      </c>
      <c r="AX882" t="inlineStr">
        <is>
          <t>991003255589702656</t>
        </is>
      </c>
      <c r="AY882" t="inlineStr">
        <is>
          <t>2260347730002656</t>
        </is>
      </c>
      <c r="AZ882" t="inlineStr">
        <is>
          <t>BOOK</t>
        </is>
      </c>
      <c r="BB882" t="inlineStr">
        <is>
          <t>9780416776102</t>
        </is>
      </c>
      <c r="BC882" t="inlineStr">
        <is>
          <t>32285004859673</t>
        </is>
      </c>
      <c r="BD882" t="inlineStr">
        <is>
          <t>893227862</t>
        </is>
      </c>
    </row>
    <row r="883">
      <c r="A883" t="inlineStr">
        <is>
          <t>No</t>
        </is>
      </c>
      <c r="B883" t="inlineStr">
        <is>
          <t>DF77 .F32</t>
        </is>
      </c>
      <c r="C883" t="inlineStr">
        <is>
          <t>0                      DF 0077000F  32</t>
        </is>
      </c>
      <c r="D883" t="inlineStr">
        <is>
          <t>Greece, ancient and modern : lectures delivered before the Lowell Institute / by C. C. Felton.</t>
        </is>
      </c>
      <c r="F883" t="inlineStr">
        <is>
          <t>No</t>
        </is>
      </c>
      <c r="G883" t="inlineStr">
        <is>
          <t>1</t>
        </is>
      </c>
      <c r="H883" t="inlineStr">
        <is>
          <t>No</t>
        </is>
      </c>
      <c r="I883" t="inlineStr">
        <is>
          <t>No</t>
        </is>
      </c>
      <c r="J883" t="inlineStr">
        <is>
          <t>0</t>
        </is>
      </c>
      <c r="K883" t="inlineStr">
        <is>
          <t>Felton, C. C. (Cornelius Conway), 1807-1862.</t>
        </is>
      </c>
      <c r="L883" t="inlineStr">
        <is>
          <t>Boston : Houghton, Mifflin, 1866.</t>
        </is>
      </c>
      <c r="M883" t="inlineStr">
        <is>
          <t>1866</t>
        </is>
      </c>
      <c r="O883" t="inlineStr">
        <is>
          <t>eng</t>
        </is>
      </c>
      <c r="P883" t="inlineStr">
        <is>
          <t>mau</t>
        </is>
      </c>
      <c r="R883" t="inlineStr">
        <is>
          <t xml:space="preserve">DF </t>
        </is>
      </c>
      <c r="S883" t="n">
        <v>3</v>
      </c>
      <c r="T883" t="n">
        <v>3</v>
      </c>
      <c r="U883" t="inlineStr">
        <is>
          <t>2003-03-25</t>
        </is>
      </c>
      <c r="V883" t="inlineStr">
        <is>
          <t>2003-03-25</t>
        </is>
      </c>
      <c r="W883" t="inlineStr">
        <is>
          <t>1992-12-07</t>
        </is>
      </c>
      <c r="X883" t="inlineStr">
        <is>
          <t>1992-12-07</t>
        </is>
      </c>
      <c r="Y883" t="n">
        <v>23</v>
      </c>
      <c r="Z883" t="n">
        <v>22</v>
      </c>
      <c r="AA883" t="n">
        <v>263</v>
      </c>
      <c r="AB883" t="n">
        <v>1</v>
      </c>
      <c r="AC883" t="n">
        <v>3</v>
      </c>
      <c r="AD883" t="n">
        <v>2</v>
      </c>
      <c r="AE883" t="n">
        <v>16</v>
      </c>
      <c r="AF883" t="n">
        <v>0</v>
      </c>
      <c r="AG883" t="n">
        <v>4</v>
      </c>
      <c r="AH883" t="n">
        <v>0</v>
      </c>
      <c r="AI883" t="n">
        <v>2</v>
      </c>
      <c r="AJ883" t="n">
        <v>2</v>
      </c>
      <c r="AK883" t="n">
        <v>9</v>
      </c>
      <c r="AL883" t="n">
        <v>0</v>
      </c>
      <c r="AM883" t="n">
        <v>2</v>
      </c>
      <c r="AN883" t="n">
        <v>0</v>
      </c>
      <c r="AO883" t="n">
        <v>0</v>
      </c>
      <c r="AP883" t="inlineStr">
        <is>
          <t>Yes</t>
        </is>
      </c>
      <c r="AQ883" t="inlineStr">
        <is>
          <t>No</t>
        </is>
      </c>
      <c r="AR883">
        <f>HYPERLINK("http://catalog.hathitrust.org/Record/007687785","HathiTrust Record")</f>
        <v/>
      </c>
      <c r="AS883">
        <f>HYPERLINK("https://creighton-primo.hosted.exlibrisgroup.com/primo-explore/search?tab=default_tab&amp;search_scope=EVERYTHING&amp;vid=01CRU&amp;lang=en_US&amp;offset=0&amp;query=any,contains,991000386589702656","Catalog Record")</f>
        <v/>
      </c>
      <c r="AT883">
        <f>HYPERLINK("http://www.worldcat.org/oclc/10518205","WorldCat Record")</f>
        <v/>
      </c>
      <c r="AU883" t="inlineStr">
        <is>
          <t>2369664:eng</t>
        </is>
      </c>
      <c r="AV883" t="inlineStr">
        <is>
          <t>10518205</t>
        </is>
      </c>
      <c r="AW883" t="inlineStr">
        <is>
          <t>991000386589702656</t>
        </is>
      </c>
      <c r="AX883" t="inlineStr">
        <is>
          <t>991000386589702656</t>
        </is>
      </c>
      <c r="AY883" t="inlineStr">
        <is>
          <t>2258123470002656</t>
        </is>
      </c>
      <c r="AZ883" t="inlineStr">
        <is>
          <t>BOOK</t>
        </is>
      </c>
      <c r="BC883" t="inlineStr">
        <is>
          <t>32285001466043</t>
        </is>
      </c>
      <c r="BD883" t="inlineStr">
        <is>
          <t>893865303</t>
        </is>
      </c>
    </row>
    <row r="884">
      <c r="A884" t="inlineStr">
        <is>
          <t>No</t>
        </is>
      </c>
      <c r="B884" t="inlineStr">
        <is>
          <t>DF77 .F5</t>
        </is>
      </c>
      <c r="C884" t="inlineStr">
        <is>
          <t>0                      DF 0077000F  5</t>
        </is>
      </c>
      <c r="D884" t="inlineStr">
        <is>
          <t>The ancient Greeks : an introduction to their life and thought.</t>
        </is>
      </c>
      <c r="F884" t="inlineStr">
        <is>
          <t>No</t>
        </is>
      </c>
      <c r="G884" t="inlineStr">
        <is>
          <t>1</t>
        </is>
      </c>
      <c r="H884" t="inlineStr">
        <is>
          <t>No</t>
        </is>
      </c>
      <c r="I884" t="inlineStr">
        <is>
          <t>No</t>
        </is>
      </c>
      <c r="J884" t="inlineStr">
        <is>
          <t>0</t>
        </is>
      </c>
      <c r="K884" t="inlineStr">
        <is>
          <t>Finley, M. I. (Moses I.), 1912-1986.</t>
        </is>
      </c>
      <c r="L884" t="inlineStr">
        <is>
          <t>New York : Viking Press, [1963]</t>
        </is>
      </c>
      <c r="M884" t="inlineStr">
        <is>
          <t>1963</t>
        </is>
      </c>
      <c r="O884" t="inlineStr">
        <is>
          <t>eng</t>
        </is>
      </c>
      <c r="P884" t="inlineStr">
        <is>
          <t>nyu</t>
        </is>
      </c>
      <c r="R884" t="inlineStr">
        <is>
          <t xml:space="preserve">DF </t>
        </is>
      </c>
      <c r="S884" t="n">
        <v>8</v>
      </c>
      <c r="T884" t="n">
        <v>8</v>
      </c>
      <c r="U884" t="inlineStr">
        <is>
          <t>2005-09-06</t>
        </is>
      </c>
      <c r="V884" t="inlineStr">
        <is>
          <t>2005-09-06</t>
        </is>
      </c>
      <c r="W884" t="inlineStr">
        <is>
          <t>1991-09-11</t>
        </is>
      </c>
      <c r="X884" t="inlineStr">
        <is>
          <t>1991-09-11</t>
        </is>
      </c>
      <c r="Y884" t="n">
        <v>1004</v>
      </c>
      <c r="Z884" t="n">
        <v>951</v>
      </c>
      <c r="AA884" t="n">
        <v>1458</v>
      </c>
      <c r="AB884" t="n">
        <v>5</v>
      </c>
      <c r="AC884" t="n">
        <v>9</v>
      </c>
      <c r="AD884" t="n">
        <v>31</v>
      </c>
      <c r="AE884" t="n">
        <v>47</v>
      </c>
      <c r="AF884" t="n">
        <v>11</v>
      </c>
      <c r="AG884" t="n">
        <v>19</v>
      </c>
      <c r="AH884" t="n">
        <v>6</v>
      </c>
      <c r="AI884" t="n">
        <v>11</v>
      </c>
      <c r="AJ884" t="n">
        <v>20</v>
      </c>
      <c r="AK884" t="n">
        <v>23</v>
      </c>
      <c r="AL884" t="n">
        <v>3</v>
      </c>
      <c r="AM884" t="n">
        <v>6</v>
      </c>
      <c r="AN884" t="n">
        <v>0</v>
      </c>
      <c r="AO884" t="n">
        <v>0</v>
      </c>
      <c r="AP884" t="inlineStr">
        <is>
          <t>No</t>
        </is>
      </c>
      <c r="AQ884" t="inlineStr">
        <is>
          <t>Yes</t>
        </is>
      </c>
      <c r="AR884">
        <f>HYPERLINK("http://catalog.hathitrust.org/Record/004407865","HathiTrust Record")</f>
        <v/>
      </c>
      <c r="AS884">
        <f>HYPERLINK("https://creighton-primo.hosted.exlibrisgroup.com/primo-explore/search?tab=default_tab&amp;search_scope=EVERYTHING&amp;vid=01CRU&amp;lang=en_US&amp;offset=0&amp;query=any,contains,991002691419702656","Catalog Record")</f>
        <v/>
      </c>
      <c r="AT884">
        <f>HYPERLINK("http://www.worldcat.org/oclc/401719","WorldCat Record")</f>
        <v/>
      </c>
      <c r="AU884" t="inlineStr">
        <is>
          <t>50083016:eng</t>
        </is>
      </c>
      <c r="AV884" t="inlineStr">
        <is>
          <t>401719</t>
        </is>
      </c>
      <c r="AW884" t="inlineStr">
        <is>
          <t>991002691419702656</t>
        </is>
      </c>
      <c r="AX884" t="inlineStr">
        <is>
          <t>991002691419702656</t>
        </is>
      </c>
      <c r="AY884" t="inlineStr">
        <is>
          <t>2268319210002656</t>
        </is>
      </c>
      <c r="AZ884" t="inlineStr">
        <is>
          <t>BOOK</t>
        </is>
      </c>
      <c r="BC884" t="inlineStr">
        <is>
          <t>32285000737550</t>
        </is>
      </c>
      <c r="BD884" t="inlineStr">
        <is>
          <t>893415528</t>
        </is>
      </c>
    </row>
    <row r="885">
      <c r="A885" t="inlineStr">
        <is>
          <t>No</t>
        </is>
      </c>
      <c r="B885" t="inlineStr">
        <is>
          <t>DF77 .F697 1999</t>
        </is>
      </c>
      <c r="C885" t="inlineStr">
        <is>
          <t>0                      DF 0077000F  697         1999</t>
        </is>
      </c>
      <c r="D885" t="inlineStr">
        <is>
          <t>The Greek achievement : the foundation of the western world / Charles Freeman.</t>
        </is>
      </c>
      <c r="F885" t="inlineStr">
        <is>
          <t>No</t>
        </is>
      </c>
      <c r="G885" t="inlineStr">
        <is>
          <t>1</t>
        </is>
      </c>
      <c r="H885" t="inlineStr">
        <is>
          <t>No</t>
        </is>
      </c>
      <c r="I885" t="inlineStr">
        <is>
          <t>No</t>
        </is>
      </c>
      <c r="J885" t="inlineStr">
        <is>
          <t>0</t>
        </is>
      </c>
      <c r="K885" t="inlineStr">
        <is>
          <t>Freeman, Charles, 1947-</t>
        </is>
      </c>
      <c r="L885" t="inlineStr">
        <is>
          <t>New York : Viking, 1999.</t>
        </is>
      </c>
      <c r="M885" t="inlineStr">
        <is>
          <t>1999</t>
        </is>
      </c>
      <c r="O885" t="inlineStr">
        <is>
          <t>eng</t>
        </is>
      </c>
      <c r="P885" t="inlineStr">
        <is>
          <t>nyu</t>
        </is>
      </c>
      <c r="R885" t="inlineStr">
        <is>
          <t xml:space="preserve">DF </t>
        </is>
      </c>
      <c r="S885" t="n">
        <v>8</v>
      </c>
      <c r="T885" t="n">
        <v>8</v>
      </c>
      <c r="U885" t="inlineStr">
        <is>
          <t>2004-04-24</t>
        </is>
      </c>
      <c r="V885" t="inlineStr">
        <is>
          <t>2004-04-24</t>
        </is>
      </c>
      <c r="W885" t="inlineStr">
        <is>
          <t>1999-09-14</t>
        </is>
      </c>
      <c r="X885" t="inlineStr">
        <is>
          <t>1999-09-14</t>
        </is>
      </c>
      <c r="Y885" t="n">
        <v>815</v>
      </c>
      <c r="Z885" t="n">
        <v>766</v>
      </c>
      <c r="AA885" t="n">
        <v>906</v>
      </c>
      <c r="AB885" t="n">
        <v>7</v>
      </c>
      <c r="AC885" t="n">
        <v>8</v>
      </c>
      <c r="AD885" t="n">
        <v>16</v>
      </c>
      <c r="AE885" t="n">
        <v>24</v>
      </c>
      <c r="AF885" t="n">
        <v>5</v>
      </c>
      <c r="AG885" t="n">
        <v>9</v>
      </c>
      <c r="AH885" t="n">
        <v>3</v>
      </c>
      <c r="AI885" t="n">
        <v>5</v>
      </c>
      <c r="AJ885" t="n">
        <v>7</v>
      </c>
      <c r="AK885" t="n">
        <v>11</v>
      </c>
      <c r="AL885" t="n">
        <v>4</v>
      </c>
      <c r="AM885" t="n">
        <v>5</v>
      </c>
      <c r="AN885" t="n">
        <v>0</v>
      </c>
      <c r="AO885" t="n">
        <v>0</v>
      </c>
      <c r="AP885" t="inlineStr">
        <is>
          <t>No</t>
        </is>
      </c>
      <c r="AQ885" t="inlineStr">
        <is>
          <t>Yes</t>
        </is>
      </c>
      <c r="AR885">
        <f>HYPERLINK("http://catalog.hathitrust.org/Record/009924894","HathiTrust Record")</f>
        <v/>
      </c>
      <c r="AS885">
        <f>HYPERLINK("https://creighton-primo.hosted.exlibrisgroup.com/primo-explore/search?tab=default_tab&amp;search_scope=EVERYTHING&amp;vid=01CRU&amp;lang=en_US&amp;offset=0&amp;query=any,contains,991003008659702656","Catalog Record")</f>
        <v/>
      </c>
      <c r="AT885">
        <f>HYPERLINK("http://www.worldcat.org/oclc/40813478","WorldCat Record")</f>
        <v/>
      </c>
      <c r="AU885" t="inlineStr">
        <is>
          <t>20750400:eng</t>
        </is>
      </c>
      <c r="AV885" t="inlineStr">
        <is>
          <t>40813478</t>
        </is>
      </c>
      <c r="AW885" t="inlineStr">
        <is>
          <t>991003008659702656</t>
        </is>
      </c>
      <c r="AX885" t="inlineStr">
        <is>
          <t>991003008659702656</t>
        </is>
      </c>
      <c r="AY885" t="inlineStr">
        <is>
          <t>2267893360002656</t>
        </is>
      </c>
      <c r="AZ885" t="inlineStr">
        <is>
          <t>BOOK</t>
        </is>
      </c>
      <c r="BB885" t="inlineStr">
        <is>
          <t>9780670885152</t>
        </is>
      </c>
      <c r="BC885" t="inlineStr">
        <is>
          <t>32285003588497</t>
        </is>
      </c>
      <c r="BD885" t="inlineStr">
        <is>
          <t>893604336</t>
        </is>
      </c>
    </row>
    <row r="886">
      <c r="A886" t="inlineStr">
        <is>
          <t>No</t>
        </is>
      </c>
      <c r="B886" t="inlineStr">
        <is>
          <t>DF77 .G7935 1997</t>
        </is>
      </c>
      <c r="C886" t="inlineStr">
        <is>
          <t>0                      DF 0077000G  7935        1997</t>
        </is>
      </c>
      <c r="D886" t="inlineStr">
        <is>
          <t>Greeks and barbarians : essays on the interactions between Greeks and non-Greeks in antiquity and the consequences for Eurocentrism / edited by John E. Coleman and Clark A. Walz.</t>
        </is>
      </c>
      <c r="F886" t="inlineStr">
        <is>
          <t>No</t>
        </is>
      </c>
      <c r="G886" t="inlineStr">
        <is>
          <t>1</t>
        </is>
      </c>
      <c r="H886" t="inlineStr">
        <is>
          <t>No</t>
        </is>
      </c>
      <c r="I886" t="inlineStr">
        <is>
          <t>No</t>
        </is>
      </c>
      <c r="J886" t="inlineStr">
        <is>
          <t>0</t>
        </is>
      </c>
      <c r="L886" t="inlineStr">
        <is>
          <t>Bethesda, Md. : CDL Press, 1997.</t>
        </is>
      </c>
      <c r="M886" t="inlineStr">
        <is>
          <t>1997</t>
        </is>
      </c>
      <c r="O886" t="inlineStr">
        <is>
          <t>eng</t>
        </is>
      </c>
      <c r="P886" t="inlineStr">
        <is>
          <t>mdu</t>
        </is>
      </c>
      <c r="Q886" t="inlineStr">
        <is>
          <t>Occasional publications of the Department of Near Eastern Studies and the Program of Jewish Studies, Cornell University ; no. 4</t>
        </is>
      </c>
      <c r="R886" t="inlineStr">
        <is>
          <t xml:space="preserve">DF </t>
        </is>
      </c>
      <c r="S886" t="n">
        <v>7</v>
      </c>
      <c r="T886" t="n">
        <v>7</v>
      </c>
      <c r="U886" t="inlineStr">
        <is>
          <t>2003-11-20</t>
        </is>
      </c>
      <c r="V886" t="inlineStr">
        <is>
          <t>2003-11-20</t>
        </is>
      </c>
      <c r="W886" t="inlineStr">
        <is>
          <t>1999-01-05</t>
        </is>
      </c>
      <c r="X886" t="inlineStr">
        <is>
          <t>1999-01-05</t>
        </is>
      </c>
      <c r="Y886" t="n">
        <v>236</v>
      </c>
      <c r="Z886" t="n">
        <v>169</v>
      </c>
      <c r="AA886" t="n">
        <v>171</v>
      </c>
      <c r="AB886" t="n">
        <v>1</v>
      </c>
      <c r="AC886" t="n">
        <v>1</v>
      </c>
      <c r="AD886" t="n">
        <v>7</v>
      </c>
      <c r="AE886" t="n">
        <v>7</v>
      </c>
      <c r="AF886" t="n">
        <v>2</v>
      </c>
      <c r="AG886" t="n">
        <v>2</v>
      </c>
      <c r="AH886" t="n">
        <v>2</v>
      </c>
      <c r="AI886" t="n">
        <v>2</v>
      </c>
      <c r="AJ886" t="n">
        <v>4</v>
      </c>
      <c r="AK886" t="n">
        <v>4</v>
      </c>
      <c r="AL886" t="n">
        <v>0</v>
      </c>
      <c r="AM886" t="n">
        <v>0</v>
      </c>
      <c r="AN886" t="n">
        <v>0</v>
      </c>
      <c r="AO886" t="n">
        <v>0</v>
      </c>
      <c r="AP886" t="inlineStr">
        <is>
          <t>No</t>
        </is>
      </c>
      <c r="AQ886" t="inlineStr">
        <is>
          <t>Yes</t>
        </is>
      </c>
      <c r="AR886">
        <f>HYPERLINK("http://catalog.hathitrust.org/Record/003261861","HathiTrust Record")</f>
        <v/>
      </c>
      <c r="AS886">
        <f>HYPERLINK("https://creighton-primo.hosted.exlibrisgroup.com/primo-explore/search?tab=default_tab&amp;search_scope=EVERYTHING&amp;vid=01CRU&amp;lang=en_US&amp;offset=0&amp;query=any,contains,991005427159702656","Catalog Record")</f>
        <v/>
      </c>
      <c r="AT886">
        <f>HYPERLINK("http://www.worldcat.org/oclc/37663424","WorldCat Record")</f>
        <v/>
      </c>
      <c r="AU886" t="inlineStr">
        <is>
          <t>891756564:eng</t>
        </is>
      </c>
      <c r="AV886" t="inlineStr">
        <is>
          <t>37663424</t>
        </is>
      </c>
      <c r="AW886" t="inlineStr">
        <is>
          <t>991005427159702656</t>
        </is>
      </c>
      <c r="AX886" t="inlineStr">
        <is>
          <t>991005427159702656</t>
        </is>
      </c>
      <c r="AY886" t="inlineStr">
        <is>
          <t>2269055600002656</t>
        </is>
      </c>
      <c r="AZ886" t="inlineStr">
        <is>
          <t>BOOK</t>
        </is>
      </c>
      <c r="BB886" t="inlineStr">
        <is>
          <t>9781883053444</t>
        </is>
      </c>
      <c r="BC886" t="inlineStr">
        <is>
          <t>32285003508859</t>
        </is>
      </c>
      <c r="BD886" t="inlineStr">
        <is>
          <t>893720424</t>
        </is>
      </c>
    </row>
    <row r="887">
      <c r="A887" t="inlineStr">
        <is>
          <t>No</t>
        </is>
      </c>
      <c r="B887" t="inlineStr">
        <is>
          <t>DF77 .H3</t>
        </is>
      </c>
      <c r="C887" t="inlineStr">
        <is>
          <t>0                      DF 0077000H  3</t>
        </is>
      </c>
      <c r="D887" t="inlineStr">
        <is>
          <t>Hellenistic culture: fusion and diffusion.</t>
        </is>
      </c>
      <c r="F887" t="inlineStr">
        <is>
          <t>No</t>
        </is>
      </c>
      <c r="G887" t="inlineStr">
        <is>
          <t>1</t>
        </is>
      </c>
      <c r="H887" t="inlineStr">
        <is>
          <t>No</t>
        </is>
      </c>
      <c r="I887" t="inlineStr">
        <is>
          <t>No</t>
        </is>
      </c>
      <c r="J887" t="inlineStr">
        <is>
          <t>0</t>
        </is>
      </c>
      <c r="K887" t="inlineStr">
        <is>
          <t>Hadas, Moses, 1900-1966.</t>
        </is>
      </c>
      <c r="L887" t="inlineStr">
        <is>
          <t>New York, Columbia University Press, 1959.</t>
        </is>
      </c>
      <c r="M887" t="inlineStr">
        <is>
          <t>1959</t>
        </is>
      </c>
      <c r="O887" t="inlineStr">
        <is>
          <t>eng</t>
        </is>
      </c>
      <c r="P887" t="inlineStr">
        <is>
          <t>nyu</t>
        </is>
      </c>
      <c r="R887" t="inlineStr">
        <is>
          <t xml:space="preserve">DF </t>
        </is>
      </c>
      <c r="S887" t="n">
        <v>7</v>
      </c>
      <c r="T887" t="n">
        <v>7</v>
      </c>
      <c r="U887" t="inlineStr">
        <is>
          <t>2003-03-25</t>
        </is>
      </c>
      <c r="V887" t="inlineStr">
        <is>
          <t>2003-03-25</t>
        </is>
      </c>
      <c r="W887" t="inlineStr">
        <is>
          <t>1997-01-28</t>
        </is>
      </c>
      <c r="X887" t="inlineStr">
        <is>
          <t>1997-01-28</t>
        </is>
      </c>
      <c r="Y887" t="n">
        <v>1135</v>
      </c>
      <c r="Z887" t="n">
        <v>996</v>
      </c>
      <c r="AA887" t="n">
        <v>1123</v>
      </c>
      <c r="AB887" t="n">
        <v>8</v>
      </c>
      <c r="AC887" t="n">
        <v>9</v>
      </c>
      <c r="AD887" t="n">
        <v>47</v>
      </c>
      <c r="AE887" t="n">
        <v>49</v>
      </c>
      <c r="AF887" t="n">
        <v>18</v>
      </c>
      <c r="AG887" t="n">
        <v>19</v>
      </c>
      <c r="AH887" t="n">
        <v>10</v>
      </c>
      <c r="AI887" t="n">
        <v>10</v>
      </c>
      <c r="AJ887" t="n">
        <v>24</v>
      </c>
      <c r="AK887" t="n">
        <v>24</v>
      </c>
      <c r="AL887" t="n">
        <v>6</v>
      </c>
      <c r="AM887" t="n">
        <v>7</v>
      </c>
      <c r="AN887" t="n">
        <v>0</v>
      </c>
      <c r="AO887" t="n">
        <v>0</v>
      </c>
      <c r="AP887" t="inlineStr">
        <is>
          <t>No</t>
        </is>
      </c>
      <c r="AQ887" t="inlineStr">
        <is>
          <t>Yes</t>
        </is>
      </c>
      <c r="AR887">
        <f>HYPERLINK("http://catalog.hathitrust.org/Record/000574928","HathiTrust Record")</f>
        <v/>
      </c>
      <c r="AS887">
        <f>HYPERLINK("https://creighton-primo.hosted.exlibrisgroup.com/primo-explore/search?tab=default_tab&amp;search_scope=EVERYTHING&amp;vid=01CRU&amp;lang=en_US&amp;offset=0&amp;query=any,contains,991001140619702656","Catalog Record")</f>
        <v/>
      </c>
      <c r="AT887">
        <f>HYPERLINK("http://www.worldcat.org/oclc/16739542","WorldCat Record")</f>
        <v/>
      </c>
      <c r="AU887" t="inlineStr">
        <is>
          <t>3923868814:eng</t>
        </is>
      </c>
      <c r="AV887" t="inlineStr">
        <is>
          <t>16739542</t>
        </is>
      </c>
      <c r="AW887" t="inlineStr">
        <is>
          <t>991001140619702656</t>
        </is>
      </c>
      <c r="AX887" t="inlineStr">
        <is>
          <t>991001140619702656</t>
        </is>
      </c>
      <c r="AY887" t="inlineStr">
        <is>
          <t>2265510070002656</t>
        </is>
      </c>
      <c r="AZ887" t="inlineStr">
        <is>
          <t>BOOK</t>
        </is>
      </c>
      <c r="BC887" t="inlineStr">
        <is>
          <t>32285002417045</t>
        </is>
      </c>
      <c r="BD887" t="inlineStr">
        <is>
          <t>893522324</t>
        </is>
      </c>
    </row>
    <row r="888">
      <c r="A888" t="inlineStr">
        <is>
          <t>No</t>
        </is>
      </c>
      <c r="B888" t="inlineStr">
        <is>
          <t>DF77 .H32</t>
        </is>
      </c>
      <c r="C888" t="inlineStr">
        <is>
          <t>0                      DF 0077000H  32</t>
        </is>
      </c>
      <c r="D888" t="inlineStr">
        <is>
          <t>The Horizon book of ancient Greece / by the editors of Horizon magazine. William Harlan Hale, author and editor in charge.</t>
        </is>
      </c>
      <c r="F888" t="inlineStr">
        <is>
          <t>No</t>
        </is>
      </c>
      <c r="G888" t="inlineStr">
        <is>
          <t>1</t>
        </is>
      </c>
      <c r="H888" t="inlineStr">
        <is>
          <t>No</t>
        </is>
      </c>
      <c r="I888" t="inlineStr">
        <is>
          <t>No</t>
        </is>
      </c>
      <c r="J888" t="inlineStr">
        <is>
          <t>0</t>
        </is>
      </c>
      <c r="K888" t="inlineStr">
        <is>
          <t>Hale, William Harlan, 1910-1974.</t>
        </is>
      </c>
      <c r="L888" t="inlineStr">
        <is>
          <t>New York : American Heritage Pub. Co. ; book trade distribution by Doubleday, [1965]</t>
        </is>
      </c>
      <c r="M888" t="inlineStr">
        <is>
          <t>1965</t>
        </is>
      </c>
      <c r="O888" t="inlineStr">
        <is>
          <t>eng</t>
        </is>
      </c>
      <c r="P888" t="inlineStr">
        <is>
          <t>nyu</t>
        </is>
      </c>
      <c r="R888" t="inlineStr">
        <is>
          <t xml:space="preserve">DF </t>
        </is>
      </c>
      <c r="S888" t="n">
        <v>5</v>
      </c>
      <c r="T888" t="n">
        <v>5</v>
      </c>
      <c r="U888" t="inlineStr">
        <is>
          <t>2000-08-21</t>
        </is>
      </c>
      <c r="V888" t="inlineStr">
        <is>
          <t>2000-08-21</t>
        </is>
      </c>
      <c r="W888" t="inlineStr">
        <is>
          <t>1994-01-27</t>
        </is>
      </c>
      <c r="X888" t="inlineStr">
        <is>
          <t>1994-01-27</t>
        </is>
      </c>
      <c r="Y888" t="n">
        <v>1609</v>
      </c>
      <c r="Z888" t="n">
        <v>1548</v>
      </c>
      <c r="AA888" t="n">
        <v>1691</v>
      </c>
      <c r="AB888" t="n">
        <v>11</v>
      </c>
      <c r="AC888" t="n">
        <v>12</v>
      </c>
      <c r="AD888" t="n">
        <v>40</v>
      </c>
      <c r="AE888" t="n">
        <v>40</v>
      </c>
      <c r="AF888" t="n">
        <v>18</v>
      </c>
      <c r="AG888" t="n">
        <v>18</v>
      </c>
      <c r="AH888" t="n">
        <v>9</v>
      </c>
      <c r="AI888" t="n">
        <v>9</v>
      </c>
      <c r="AJ888" t="n">
        <v>19</v>
      </c>
      <c r="AK888" t="n">
        <v>19</v>
      </c>
      <c r="AL888" t="n">
        <v>5</v>
      </c>
      <c r="AM888" t="n">
        <v>5</v>
      </c>
      <c r="AN888" t="n">
        <v>0</v>
      </c>
      <c r="AO888" t="n">
        <v>0</v>
      </c>
      <c r="AP888" t="inlineStr">
        <is>
          <t>No</t>
        </is>
      </c>
      <c r="AQ888" t="inlineStr">
        <is>
          <t>Yes</t>
        </is>
      </c>
      <c r="AR888">
        <f>HYPERLINK("http://catalog.hathitrust.org/Record/000574932","HathiTrust Record")</f>
        <v/>
      </c>
      <c r="AS888">
        <f>HYPERLINK("https://creighton-primo.hosted.exlibrisgroup.com/primo-explore/search?tab=default_tab&amp;search_scope=EVERYTHING&amp;vid=01CRU&amp;lang=en_US&amp;offset=0&amp;query=any,contains,991002927689702656","Catalog Record")</f>
        <v/>
      </c>
      <c r="AT888">
        <f>HYPERLINK("http://www.worldcat.org/oclc/529755","WorldCat Record")</f>
        <v/>
      </c>
      <c r="AU888" t="inlineStr">
        <is>
          <t>1330957:eng</t>
        </is>
      </c>
      <c r="AV888" t="inlineStr">
        <is>
          <t>529755</t>
        </is>
      </c>
      <c r="AW888" t="inlineStr">
        <is>
          <t>991002927689702656</t>
        </is>
      </c>
      <c r="AX888" t="inlineStr">
        <is>
          <t>991002927689702656</t>
        </is>
      </c>
      <c r="AY888" t="inlineStr">
        <is>
          <t>2260874170002656</t>
        </is>
      </c>
      <c r="AZ888" t="inlineStr">
        <is>
          <t>BOOK</t>
        </is>
      </c>
      <c r="BC888" t="inlineStr">
        <is>
          <t>32285001836500</t>
        </is>
      </c>
      <c r="BD888" t="inlineStr">
        <is>
          <t>893867877</t>
        </is>
      </c>
    </row>
    <row r="889">
      <c r="A889" t="inlineStr">
        <is>
          <t>No</t>
        </is>
      </c>
      <c r="B889" t="inlineStr">
        <is>
          <t>DF77 .H544 1980</t>
        </is>
      </c>
      <c r="C889" t="inlineStr">
        <is>
          <t>0                      DF 0077000H  544         1980</t>
        </is>
      </c>
      <c r="D889" t="inlineStr">
        <is>
          <t>Hellenic perspectives : essays in the history of Greece / edited by John T.A. Koumoulides ; contributors, Peter S. Allen ... [et al.].</t>
        </is>
      </c>
      <c r="F889" t="inlineStr">
        <is>
          <t>No</t>
        </is>
      </c>
      <c r="G889" t="inlineStr">
        <is>
          <t>1</t>
        </is>
      </c>
      <c r="H889" t="inlineStr">
        <is>
          <t>No</t>
        </is>
      </c>
      <c r="I889" t="inlineStr">
        <is>
          <t>No</t>
        </is>
      </c>
      <c r="J889" t="inlineStr">
        <is>
          <t>0</t>
        </is>
      </c>
      <c r="L889" t="inlineStr">
        <is>
          <t>Lanham, Md. : University Press of America, c1980.</t>
        </is>
      </c>
      <c r="M889" t="inlineStr">
        <is>
          <t>1980</t>
        </is>
      </c>
      <c r="O889" t="inlineStr">
        <is>
          <t>eng</t>
        </is>
      </c>
      <c r="P889" t="inlineStr">
        <is>
          <t>mdu</t>
        </is>
      </c>
      <c r="R889" t="inlineStr">
        <is>
          <t xml:space="preserve">DF </t>
        </is>
      </c>
      <c r="S889" t="n">
        <v>2</v>
      </c>
      <c r="T889" t="n">
        <v>2</v>
      </c>
      <c r="U889" t="inlineStr">
        <is>
          <t>2002-12-03</t>
        </is>
      </c>
      <c r="V889" t="inlineStr">
        <is>
          <t>2002-12-03</t>
        </is>
      </c>
      <c r="W889" t="inlineStr">
        <is>
          <t>2002-12-03</t>
        </is>
      </c>
      <c r="X889" t="inlineStr">
        <is>
          <t>2002-12-03</t>
        </is>
      </c>
      <c r="Y889" t="n">
        <v>144</v>
      </c>
      <c r="Z889" t="n">
        <v>112</v>
      </c>
      <c r="AA889" t="n">
        <v>114</v>
      </c>
      <c r="AB889" t="n">
        <v>1</v>
      </c>
      <c r="AC889" t="n">
        <v>1</v>
      </c>
      <c r="AD889" t="n">
        <v>8</v>
      </c>
      <c r="AE889" t="n">
        <v>8</v>
      </c>
      <c r="AF889" t="n">
        <v>2</v>
      </c>
      <c r="AG889" t="n">
        <v>2</v>
      </c>
      <c r="AH889" t="n">
        <v>0</v>
      </c>
      <c r="AI889" t="n">
        <v>0</v>
      </c>
      <c r="AJ889" t="n">
        <v>8</v>
      </c>
      <c r="AK889" t="n">
        <v>8</v>
      </c>
      <c r="AL889" t="n">
        <v>0</v>
      </c>
      <c r="AM889" t="n">
        <v>0</v>
      </c>
      <c r="AN889" t="n">
        <v>0</v>
      </c>
      <c r="AO889" t="n">
        <v>0</v>
      </c>
      <c r="AP889" t="inlineStr">
        <is>
          <t>No</t>
        </is>
      </c>
      <c r="AQ889" t="inlineStr">
        <is>
          <t>Yes</t>
        </is>
      </c>
      <c r="AR889">
        <f>HYPERLINK("http://catalog.hathitrust.org/Record/008869491","HathiTrust Record")</f>
        <v/>
      </c>
      <c r="AS889">
        <f>HYPERLINK("https://creighton-primo.hosted.exlibrisgroup.com/primo-explore/search?tab=default_tab&amp;search_scope=EVERYTHING&amp;vid=01CRU&amp;lang=en_US&amp;offset=0&amp;query=any,contains,991003954479702656","Catalog Record")</f>
        <v/>
      </c>
      <c r="AT889">
        <f>HYPERLINK("http://www.worldcat.org/oclc/6357647","WorldCat Record")</f>
        <v/>
      </c>
      <c r="AU889" t="inlineStr">
        <is>
          <t>318703742:eng</t>
        </is>
      </c>
      <c r="AV889" t="inlineStr">
        <is>
          <t>6357647</t>
        </is>
      </c>
      <c r="AW889" t="inlineStr">
        <is>
          <t>991003954479702656</t>
        </is>
      </c>
      <c r="AX889" t="inlineStr">
        <is>
          <t>991003954479702656</t>
        </is>
      </c>
      <c r="AY889" t="inlineStr">
        <is>
          <t>2255948490002656</t>
        </is>
      </c>
      <c r="AZ889" t="inlineStr">
        <is>
          <t>BOOK</t>
        </is>
      </c>
      <c r="BB889" t="inlineStr">
        <is>
          <t>9780819111074</t>
        </is>
      </c>
      <c r="BC889" t="inlineStr">
        <is>
          <t>32285004667258</t>
        </is>
      </c>
      <c r="BD889" t="inlineStr">
        <is>
          <t>893234871</t>
        </is>
      </c>
    </row>
    <row r="890">
      <c r="A890" t="inlineStr">
        <is>
          <t>No</t>
        </is>
      </c>
      <c r="B890" t="inlineStr">
        <is>
          <t>DF77 .H67 1978</t>
        </is>
      </c>
      <c r="C890" t="inlineStr">
        <is>
          <t>0                      DF 0077000H  67          1978</t>
        </is>
      </c>
      <c r="D890" t="inlineStr">
        <is>
          <t>Greek realities : life and thought in ancient Greece / Finley Hooper. --</t>
        </is>
      </c>
      <c r="F890" t="inlineStr">
        <is>
          <t>No</t>
        </is>
      </c>
      <c r="G890" t="inlineStr">
        <is>
          <t>1</t>
        </is>
      </c>
      <c r="H890" t="inlineStr">
        <is>
          <t>No</t>
        </is>
      </c>
      <c r="I890" t="inlineStr">
        <is>
          <t>No</t>
        </is>
      </c>
      <c r="J890" t="inlineStr">
        <is>
          <t>0</t>
        </is>
      </c>
      <c r="K890" t="inlineStr">
        <is>
          <t>Hooper, Finley, 1922-</t>
        </is>
      </c>
      <c r="L890" t="inlineStr">
        <is>
          <t>Detroit : Wayne State University Press, 1978.</t>
        </is>
      </c>
      <c r="M890" t="inlineStr">
        <is>
          <t>1978</t>
        </is>
      </c>
      <c r="O890" t="inlineStr">
        <is>
          <t>eng</t>
        </is>
      </c>
      <c r="P890" t="inlineStr">
        <is>
          <t>miu</t>
        </is>
      </c>
      <c r="R890" t="inlineStr">
        <is>
          <t xml:space="preserve">DF </t>
        </is>
      </c>
      <c r="S890" t="n">
        <v>7</v>
      </c>
      <c r="T890" t="n">
        <v>7</v>
      </c>
      <c r="U890" t="inlineStr">
        <is>
          <t>2000-02-05</t>
        </is>
      </c>
      <c r="V890" t="inlineStr">
        <is>
          <t>2000-02-05</t>
        </is>
      </c>
      <c r="W890" t="inlineStr">
        <is>
          <t>1991-02-14</t>
        </is>
      </c>
      <c r="X890" t="inlineStr">
        <is>
          <t>1991-02-14</t>
        </is>
      </c>
      <c r="Y890" t="n">
        <v>325</v>
      </c>
      <c r="Z890" t="n">
        <v>295</v>
      </c>
      <c r="AA890" t="n">
        <v>1089</v>
      </c>
      <c r="AB890" t="n">
        <v>1</v>
      </c>
      <c r="AC890" t="n">
        <v>6</v>
      </c>
      <c r="AD890" t="n">
        <v>10</v>
      </c>
      <c r="AE890" t="n">
        <v>34</v>
      </c>
      <c r="AF890" t="n">
        <v>6</v>
      </c>
      <c r="AG890" t="n">
        <v>14</v>
      </c>
      <c r="AH890" t="n">
        <v>3</v>
      </c>
      <c r="AI890" t="n">
        <v>9</v>
      </c>
      <c r="AJ890" t="n">
        <v>3</v>
      </c>
      <c r="AK890" t="n">
        <v>15</v>
      </c>
      <c r="AL890" t="n">
        <v>0</v>
      </c>
      <c r="AM890" t="n">
        <v>4</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HYPERLINK("https://creighton-primo.hosted.exlibrisgroup.com/primo-explore/search?tab=default_tab&amp;search_scope=EVERYTHING&amp;vid=01CRU&amp;lang=en_US&amp;offset=0&amp;query=any,contains,991004589759702656","Catalog Record")</f>
        <v/>
      </c>
      <c r="AT890">
        <f>HYPERLINK("http://www.worldcat.org/oclc/4114480","WorldCat Record")</f>
        <v/>
      </c>
      <c r="AU890" t="inlineStr">
        <is>
          <t>476130:eng</t>
        </is>
      </c>
      <c r="AV890" t="inlineStr">
        <is>
          <t>4114480</t>
        </is>
      </c>
      <c r="AW890" t="inlineStr">
        <is>
          <t>991004589759702656</t>
        </is>
      </c>
      <c r="AX890" t="inlineStr">
        <is>
          <t>991004589759702656</t>
        </is>
      </c>
      <c r="AY890" t="inlineStr">
        <is>
          <t>2271903500002656</t>
        </is>
      </c>
      <c r="AZ890" t="inlineStr">
        <is>
          <t>BOOK</t>
        </is>
      </c>
      <c r="BB890" t="inlineStr">
        <is>
          <t>9780814315965</t>
        </is>
      </c>
      <c r="BC890" t="inlineStr">
        <is>
          <t>32285000458801</t>
        </is>
      </c>
      <c r="BD890" t="inlineStr">
        <is>
          <t>893612528</t>
        </is>
      </c>
    </row>
    <row r="891">
      <c r="A891" t="inlineStr">
        <is>
          <t>No</t>
        </is>
      </c>
      <c r="B891" t="inlineStr">
        <is>
          <t>DF77 .I58 1994</t>
        </is>
      </c>
      <c r="C891" t="inlineStr">
        <is>
          <t>0                      DF 0077000I  58          1994</t>
        </is>
      </c>
      <c r="D891" t="inlineStr">
        <is>
          <t>Hellenismus : Beiträge zur Erforschung von Akkulturation und politischer Ordnung in den Staaten des hellenistischen Zeitalters : Akten des Internationalen Hellenismus-Kolloquiums, 9.-14. März 1994 in Berlin / herausgegeben von Bernd Funck.</t>
        </is>
      </c>
      <c r="F891" t="inlineStr">
        <is>
          <t>No</t>
        </is>
      </c>
      <c r="G891" t="inlineStr">
        <is>
          <t>1</t>
        </is>
      </c>
      <c r="H891" t="inlineStr">
        <is>
          <t>No</t>
        </is>
      </c>
      <c r="I891" t="inlineStr">
        <is>
          <t>No</t>
        </is>
      </c>
      <c r="J891" t="inlineStr">
        <is>
          <t>0</t>
        </is>
      </c>
      <c r="K891" t="inlineStr">
        <is>
          <t>Internationales Hellenismus-Kolloquium (1994 : Berlin, Germany)</t>
        </is>
      </c>
      <c r="L891" t="inlineStr">
        <is>
          <t>Tübingen : J.C.B. Mohr (Paul Siebeck), 1996.</t>
        </is>
      </c>
      <c r="M891" t="inlineStr">
        <is>
          <t>1996</t>
        </is>
      </c>
      <c r="O891" t="inlineStr">
        <is>
          <t>ger</t>
        </is>
      </c>
      <c r="P891" t="inlineStr">
        <is>
          <t xml:space="preserve">gw </t>
        </is>
      </c>
      <c r="R891" t="inlineStr">
        <is>
          <t xml:space="preserve">DF </t>
        </is>
      </c>
      <c r="S891" t="n">
        <v>0</v>
      </c>
      <c r="T891" t="n">
        <v>0</v>
      </c>
      <c r="U891" t="inlineStr">
        <is>
          <t>2004-10-13</t>
        </is>
      </c>
      <c r="V891" t="inlineStr">
        <is>
          <t>2004-10-13</t>
        </is>
      </c>
      <c r="W891" t="inlineStr">
        <is>
          <t>1998-05-11</t>
        </is>
      </c>
      <c r="X891" t="inlineStr">
        <is>
          <t>1998-05-11</t>
        </is>
      </c>
      <c r="Y891" t="n">
        <v>83</v>
      </c>
      <c r="Z891" t="n">
        <v>34</v>
      </c>
      <c r="AA891" t="n">
        <v>36</v>
      </c>
      <c r="AB891" t="n">
        <v>1</v>
      </c>
      <c r="AC891" t="n">
        <v>1</v>
      </c>
      <c r="AD891" t="n">
        <v>1</v>
      </c>
      <c r="AE891" t="n">
        <v>1</v>
      </c>
      <c r="AF891" t="n">
        <v>0</v>
      </c>
      <c r="AG891" t="n">
        <v>0</v>
      </c>
      <c r="AH891" t="n">
        <v>0</v>
      </c>
      <c r="AI891" t="n">
        <v>0</v>
      </c>
      <c r="AJ891" t="n">
        <v>1</v>
      </c>
      <c r="AK891" t="n">
        <v>1</v>
      </c>
      <c r="AL891" t="n">
        <v>0</v>
      </c>
      <c r="AM891" t="n">
        <v>0</v>
      </c>
      <c r="AN891" t="n">
        <v>0</v>
      </c>
      <c r="AO891" t="n">
        <v>0</v>
      </c>
      <c r="AP891" t="inlineStr">
        <is>
          <t>No</t>
        </is>
      </c>
      <c r="AQ891" t="inlineStr">
        <is>
          <t>Yes</t>
        </is>
      </c>
      <c r="AR891">
        <f>HYPERLINK("http://catalog.hathitrust.org/Record/003832398","HathiTrust Record")</f>
        <v/>
      </c>
      <c r="AS891">
        <f>HYPERLINK("https://creighton-primo.hosted.exlibrisgroup.com/primo-explore/search?tab=default_tab&amp;search_scope=EVERYTHING&amp;vid=01CRU&amp;lang=en_US&amp;offset=0&amp;query=any,contains,991002886759702656","Catalog Record")</f>
        <v/>
      </c>
      <c r="AT891">
        <f>HYPERLINK("http://www.worldcat.org/oclc/38041316","WorldCat Record")</f>
        <v/>
      </c>
      <c r="AU891" t="inlineStr">
        <is>
          <t>890236519:ger</t>
        </is>
      </c>
      <c r="AV891" t="inlineStr">
        <is>
          <t>38041316</t>
        </is>
      </c>
      <c r="AW891" t="inlineStr">
        <is>
          <t>991002886759702656</t>
        </is>
      </c>
      <c r="AX891" t="inlineStr">
        <is>
          <t>991002886759702656</t>
        </is>
      </c>
      <c r="AY891" t="inlineStr">
        <is>
          <t>2263112250002656</t>
        </is>
      </c>
      <c r="AZ891" t="inlineStr">
        <is>
          <t>BOOK</t>
        </is>
      </c>
      <c r="BB891" t="inlineStr">
        <is>
          <t>9783161465260</t>
        </is>
      </c>
      <c r="BC891" t="inlineStr">
        <is>
          <t>32285003407672</t>
        </is>
      </c>
      <c r="BD891" t="inlineStr">
        <is>
          <t>893704642</t>
        </is>
      </c>
    </row>
    <row r="892">
      <c r="A892" t="inlineStr">
        <is>
          <t>No</t>
        </is>
      </c>
      <c r="B892" t="inlineStr">
        <is>
          <t>DF77 .K5 1964</t>
        </is>
      </c>
      <c r="C892" t="inlineStr">
        <is>
          <t>0                      DF 0077000K  5           1964</t>
        </is>
      </c>
      <c r="D892" t="inlineStr">
        <is>
          <t>The Greeks / [by] H. D. F. Kitto. With a new pref. by the author.</t>
        </is>
      </c>
      <c r="F892" t="inlineStr">
        <is>
          <t>No</t>
        </is>
      </c>
      <c r="G892" t="inlineStr">
        <is>
          <t>1</t>
        </is>
      </c>
      <c r="H892" t="inlineStr">
        <is>
          <t>No</t>
        </is>
      </c>
      <c r="I892" t="inlineStr">
        <is>
          <t>No</t>
        </is>
      </c>
      <c r="J892" t="inlineStr">
        <is>
          <t>0</t>
        </is>
      </c>
      <c r="K892" t="inlineStr">
        <is>
          <t>Kitto, H. D. F. (Humphrey Davy Findley)</t>
        </is>
      </c>
      <c r="L892" t="inlineStr">
        <is>
          <t>Chicago : Aldine Pub. Co., [1964]</t>
        </is>
      </c>
      <c r="M892" t="inlineStr">
        <is>
          <t>1964</t>
        </is>
      </c>
      <c r="O892" t="inlineStr">
        <is>
          <t>eng</t>
        </is>
      </c>
      <c r="P892" t="inlineStr">
        <is>
          <t>ilu</t>
        </is>
      </c>
      <c r="R892" t="inlineStr">
        <is>
          <t xml:space="preserve">DF </t>
        </is>
      </c>
      <c r="S892" t="n">
        <v>10</v>
      </c>
      <c r="T892" t="n">
        <v>10</v>
      </c>
      <c r="U892" t="inlineStr">
        <is>
          <t>1997-11-18</t>
        </is>
      </c>
      <c r="V892" t="inlineStr">
        <is>
          <t>1997-11-18</t>
        </is>
      </c>
      <c r="W892" t="inlineStr">
        <is>
          <t>1991-06-19</t>
        </is>
      </c>
      <c r="X892" t="inlineStr">
        <is>
          <t>1991-06-19</t>
        </is>
      </c>
      <c r="Y892" t="n">
        <v>721</v>
      </c>
      <c r="Z892" t="n">
        <v>685</v>
      </c>
      <c r="AA892" t="n">
        <v>1861</v>
      </c>
      <c r="AB892" t="n">
        <v>5</v>
      </c>
      <c r="AC892" t="n">
        <v>13</v>
      </c>
      <c r="AD892" t="n">
        <v>21</v>
      </c>
      <c r="AE892" t="n">
        <v>59</v>
      </c>
      <c r="AF892" t="n">
        <v>9</v>
      </c>
      <c r="AG892" t="n">
        <v>26</v>
      </c>
      <c r="AH892" t="n">
        <v>1</v>
      </c>
      <c r="AI892" t="n">
        <v>10</v>
      </c>
      <c r="AJ892" t="n">
        <v>11</v>
      </c>
      <c r="AK892" t="n">
        <v>25</v>
      </c>
      <c r="AL892" t="n">
        <v>3</v>
      </c>
      <c r="AM892" t="n">
        <v>9</v>
      </c>
      <c r="AN892" t="n">
        <v>0</v>
      </c>
      <c r="AO892" t="n">
        <v>1</v>
      </c>
      <c r="AP892" t="inlineStr">
        <is>
          <t>No</t>
        </is>
      </c>
      <c r="AQ892" t="inlineStr">
        <is>
          <t>Yes</t>
        </is>
      </c>
      <c r="AR892">
        <f>HYPERLINK("http://catalog.hathitrust.org/Record/000570030","HathiTrust Record")</f>
        <v/>
      </c>
      <c r="AS892">
        <f>HYPERLINK("https://creighton-primo.hosted.exlibrisgroup.com/primo-explore/search?tab=default_tab&amp;search_scope=EVERYTHING&amp;vid=01CRU&amp;lang=en_US&amp;offset=0&amp;query=any,contains,991002101729702656","Catalog Record")</f>
        <v/>
      </c>
      <c r="AT892">
        <f>HYPERLINK("http://www.worldcat.org/oclc/266422","WorldCat Record")</f>
        <v/>
      </c>
      <c r="AU892" t="inlineStr">
        <is>
          <t>1384777:eng</t>
        </is>
      </c>
      <c r="AV892" t="inlineStr">
        <is>
          <t>266422</t>
        </is>
      </c>
      <c r="AW892" t="inlineStr">
        <is>
          <t>991002101729702656</t>
        </is>
      </c>
      <c r="AX892" t="inlineStr">
        <is>
          <t>991002101729702656</t>
        </is>
      </c>
      <c r="AY892" t="inlineStr">
        <is>
          <t>2269176540002656</t>
        </is>
      </c>
      <c r="AZ892" t="inlineStr">
        <is>
          <t>BOOK</t>
        </is>
      </c>
      <c r="BC892" t="inlineStr">
        <is>
          <t>32285000631084</t>
        </is>
      </c>
      <c r="BD892" t="inlineStr">
        <is>
          <t>893510296</t>
        </is>
      </c>
    </row>
    <row r="893">
      <c r="A893" t="inlineStr">
        <is>
          <t>No</t>
        </is>
      </c>
      <c r="B893" t="inlineStr">
        <is>
          <t>DF77 .L788 1965</t>
        </is>
      </c>
      <c r="C893" t="inlineStr">
        <is>
          <t>0                      DF 0077000L  788         1965</t>
        </is>
      </c>
      <c r="D893" t="inlineStr">
        <is>
          <t>The Greek world / edited by Hugh Lloyd-Jones.</t>
        </is>
      </c>
      <c r="F893" t="inlineStr">
        <is>
          <t>No</t>
        </is>
      </c>
      <c r="G893" t="inlineStr">
        <is>
          <t>1</t>
        </is>
      </c>
      <c r="H893" t="inlineStr">
        <is>
          <t>No</t>
        </is>
      </c>
      <c r="I893" t="inlineStr">
        <is>
          <t>No</t>
        </is>
      </c>
      <c r="J893" t="inlineStr">
        <is>
          <t>0</t>
        </is>
      </c>
      <c r="K893" t="inlineStr">
        <is>
          <t>Lloyd-Jones, Hugh.</t>
        </is>
      </c>
      <c r="L893" t="inlineStr">
        <is>
          <t>Harmondsworth, Eng. Baltimore, Md. : Penguin 1965.</t>
        </is>
      </c>
      <c r="M893" t="inlineStr">
        <is>
          <t>1965</t>
        </is>
      </c>
      <c r="O893" t="inlineStr">
        <is>
          <t>eng</t>
        </is>
      </c>
      <c r="P893" t="inlineStr">
        <is>
          <t>enk</t>
        </is>
      </c>
      <c r="R893" t="inlineStr">
        <is>
          <t xml:space="preserve">DF </t>
        </is>
      </c>
      <c r="S893" t="n">
        <v>1</v>
      </c>
      <c r="T893" t="n">
        <v>1</v>
      </c>
      <c r="U893" t="inlineStr">
        <is>
          <t>2002-12-03</t>
        </is>
      </c>
      <c r="V893" t="inlineStr">
        <is>
          <t>2002-12-03</t>
        </is>
      </c>
      <c r="W893" t="inlineStr">
        <is>
          <t>2002-12-03</t>
        </is>
      </c>
      <c r="X893" t="inlineStr">
        <is>
          <t>2002-12-03</t>
        </is>
      </c>
      <c r="Y893" t="n">
        <v>221</v>
      </c>
      <c r="Z893" t="n">
        <v>164</v>
      </c>
      <c r="AA893" t="n">
        <v>220</v>
      </c>
      <c r="AB893" t="n">
        <v>1</v>
      </c>
      <c r="AC893" t="n">
        <v>1</v>
      </c>
      <c r="AD893" t="n">
        <v>3</v>
      </c>
      <c r="AE893" t="n">
        <v>6</v>
      </c>
      <c r="AF893" t="n">
        <v>1</v>
      </c>
      <c r="AG893" t="n">
        <v>2</v>
      </c>
      <c r="AH893" t="n">
        <v>1</v>
      </c>
      <c r="AI893" t="n">
        <v>1</v>
      </c>
      <c r="AJ893" t="n">
        <v>3</v>
      </c>
      <c r="AK893" t="n">
        <v>6</v>
      </c>
      <c r="AL893" t="n">
        <v>0</v>
      </c>
      <c r="AM893" t="n">
        <v>0</v>
      </c>
      <c r="AN893" t="n">
        <v>0</v>
      </c>
      <c r="AO893" t="n">
        <v>0</v>
      </c>
      <c r="AP893" t="inlineStr">
        <is>
          <t>No</t>
        </is>
      </c>
      <c r="AQ893" t="inlineStr">
        <is>
          <t>Yes</t>
        </is>
      </c>
      <c r="AR893">
        <f>HYPERLINK("http://catalog.hathitrust.org/Record/000574349","HathiTrust Record")</f>
        <v/>
      </c>
      <c r="AS893">
        <f>HYPERLINK("https://creighton-primo.hosted.exlibrisgroup.com/primo-explore/search?tab=default_tab&amp;search_scope=EVERYTHING&amp;vid=01CRU&amp;lang=en_US&amp;offset=0&amp;query=any,contains,991003954809702656","Catalog Record")</f>
        <v/>
      </c>
      <c r="AT893">
        <f>HYPERLINK("http://www.worldcat.org/oclc/2791633","WorldCat Record")</f>
        <v/>
      </c>
      <c r="AU893" t="inlineStr">
        <is>
          <t>1809223:eng</t>
        </is>
      </c>
      <c r="AV893" t="inlineStr">
        <is>
          <t>2791633</t>
        </is>
      </c>
      <c r="AW893" t="inlineStr">
        <is>
          <t>991003954809702656</t>
        </is>
      </c>
      <c r="AX893" t="inlineStr">
        <is>
          <t>991003954809702656</t>
        </is>
      </c>
      <c r="AY893" t="inlineStr">
        <is>
          <t>2266949410002656</t>
        </is>
      </c>
      <c r="AZ893" t="inlineStr">
        <is>
          <t>BOOK</t>
        </is>
      </c>
      <c r="BC893" t="inlineStr">
        <is>
          <t>32285004667381</t>
        </is>
      </c>
      <c r="BD893" t="inlineStr">
        <is>
          <t>893429476</t>
        </is>
      </c>
    </row>
    <row r="894">
      <c r="A894" t="inlineStr">
        <is>
          <t>No</t>
        </is>
      </c>
      <c r="B894" t="inlineStr">
        <is>
          <t>DF77 .M213</t>
        </is>
      </c>
      <c r="C894" t="inlineStr">
        <is>
          <t>0                      DF 0077000M  213</t>
        </is>
      </c>
      <c r="D894" t="inlineStr">
        <is>
          <t>The Greek world under Roman sway, from Polybius to Plutarch, by J. P. Mahaffy.</t>
        </is>
      </c>
      <c r="F894" t="inlineStr">
        <is>
          <t>No</t>
        </is>
      </c>
      <c r="G894" t="inlineStr">
        <is>
          <t>1</t>
        </is>
      </c>
      <c r="H894" t="inlineStr">
        <is>
          <t>No</t>
        </is>
      </c>
      <c r="I894" t="inlineStr">
        <is>
          <t>No</t>
        </is>
      </c>
      <c r="J894" t="inlineStr">
        <is>
          <t>0</t>
        </is>
      </c>
      <c r="K894" t="inlineStr">
        <is>
          <t>Mahaffy, J. P. (John Pentland), 1839-1919.</t>
        </is>
      </c>
      <c r="L894" t="inlineStr">
        <is>
          <t>London and New York, Macmillan, 1890.</t>
        </is>
      </c>
      <c r="M894" t="inlineStr">
        <is>
          <t>1890</t>
        </is>
      </c>
      <c r="O894" t="inlineStr">
        <is>
          <t>eng</t>
        </is>
      </c>
      <c r="P894" t="inlineStr">
        <is>
          <t>enk</t>
        </is>
      </c>
      <c r="R894" t="inlineStr">
        <is>
          <t xml:space="preserve">DF </t>
        </is>
      </c>
      <c r="S894" t="n">
        <v>2</v>
      </c>
      <c r="T894" t="n">
        <v>2</v>
      </c>
      <c r="U894" t="inlineStr">
        <is>
          <t>1998-03-12</t>
        </is>
      </c>
      <c r="V894" t="inlineStr">
        <is>
          <t>1998-03-12</t>
        </is>
      </c>
      <c r="W894" t="inlineStr">
        <is>
          <t>1997-01-28</t>
        </is>
      </c>
      <c r="X894" t="inlineStr">
        <is>
          <t>1997-01-28</t>
        </is>
      </c>
      <c r="Y894" t="n">
        <v>292</v>
      </c>
      <c r="Z894" t="n">
        <v>227</v>
      </c>
      <c r="AA894" t="n">
        <v>245</v>
      </c>
      <c r="AB894" t="n">
        <v>4</v>
      </c>
      <c r="AC894" t="n">
        <v>4</v>
      </c>
      <c r="AD894" t="n">
        <v>13</v>
      </c>
      <c r="AE894" t="n">
        <v>14</v>
      </c>
      <c r="AF894" t="n">
        <v>3</v>
      </c>
      <c r="AG894" t="n">
        <v>3</v>
      </c>
      <c r="AH894" t="n">
        <v>3</v>
      </c>
      <c r="AI894" t="n">
        <v>4</v>
      </c>
      <c r="AJ894" t="n">
        <v>7</v>
      </c>
      <c r="AK894" t="n">
        <v>7</v>
      </c>
      <c r="AL894" t="n">
        <v>3</v>
      </c>
      <c r="AM894" t="n">
        <v>3</v>
      </c>
      <c r="AN894" t="n">
        <v>0</v>
      </c>
      <c r="AO894" t="n">
        <v>0</v>
      </c>
      <c r="AP894" t="inlineStr">
        <is>
          <t>Yes</t>
        </is>
      </c>
      <c r="AQ894" t="inlineStr">
        <is>
          <t>No</t>
        </is>
      </c>
      <c r="AR894">
        <f>HYPERLINK("http://catalog.hathitrust.org/Record/000572399","HathiTrust Record")</f>
        <v/>
      </c>
      <c r="AS894">
        <f>HYPERLINK("https://creighton-primo.hosted.exlibrisgroup.com/primo-explore/search?tab=default_tab&amp;search_scope=EVERYTHING&amp;vid=01CRU&amp;lang=en_US&amp;offset=0&amp;query=any,contains,991004147539702656","Catalog Record")</f>
        <v/>
      </c>
      <c r="AT894">
        <f>HYPERLINK("http://www.worldcat.org/oclc/2515163","WorldCat Record")</f>
        <v/>
      </c>
      <c r="AU894" t="inlineStr">
        <is>
          <t>366384054:eng</t>
        </is>
      </c>
      <c r="AV894" t="inlineStr">
        <is>
          <t>2515163</t>
        </is>
      </c>
      <c r="AW894" t="inlineStr">
        <is>
          <t>991004147539702656</t>
        </is>
      </c>
      <c r="AX894" t="inlineStr">
        <is>
          <t>991004147539702656</t>
        </is>
      </c>
      <c r="AY894" t="inlineStr">
        <is>
          <t>2259255280002656</t>
        </is>
      </c>
      <c r="AZ894" t="inlineStr">
        <is>
          <t>BOOK</t>
        </is>
      </c>
      <c r="BC894" t="inlineStr">
        <is>
          <t>32285002417151</t>
        </is>
      </c>
      <c r="BD894" t="inlineStr">
        <is>
          <t>893693583</t>
        </is>
      </c>
    </row>
    <row r="895">
      <c r="A895" t="inlineStr">
        <is>
          <t>No</t>
        </is>
      </c>
      <c r="B895" t="inlineStr">
        <is>
          <t>DF77 .M676 1991</t>
        </is>
      </c>
      <c r="C895" t="inlineStr">
        <is>
          <t>0                      DF 0077000M  676         1991</t>
        </is>
      </c>
      <c r="D895" t="inlineStr">
        <is>
          <t>Sobre griegos y latinos / Guillermo Morón.</t>
        </is>
      </c>
      <c r="F895" t="inlineStr">
        <is>
          <t>No</t>
        </is>
      </c>
      <c r="G895" t="inlineStr">
        <is>
          <t>1</t>
        </is>
      </c>
      <c r="H895" t="inlineStr">
        <is>
          <t>No</t>
        </is>
      </c>
      <c r="I895" t="inlineStr">
        <is>
          <t>No</t>
        </is>
      </c>
      <c r="J895" t="inlineStr">
        <is>
          <t>0</t>
        </is>
      </c>
      <c r="K895" t="inlineStr">
        <is>
          <t>Morón, Guillermo.</t>
        </is>
      </c>
      <c r="L895" t="inlineStr">
        <is>
          <t>Caracas : Academia Nacional de la Historia, c1991.</t>
        </is>
      </c>
      <c r="M895" t="inlineStr">
        <is>
          <t>1991</t>
        </is>
      </c>
      <c r="O895" t="inlineStr">
        <is>
          <t>spa</t>
        </is>
      </c>
      <c r="P895" t="inlineStr">
        <is>
          <t xml:space="preserve">ve </t>
        </is>
      </c>
      <c r="Q895" t="inlineStr">
        <is>
          <t>Biblioteca de la Academia Nacional de la Historia. Colección Centenario ; 4</t>
        </is>
      </c>
      <c r="R895" t="inlineStr">
        <is>
          <t xml:space="preserve">DF </t>
        </is>
      </c>
      <c r="S895" t="n">
        <v>1</v>
      </c>
      <c r="T895" t="n">
        <v>1</v>
      </c>
      <c r="U895" t="inlineStr">
        <is>
          <t>2002-07-29</t>
        </is>
      </c>
      <c r="V895" t="inlineStr">
        <is>
          <t>2002-07-29</t>
        </is>
      </c>
      <c r="W895" t="inlineStr">
        <is>
          <t>2002-07-29</t>
        </is>
      </c>
      <c r="X895" t="inlineStr">
        <is>
          <t>2002-07-29</t>
        </is>
      </c>
      <c r="Y895" t="n">
        <v>10</v>
      </c>
      <c r="Z895" t="n">
        <v>9</v>
      </c>
      <c r="AA895" t="n">
        <v>11</v>
      </c>
      <c r="AB895" t="n">
        <v>1</v>
      </c>
      <c r="AC895" t="n">
        <v>1</v>
      </c>
      <c r="AD895" t="n">
        <v>0</v>
      </c>
      <c r="AE895" t="n">
        <v>0</v>
      </c>
      <c r="AF895" t="n">
        <v>0</v>
      </c>
      <c r="AG895" t="n">
        <v>0</v>
      </c>
      <c r="AH895" t="n">
        <v>0</v>
      </c>
      <c r="AI895" t="n">
        <v>0</v>
      </c>
      <c r="AJ895" t="n">
        <v>0</v>
      </c>
      <c r="AK895" t="n">
        <v>0</v>
      </c>
      <c r="AL895" t="n">
        <v>0</v>
      </c>
      <c r="AM895" t="n">
        <v>0</v>
      </c>
      <c r="AN895" t="n">
        <v>0</v>
      </c>
      <c r="AO895" t="n">
        <v>0</v>
      </c>
      <c r="AP895" t="inlineStr">
        <is>
          <t>No</t>
        </is>
      </c>
      <c r="AQ895" t="inlineStr">
        <is>
          <t>Yes</t>
        </is>
      </c>
      <c r="AR895">
        <f>HYPERLINK("http://catalog.hathitrust.org/Record/100987839","HathiTrust Record")</f>
        <v/>
      </c>
      <c r="AS895">
        <f>HYPERLINK("https://creighton-primo.hosted.exlibrisgroup.com/primo-explore/search?tab=default_tab&amp;search_scope=EVERYTHING&amp;vid=01CRU&amp;lang=en_US&amp;offset=0&amp;query=any,contains,991003847219702656","Catalog Record")</f>
        <v/>
      </c>
      <c r="AT895">
        <f>HYPERLINK("http://www.worldcat.org/oclc/28178928","WorldCat Record")</f>
        <v/>
      </c>
      <c r="AU895" t="inlineStr">
        <is>
          <t>5090426976:spa</t>
        </is>
      </c>
      <c r="AV895" t="inlineStr">
        <is>
          <t>28178928</t>
        </is>
      </c>
      <c r="AW895" t="inlineStr">
        <is>
          <t>991003847219702656</t>
        </is>
      </c>
      <c r="AX895" t="inlineStr">
        <is>
          <t>991003847219702656</t>
        </is>
      </c>
      <c r="AY895" t="inlineStr">
        <is>
          <t>2256435150002656</t>
        </is>
      </c>
      <c r="AZ895" t="inlineStr">
        <is>
          <t>BOOK</t>
        </is>
      </c>
      <c r="BB895" t="inlineStr">
        <is>
          <t>9789802225316</t>
        </is>
      </c>
      <c r="BC895" t="inlineStr">
        <is>
          <t>32285004640370</t>
        </is>
      </c>
      <c r="BD895" t="inlineStr">
        <is>
          <t>893318479</t>
        </is>
      </c>
    </row>
    <row r="896">
      <c r="A896" t="inlineStr">
        <is>
          <t>No</t>
        </is>
      </c>
      <c r="B896" t="inlineStr">
        <is>
          <t>DF77 .M82 1993</t>
        </is>
      </c>
      <c r="C896" t="inlineStr">
        <is>
          <t>0                      DF 0077000M  82          1993</t>
        </is>
      </c>
      <c r="D896" t="inlineStr">
        <is>
          <t>Early Greece / by Oswyn Murray.</t>
        </is>
      </c>
      <c r="F896" t="inlineStr">
        <is>
          <t>No</t>
        </is>
      </c>
      <c r="G896" t="inlineStr">
        <is>
          <t>1</t>
        </is>
      </c>
      <c r="H896" t="inlineStr">
        <is>
          <t>No</t>
        </is>
      </c>
      <c r="I896" t="inlineStr">
        <is>
          <t>Yes</t>
        </is>
      </c>
      <c r="J896" t="inlineStr">
        <is>
          <t>0</t>
        </is>
      </c>
      <c r="K896" t="inlineStr">
        <is>
          <t>Murray, Oswyn.</t>
        </is>
      </c>
      <c r="L896" t="inlineStr">
        <is>
          <t>Cambridge, Mass. : Harvard University Press, 1993.</t>
        </is>
      </c>
      <c r="M896" t="inlineStr">
        <is>
          <t>1993</t>
        </is>
      </c>
      <c r="N896" t="inlineStr">
        <is>
          <t>2nd ed.</t>
        </is>
      </c>
      <c r="O896" t="inlineStr">
        <is>
          <t>eng</t>
        </is>
      </c>
      <c r="P896" t="inlineStr">
        <is>
          <t>mau</t>
        </is>
      </c>
      <c r="R896" t="inlineStr">
        <is>
          <t xml:space="preserve">DF </t>
        </is>
      </c>
      <c r="S896" t="n">
        <v>6</v>
      </c>
      <c r="T896" t="n">
        <v>6</v>
      </c>
      <c r="U896" t="inlineStr">
        <is>
          <t>2008-03-16</t>
        </is>
      </c>
      <c r="V896" t="inlineStr">
        <is>
          <t>2008-03-16</t>
        </is>
      </c>
      <c r="W896" t="inlineStr">
        <is>
          <t>1994-02-11</t>
        </is>
      </c>
      <c r="X896" t="inlineStr">
        <is>
          <t>1994-02-11</t>
        </is>
      </c>
      <c r="Y896" t="n">
        <v>661</v>
      </c>
      <c r="Z896" t="n">
        <v>594</v>
      </c>
      <c r="AA896" t="n">
        <v>888</v>
      </c>
      <c r="AB896" t="n">
        <v>4</v>
      </c>
      <c r="AC896" t="n">
        <v>5</v>
      </c>
      <c r="AD896" t="n">
        <v>24</v>
      </c>
      <c r="AE896" t="n">
        <v>38</v>
      </c>
      <c r="AF896" t="n">
        <v>11</v>
      </c>
      <c r="AG896" t="n">
        <v>18</v>
      </c>
      <c r="AH896" t="n">
        <v>4</v>
      </c>
      <c r="AI896" t="n">
        <v>7</v>
      </c>
      <c r="AJ896" t="n">
        <v>11</v>
      </c>
      <c r="AK896" t="n">
        <v>20</v>
      </c>
      <c r="AL896" t="n">
        <v>3</v>
      </c>
      <c r="AM896" t="n">
        <v>4</v>
      </c>
      <c r="AN896" t="n">
        <v>0</v>
      </c>
      <c r="AO896" t="n">
        <v>0</v>
      </c>
      <c r="AP896" t="inlineStr">
        <is>
          <t>No</t>
        </is>
      </c>
      <c r="AQ896" t="inlineStr">
        <is>
          <t>Yes</t>
        </is>
      </c>
      <c r="AR896">
        <f>HYPERLINK("http://catalog.hathitrust.org/Record/002720054","HathiTrust Record")</f>
        <v/>
      </c>
      <c r="AS896">
        <f>HYPERLINK("https://creighton-primo.hosted.exlibrisgroup.com/primo-explore/search?tab=default_tab&amp;search_scope=EVERYTHING&amp;vid=01CRU&amp;lang=en_US&amp;offset=0&amp;query=any,contains,991002155469702656","Catalog Record")</f>
        <v/>
      </c>
      <c r="AT896">
        <f>HYPERLINK("http://www.worldcat.org/oclc/27770398","WorldCat Record")</f>
        <v/>
      </c>
      <c r="AU896" t="inlineStr">
        <is>
          <t>3855612541:eng</t>
        </is>
      </c>
      <c r="AV896" t="inlineStr">
        <is>
          <t>27770398</t>
        </is>
      </c>
      <c r="AW896" t="inlineStr">
        <is>
          <t>991002155469702656</t>
        </is>
      </c>
      <c r="AX896" t="inlineStr">
        <is>
          <t>991002155469702656</t>
        </is>
      </c>
      <c r="AY896" t="inlineStr">
        <is>
          <t>2260404170002656</t>
        </is>
      </c>
      <c r="AZ896" t="inlineStr">
        <is>
          <t>BOOK</t>
        </is>
      </c>
      <c r="BB896" t="inlineStr">
        <is>
          <t>9780674221321</t>
        </is>
      </c>
      <c r="BC896" t="inlineStr">
        <is>
          <t>32285001841450</t>
        </is>
      </c>
      <c r="BD896" t="inlineStr">
        <is>
          <t>893785782</t>
        </is>
      </c>
    </row>
    <row r="897">
      <c r="A897" t="inlineStr">
        <is>
          <t>No</t>
        </is>
      </c>
      <c r="B897" t="inlineStr">
        <is>
          <t>DF77 .O4313 1985</t>
        </is>
      </c>
      <c r="C897" t="inlineStr">
        <is>
          <t>0                      DF 0077000O  4313        1985</t>
        </is>
      </c>
      <c r="D897" t="inlineStr">
        <is>
          <t>The birth of Greek civilization / Pavel Oliva ; translated by Iris Urwin Levitová.</t>
        </is>
      </c>
      <c r="F897" t="inlineStr">
        <is>
          <t>No</t>
        </is>
      </c>
      <c r="G897" t="inlineStr">
        <is>
          <t>1</t>
        </is>
      </c>
      <c r="H897" t="inlineStr">
        <is>
          <t>No</t>
        </is>
      </c>
      <c r="I897" t="inlineStr">
        <is>
          <t>No</t>
        </is>
      </c>
      <c r="J897" t="inlineStr">
        <is>
          <t>0</t>
        </is>
      </c>
      <c r="K897" t="inlineStr">
        <is>
          <t>Oliva, Pavel.</t>
        </is>
      </c>
      <c r="L897" t="inlineStr">
        <is>
          <t>Edmonton, Alberta, Canada : Pica Pica Press, 1985, c1981.</t>
        </is>
      </c>
      <c r="M897" t="inlineStr">
        <is>
          <t>1985</t>
        </is>
      </c>
      <c r="O897" t="inlineStr">
        <is>
          <t>eng</t>
        </is>
      </c>
      <c r="P897" t="inlineStr">
        <is>
          <t>abc</t>
        </is>
      </c>
      <c r="R897" t="inlineStr">
        <is>
          <t xml:space="preserve">DF </t>
        </is>
      </c>
      <c r="S897" t="n">
        <v>7</v>
      </c>
      <c r="T897" t="n">
        <v>7</v>
      </c>
      <c r="U897" t="inlineStr">
        <is>
          <t>2007-11-20</t>
        </is>
      </c>
      <c r="V897" t="inlineStr">
        <is>
          <t>2007-11-20</t>
        </is>
      </c>
      <c r="W897" t="inlineStr">
        <is>
          <t>1991-01-03</t>
        </is>
      </c>
      <c r="X897" t="inlineStr">
        <is>
          <t>1991-01-03</t>
        </is>
      </c>
      <c r="Y897" t="n">
        <v>69</v>
      </c>
      <c r="Z897" t="n">
        <v>50</v>
      </c>
      <c r="AA897" t="n">
        <v>183</v>
      </c>
      <c r="AB897" t="n">
        <v>1</v>
      </c>
      <c r="AC897" t="n">
        <v>2</v>
      </c>
      <c r="AD897" t="n">
        <v>3</v>
      </c>
      <c r="AE897" t="n">
        <v>10</v>
      </c>
      <c r="AF897" t="n">
        <v>2</v>
      </c>
      <c r="AG897" t="n">
        <v>5</v>
      </c>
      <c r="AH897" t="n">
        <v>0</v>
      </c>
      <c r="AI897" t="n">
        <v>1</v>
      </c>
      <c r="AJ897" t="n">
        <v>1</v>
      </c>
      <c r="AK897" t="n">
        <v>6</v>
      </c>
      <c r="AL897" t="n">
        <v>0</v>
      </c>
      <c r="AM897" t="n">
        <v>1</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HYPERLINK("https://creighton-primo.hosted.exlibrisgroup.com/primo-explore/search?tab=default_tab&amp;search_scope=EVERYTHING&amp;vid=01CRU&amp;lang=en_US&amp;offset=0&amp;query=any,contains,991000731769702656","Catalog Record")</f>
        <v/>
      </c>
      <c r="AT897">
        <f>HYPERLINK("http://www.worldcat.org/oclc/12728134","WorldCat Record")</f>
        <v/>
      </c>
      <c r="AU897" t="inlineStr">
        <is>
          <t>5590660:eng</t>
        </is>
      </c>
      <c r="AV897" t="inlineStr">
        <is>
          <t>12728134</t>
        </is>
      </c>
      <c r="AW897" t="inlineStr">
        <is>
          <t>991000731769702656</t>
        </is>
      </c>
      <c r="AX897" t="inlineStr">
        <is>
          <t>991000731769702656</t>
        </is>
      </c>
      <c r="AY897" t="inlineStr">
        <is>
          <t>2264872990002656</t>
        </is>
      </c>
      <c r="AZ897" t="inlineStr">
        <is>
          <t>BOOK</t>
        </is>
      </c>
      <c r="BB897" t="inlineStr">
        <is>
          <t>9780888640499</t>
        </is>
      </c>
      <c r="BC897" t="inlineStr">
        <is>
          <t>32285000406875</t>
        </is>
      </c>
      <c r="BD897" t="inlineStr">
        <is>
          <t>893796950</t>
        </is>
      </c>
    </row>
    <row r="898">
      <c r="A898" t="inlineStr">
        <is>
          <t>No</t>
        </is>
      </c>
      <c r="B898" t="inlineStr">
        <is>
          <t>DF77 .O82 1987</t>
        </is>
      </c>
      <c r="C898" t="inlineStr">
        <is>
          <t>0                      DF 0077000O  82          1987</t>
        </is>
      </c>
      <c r="D898" t="inlineStr">
        <is>
          <t>Classical landscape with figures : the ancient Greek city and its countryside / Robin Osborne.</t>
        </is>
      </c>
      <c r="F898" t="inlineStr">
        <is>
          <t>No</t>
        </is>
      </c>
      <c r="G898" t="inlineStr">
        <is>
          <t>1</t>
        </is>
      </c>
      <c r="H898" t="inlineStr">
        <is>
          <t>No</t>
        </is>
      </c>
      <c r="I898" t="inlineStr">
        <is>
          <t>No</t>
        </is>
      </c>
      <c r="J898" t="inlineStr">
        <is>
          <t>0</t>
        </is>
      </c>
      <c r="K898" t="inlineStr">
        <is>
          <t>Osborne, Robin, 1957-</t>
        </is>
      </c>
      <c r="L898" t="inlineStr">
        <is>
          <t>Dobbs Ferry, NY : Sheridan House, 1987.</t>
        </is>
      </c>
      <c r="M898" t="inlineStr">
        <is>
          <t>1987</t>
        </is>
      </c>
      <c r="O898" t="inlineStr">
        <is>
          <t>eng</t>
        </is>
      </c>
      <c r="P898" t="inlineStr">
        <is>
          <t>nyu</t>
        </is>
      </c>
      <c r="R898" t="inlineStr">
        <is>
          <t xml:space="preserve">DF </t>
        </is>
      </c>
      <c r="S898" t="n">
        <v>1</v>
      </c>
      <c r="T898" t="n">
        <v>1</v>
      </c>
      <c r="U898" t="inlineStr">
        <is>
          <t>2009-08-06</t>
        </is>
      </c>
      <c r="V898" t="inlineStr">
        <is>
          <t>2009-08-06</t>
        </is>
      </c>
      <c r="W898" t="inlineStr">
        <is>
          <t>2005-08-02</t>
        </is>
      </c>
      <c r="X898" t="inlineStr">
        <is>
          <t>2005-08-02</t>
        </is>
      </c>
      <c r="Y898" t="n">
        <v>299</v>
      </c>
      <c r="Z898" t="n">
        <v>257</v>
      </c>
      <c r="AA898" t="n">
        <v>525</v>
      </c>
      <c r="AB898" t="n">
        <v>3</v>
      </c>
      <c r="AC898" t="n">
        <v>6</v>
      </c>
      <c r="AD898" t="n">
        <v>12</v>
      </c>
      <c r="AE898" t="n">
        <v>31</v>
      </c>
      <c r="AF898" t="n">
        <v>7</v>
      </c>
      <c r="AG898" t="n">
        <v>11</v>
      </c>
      <c r="AH898" t="n">
        <v>1</v>
      </c>
      <c r="AI898" t="n">
        <v>6</v>
      </c>
      <c r="AJ898" t="n">
        <v>6</v>
      </c>
      <c r="AK898" t="n">
        <v>17</v>
      </c>
      <c r="AL898" t="n">
        <v>2</v>
      </c>
      <c r="AM898" t="n">
        <v>5</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HYPERLINK("https://creighton-primo.hosted.exlibrisgroup.com/primo-explore/search?tab=default_tab&amp;search_scope=EVERYTHING&amp;vid=01CRU&amp;lang=en_US&amp;offset=0&amp;query=any,contains,991004614159702656","Catalog Record")</f>
        <v/>
      </c>
      <c r="AT898">
        <f>HYPERLINK("http://www.worldcat.org/oclc/15814033","WorldCat Record")</f>
        <v/>
      </c>
      <c r="AU898" t="inlineStr">
        <is>
          <t>197703769:eng</t>
        </is>
      </c>
      <c r="AV898" t="inlineStr">
        <is>
          <t>15814033</t>
        </is>
      </c>
      <c r="AW898" t="inlineStr">
        <is>
          <t>991004614159702656</t>
        </is>
      </c>
      <c r="AX898" t="inlineStr">
        <is>
          <t>991004614159702656</t>
        </is>
      </c>
      <c r="AY898" t="inlineStr">
        <is>
          <t>2269164130002656</t>
        </is>
      </c>
      <c r="AZ898" t="inlineStr">
        <is>
          <t>BOOK</t>
        </is>
      </c>
      <c r="BB898" t="inlineStr">
        <is>
          <t>9780911378733</t>
        </is>
      </c>
      <c r="BC898" t="inlineStr">
        <is>
          <t>32285005098370</t>
        </is>
      </c>
      <c r="BD898" t="inlineStr">
        <is>
          <t>893229545</t>
        </is>
      </c>
    </row>
    <row r="899">
      <c r="A899" t="inlineStr">
        <is>
          <t>No</t>
        </is>
      </c>
      <c r="B899" t="inlineStr">
        <is>
          <t>DF77 .S615</t>
        </is>
      </c>
      <c r="C899" t="inlineStr">
        <is>
          <t>0                      DF 0077000S  615</t>
        </is>
      </c>
      <c r="D899" t="inlineStr">
        <is>
          <t>The ancient Greeks [by] Chester G. Starr.</t>
        </is>
      </c>
      <c r="F899" t="inlineStr">
        <is>
          <t>No</t>
        </is>
      </c>
      <c r="G899" t="inlineStr">
        <is>
          <t>1</t>
        </is>
      </c>
      <c r="H899" t="inlineStr">
        <is>
          <t>No</t>
        </is>
      </c>
      <c r="I899" t="inlineStr">
        <is>
          <t>No</t>
        </is>
      </c>
      <c r="J899" t="inlineStr">
        <is>
          <t>0</t>
        </is>
      </c>
      <c r="K899" t="inlineStr">
        <is>
          <t>Starr, Chester G., 1914-1999.</t>
        </is>
      </c>
      <c r="L899" t="inlineStr">
        <is>
          <t>New York, Oxford University Press, 1971.</t>
        </is>
      </c>
      <c r="M899" t="inlineStr">
        <is>
          <t>1971</t>
        </is>
      </c>
      <c r="O899" t="inlineStr">
        <is>
          <t>eng</t>
        </is>
      </c>
      <c r="P899" t="inlineStr">
        <is>
          <t>nyu</t>
        </is>
      </c>
      <c r="R899" t="inlineStr">
        <is>
          <t xml:space="preserve">DF </t>
        </is>
      </c>
      <c r="S899" t="n">
        <v>10</v>
      </c>
      <c r="T899" t="n">
        <v>10</v>
      </c>
      <c r="U899" t="inlineStr">
        <is>
          <t>2006-10-05</t>
        </is>
      </c>
      <c r="V899" t="inlineStr">
        <is>
          <t>2006-10-05</t>
        </is>
      </c>
      <c r="W899" t="inlineStr">
        <is>
          <t>1997-01-28</t>
        </is>
      </c>
      <c r="X899" t="inlineStr">
        <is>
          <t>1997-01-28</t>
        </is>
      </c>
      <c r="Y899" t="n">
        <v>1013</v>
      </c>
      <c r="Z899" t="n">
        <v>871</v>
      </c>
      <c r="AA899" t="n">
        <v>894</v>
      </c>
      <c r="AB899" t="n">
        <v>8</v>
      </c>
      <c r="AC899" t="n">
        <v>8</v>
      </c>
      <c r="AD899" t="n">
        <v>31</v>
      </c>
      <c r="AE899" t="n">
        <v>31</v>
      </c>
      <c r="AF899" t="n">
        <v>13</v>
      </c>
      <c r="AG899" t="n">
        <v>13</v>
      </c>
      <c r="AH899" t="n">
        <v>10</v>
      </c>
      <c r="AI899" t="n">
        <v>10</v>
      </c>
      <c r="AJ899" t="n">
        <v>12</v>
      </c>
      <c r="AK899" t="n">
        <v>12</v>
      </c>
      <c r="AL899" t="n">
        <v>4</v>
      </c>
      <c r="AM899" t="n">
        <v>4</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HYPERLINK("https://creighton-primo.hosted.exlibrisgroup.com/primo-explore/search?tab=default_tab&amp;search_scope=EVERYTHING&amp;vid=01CRU&amp;lang=en_US&amp;offset=0&amp;query=any,contains,991000775359702656","Catalog Record")</f>
        <v/>
      </c>
      <c r="AT899">
        <f>HYPERLINK("http://www.worldcat.org/oclc/132372","WorldCat Record")</f>
        <v/>
      </c>
      <c r="AU899" t="inlineStr">
        <is>
          <t>119985699:eng</t>
        </is>
      </c>
      <c r="AV899" t="inlineStr">
        <is>
          <t>132372</t>
        </is>
      </c>
      <c r="AW899" t="inlineStr">
        <is>
          <t>991000775359702656</t>
        </is>
      </c>
      <c r="AX899" t="inlineStr">
        <is>
          <t>991000775359702656</t>
        </is>
      </c>
      <c r="AY899" t="inlineStr">
        <is>
          <t>2256756070002656</t>
        </is>
      </c>
      <c r="AZ899" t="inlineStr">
        <is>
          <t>BOOK</t>
        </is>
      </c>
      <c r="BC899" t="inlineStr">
        <is>
          <t>32285002417185</t>
        </is>
      </c>
      <c r="BD899" t="inlineStr">
        <is>
          <t>893419761</t>
        </is>
      </c>
    </row>
    <row r="900">
      <c r="A900" t="inlineStr">
        <is>
          <t>No</t>
        </is>
      </c>
      <c r="B900" t="inlineStr">
        <is>
          <t>DF77 .T53</t>
        </is>
      </c>
      <c r="C900" t="inlineStr">
        <is>
          <t>0                      DF 0077000T  53</t>
        </is>
      </c>
      <c r="D900" t="inlineStr">
        <is>
          <t>Through Greek eyes : Greek civilisation in the words of Greek writers / compiled, translated, and introduced by Roger Nichols and Kenneth McLeish.</t>
        </is>
      </c>
      <c r="F900" t="inlineStr">
        <is>
          <t>No</t>
        </is>
      </c>
      <c r="G900" t="inlineStr">
        <is>
          <t>1</t>
        </is>
      </c>
      <c r="H900" t="inlineStr">
        <is>
          <t>No</t>
        </is>
      </c>
      <c r="I900" t="inlineStr">
        <is>
          <t>Yes</t>
        </is>
      </c>
      <c r="J900" t="inlineStr">
        <is>
          <t>0</t>
        </is>
      </c>
      <c r="L900" t="inlineStr">
        <is>
          <t>London ; New York : Cambridge University Press, 1974.</t>
        </is>
      </c>
      <c r="M900" t="inlineStr">
        <is>
          <t>1974</t>
        </is>
      </c>
      <c r="O900" t="inlineStr">
        <is>
          <t>eng</t>
        </is>
      </c>
      <c r="P900" t="inlineStr">
        <is>
          <t>enk</t>
        </is>
      </c>
      <c r="R900" t="inlineStr">
        <is>
          <t xml:space="preserve">DF </t>
        </is>
      </c>
      <c r="S900" t="n">
        <v>1</v>
      </c>
      <c r="T900" t="n">
        <v>1</v>
      </c>
      <c r="U900" t="inlineStr">
        <is>
          <t>2005-04-29</t>
        </is>
      </c>
      <c r="V900" t="inlineStr">
        <is>
          <t>2005-04-29</t>
        </is>
      </c>
      <c r="W900" t="inlineStr">
        <is>
          <t>1997-01-28</t>
        </is>
      </c>
      <c r="X900" t="inlineStr">
        <is>
          <t>1997-01-28</t>
        </is>
      </c>
      <c r="Y900" t="n">
        <v>439</v>
      </c>
      <c r="Z900" t="n">
        <v>341</v>
      </c>
      <c r="AA900" t="n">
        <v>418</v>
      </c>
      <c r="AB900" t="n">
        <v>2</v>
      </c>
      <c r="AC900" t="n">
        <v>3</v>
      </c>
      <c r="AD900" t="n">
        <v>13</v>
      </c>
      <c r="AE900" t="n">
        <v>19</v>
      </c>
      <c r="AF900" t="n">
        <v>2</v>
      </c>
      <c r="AG900" t="n">
        <v>6</v>
      </c>
      <c r="AH900" t="n">
        <v>4</v>
      </c>
      <c r="AI900" t="n">
        <v>6</v>
      </c>
      <c r="AJ900" t="n">
        <v>9</v>
      </c>
      <c r="AK900" t="n">
        <v>12</v>
      </c>
      <c r="AL900" t="n">
        <v>1</v>
      </c>
      <c r="AM900" t="n">
        <v>1</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HYPERLINK("https://creighton-primo.hosted.exlibrisgroup.com/primo-explore/search?tab=default_tab&amp;search_scope=EVERYTHING&amp;vid=01CRU&amp;lang=en_US&amp;offset=0&amp;query=any,contains,991003866669702656","Catalog Record")</f>
        <v/>
      </c>
      <c r="AT900">
        <f>HYPERLINK("http://www.worldcat.org/oclc/1680028","WorldCat Record")</f>
        <v/>
      </c>
      <c r="AU900" t="inlineStr">
        <is>
          <t>796758401:eng</t>
        </is>
      </c>
      <c r="AV900" t="inlineStr">
        <is>
          <t>1680028</t>
        </is>
      </c>
      <c r="AW900" t="inlineStr">
        <is>
          <t>991003866669702656</t>
        </is>
      </c>
      <c r="AX900" t="inlineStr">
        <is>
          <t>991003866669702656</t>
        </is>
      </c>
      <c r="AY900" t="inlineStr">
        <is>
          <t>2255769930002656</t>
        </is>
      </c>
      <c r="AZ900" t="inlineStr">
        <is>
          <t>BOOK</t>
        </is>
      </c>
      <c r="BB900" t="inlineStr">
        <is>
          <t>9780521085601</t>
        </is>
      </c>
      <c r="BC900" t="inlineStr">
        <is>
          <t>32285002417219</t>
        </is>
      </c>
      <c r="BD900" t="inlineStr">
        <is>
          <t>893525337</t>
        </is>
      </c>
    </row>
    <row r="901">
      <c r="A901" t="inlineStr">
        <is>
          <t>No</t>
        </is>
      </c>
      <c r="B901" t="inlineStr">
        <is>
          <t>DF77 .T53 1991</t>
        </is>
      </c>
      <c r="C901" t="inlineStr">
        <is>
          <t>0                      DF 0077000T  53          1991</t>
        </is>
      </c>
      <c r="D901" t="inlineStr">
        <is>
          <t>Through Greek eyes : Greek civilisation in the words of Greek writers / compiled, translated, and introduced by Roger Nichols and Kenneth McLeish.</t>
        </is>
      </c>
      <c r="F901" t="inlineStr">
        <is>
          <t>No</t>
        </is>
      </c>
      <c r="G901" t="inlineStr">
        <is>
          <t>1</t>
        </is>
      </c>
      <c r="H901" t="inlineStr">
        <is>
          <t>No</t>
        </is>
      </c>
      <c r="I901" t="inlineStr">
        <is>
          <t>Yes</t>
        </is>
      </c>
      <c r="J901" t="inlineStr">
        <is>
          <t>0</t>
        </is>
      </c>
      <c r="L901" t="inlineStr">
        <is>
          <t>Cambridge ; New York : Cambridge University Press, 1991.</t>
        </is>
      </c>
      <c r="M901" t="inlineStr">
        <is>
          <t>1991</t>
        </is>
      </c>
      <c r="N901" t="inlineStr">
        <is>
          <t>Rev. ed.</t>
        </is>
      </c>
      <c r="O901" t="inlineStr">
        <is>
          <t>eng</t>
        </is>
      </c>
      <c r="P901" t="inlineStr">
        <is>
          <t>enk</t>
        </is>
      </c>
      <c r="R901" t="inlineStr">
        <is>
          <t xml:space="preserve">DF </t>
        </is>
      </c>
      <c r="S901" t="n">
        <v>9</v>
      </c>
      <c r="T901" t="n">
        <v>9</v>
      </c>
      <c r="U901" t="inlineStr">
        <is>
          <t>2000-03-25</t>
        </is>
      </c>
      <c r="V901" t="inlineStr">
        <is>
          <t>2000-03-25</t>
        </is>
      </c>
      <c r="W901" t="inlineStr">
        <is>
          <t>1991-12-13</t>
        </is>
      </c>
      <c r="X901" t="inlineStr">
        <is>
          <t>1991-12-13</t>
        </is>
      </c>
      <c r="Y901" t="n">
        <v>154</v>
      </c>
      <c r="Z901" t="n">
        <v>107</v>
      </c>
      <c r="AA901" t="n">
        <v>418</v>
      </c>
      <c r="AB901" t="n">
        <v>2</v>
      </c>
      <c r="AC901" t="n">
        <v>3</v>
      </c>
      <c r="AD901" t="n">
        <v>8</v>
      </c>
      <c r="AE901" t="n">
        <v>19</v>
      </c>
      <c r="AF901" t="n">
        <v>4</v>
      </c>
      <c r="AG901" t="n">
        <v>6</v>
      </c>
      <c r="AH901" t="n">
        <v>3</v>
      </c>
      <c r="AI901" t="n">
        <v>6</v>
      </c>
      <c r="AJ901" t="n">
        <v>5</v>
      </c>
      <c r="AK901" t="n">
        <v>12</v>
      </c>
      <c r="AL901" t="n">
        <v>0</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HYPERLINK("https://creighton-primo.hosted.exlibrisgroup.com/primo-explore/search?tab=default_tab&amp;search_scope=EVERYTHING&amp;vid=01CRU&amp;lang=en_US&amp;offset=0&amp;query=any,contains,991001889829702656","Catalog Record")</f>
        <v/>
      </c>
      <c r="AT901">
        <f>HYPERLINK("http://www.worldcat.org/oclc/26592228","WorldCat Record")</f>
        <v/>
      </c>
      <c r="AU901" t="inlineStr">
        <is>
          <t>796758401:eng</t>
        </is>
      </c>
      <c r="AV901" t="inlineStr">
        <is>
          <t>26592228</t>
        </is>
      </c>
      <c r="AW901" t="inlineStr">
        <is>
          <t>991001889829702656</t>
        </is>
      </c>
      <c r="AX901" t="inlineStr">
        <is>
          <t>991001889829702656</t>
        </is>
      </c>
      <c r="AY901" t="inlineStr">
        <is>
          <t>2272636500002656</t>
        </is>
      </c>
      <c r="AZ901" t="inlineStr">
        <is>
          <t>BOOK</t>
        </is>
      </c>
      <c r="BB901" t="inlineStr">
        <is>
          <t>9780521377560</t>
        </is>
      </c>
      <c r="BC901" t="inlineStr">
        <is>
          <t>32285000819754</t>
        </is>
      </c>
      <c r="BD901" t="inlineStr">
        <is>
          <t>893238414</t>
        </is>
      </c>
    </row>
    <row r="902">
      <c r="A902" t="inlineStr">
        <is>
          <t>No</t>
        </is>
      </c>
      <c r="B902" t="inlineStr">
        <is>
          <t>DF77 .T69</t>
        </is>
      </c>
      <c r="C902" t="inlineStr">
        <is>
          <t>0                      DF 0077000T  69</t>
        </is>
      </c>
      <c r="D902" t="inlineStr">
        <is>
          <t>The Greeks and their heritages / Arnold Toynbee.</t>
        </is>
      </c>
      <c r="F902" t="inlineStr">
        <is>
          <t>No</t>
        </is>
      </c>
      <c r="G902" t="inlineStr">
        <is>
          <t>1</t>
        </is>
      </c>
      <c r="H902" t="inlineStr">
        <is>
          <t>No</t>
        </is>
      </c>
      <c r="I902" t="inlineStr">
        <is>
          <t>No</t>
        </is>
      </c>
      <c r="J902" t="inlineStr">
        <is>
          <t>0</t>
        </is>
      </c>
      <c r="K902" t="inlineStr">
        <is>
          <t>Toynbee, Arnold, 1889-1975.</t>
        </is>
      </c>
      <c r="L902" t="inlineStr">
        <is>
          <t>Oxford, [England] ; New Yrk : Oxford University Press, 1981.</t>
        </is>
      </c>
      <c r="M902" t="inlineStr">
        <is>
          <t>1981</t>
        </is>
      </c>
      <c r="O902" t="inlineStr">
        <is>
          <t>eng</t>
        </is>
      </c>
      <c r="P902" t="inlineStr">
        <is>
          <t>enk</t>
        </is>
      </c>
      <c r="R902" t="inlineStr">
        <is>
          <t xml:space="preserve">DF </t>
        </is>
      </c>
      <c r="S902" t="n">
        <v>3</v>
      </c>
      <c r="T902" t="n">
        <v>3</v>
      </c>
      <c r="U902" t="inlineStr">
        <is>
          <t>1999-08-02</t>
        </is>
      </c>
      <c r="V902" t="inlineStr">
        <is>
          <t>1999-08-02</t>
        </is>
      </c>
      <c r="W902" t="inlineStr">
        <is>
          <t>1991-02-14</t>
        </is>
      </c>
      <c r="X902" t="inlineStr">
        <is>
          <t>1991-02-14</t>
        </is>
      </c>
      <c r="Y902" t="n">
        <v>814</v>
      </c>
      <c r="Z902" t="n">
        <v>641</v>
      </c>
      <c r="AA902" t="n">
        <v>660</v>
      </c>
      <c r="AB902" t="n">
        <v>3</v>
      </c>
      <c r="AC902" t="n">
        <v>3</v>
      </c>
      <c r="AD902" t="n">
        <v>23</v>
      </c>
      <c r="AE902" t="n">
        <v>24</v>
      </c>
      <c r="AF902" t="n">
        <v>7</v>
      </c>
      <c r="AG902" t="n">
        <v>8</v>
      </c>
      <c r="AH902" t="n">
        <v>7</v>
      </c>
      <c r="AI902" t="n">
        <v>7</v>
      </c>
      <c r="AJ902" t="n">
        <v>13</v>
      </c>
      <c r="AK902" t="n">
        <v>13</v>
      </c>
      <c r="AL902" t="n">
        <v>2</v>
      </c>
      <c r="AM902" t="n">
        <v>2</v>
      </c>
      <c r="AN902" t="n">
        <v>0</v>
      </c>
      <c r="AO902" t="n">
        <v>0</v>
      </c>
      <c r="AP902" t="inlineStr">
        <is>
          <t>No</t>
        </is>
      </c>
      <c r="AQ902" t="inlineStr">
        <is>
          <t>Yes</t>
        </is>
      </c>
      <c r="AR902">
        <f>HYPERLINK("http://catalog.hathitrust.org/Record/000261262","HathiTrust Record")</f>
        <v/>
      </c>
      <c r="AS902">
        <f>HYPERLINK("https://creighton-primo.hosted.exlibrisgroup.com/primo-explore/search?tab=default_tab&amp;search_scope=EVERYTHING&amp;vid=01CRU&amp;lang=en_US&amp;offset=0&amp;query=any,contains,991005170099702656","Catalog Record")</f>
        <v/>
      </c>
      <c r="AT902">
        <f>HYPERLINK("http://www.worldcat.org/oclc/7852061","WorldCat Record")</f>
        <v/>
      </c>
      <c r="AU902" t="inlineStr">
        <is>
          <t>345991132:eng</t>
        </is>
      </c>
      <c r="AV902" t="inlineStr">
        <is>
          <t>7852061</t>
        </is>
      </c>
      <c r="AW902" t="inlineStr">
        <is>
          <t>991005170099702656</t>
        </is>
      </c>
      <c r="AX902" t="inlineStr">
        <is>
          <t>991005170099702656</t>
        </is>
      </c>
      <c r="AY902" t="inlineStr">
        <is>
          <t>2268878970002656</t>
        </is>
      </c>
      <c r="AZ902" t="inlineStr">
        <is>
          <t>BOOK</t>
        </is>
      </c>
      <c r="BC902" t="inlineStr">
        <is>
          <t>32285000458884</t>
        </is>
      </c>
      <c r="BD902" t="inlineStr">
        <is>
          <t>893600742</t>
        </is>
      </c>
    </row>
    <row r="903">
      <c r="A903" t="inlineStr">
        <is>
          <t>No</t>
        </is>
      </c>
      <c r="B903" t="inlineStr">
        <is>
          <t>DF77 .W35 1993</t>
        </is>
      </c>
      <c r="C903" t="inlineStr">
        <is>
          <t>0                      DF 0077000W  35          1993</t>
        </is>
      </c>
      <c r="D903" t="inlineStr">
        <is>
          <t>The hellenistic world / F.W. Walbank.</t>
        </is>
      </c>
      <c r="F903" t="inlineStr">
        <is>
          <t>No</t>
        </is>
      </c>
      <c r="G903" t="inlineStr">
        <is>
          <t>1</t>
        </is>
      </c>
      <c r="H903" t="inlineStr">
        <is>
          <t>No</t>
        </is>
      </c>
      <c r="I903" t="inlineStr">
        <is>
          <t>No</t>
        </is>
      </c>
      <c r="J903" t="inlineStr">
        <is>
          <t>0</t>
        </is>
      </c>
      <c r="K903" t="inlineStr">
        <is>
          <t>Walbank, F. W. (Frank William), 1909-2008.</t>
        </is>
      </c>
      <c r="L903" t="inlineStr">
        <is>
          <t>Cambridge, Mass. : Harvard University Press, 1993, c1992.</t>
        </is>
      </c>
      <c r="M903" t="inlineStr">
        <is>
          <t>1993</t>
        </is>
      </c>
      <c r="N903" t="inlineStr">
        <is>
          <t>Rev. ed.</t>
        </is>
      </c>
      <c r="O903" t="inlineStr">
        <is>
          <t>eng</t>
        </is>
      </c>
      <c r="P903" t="inlineStr">
        <is>
          <t>mau</t>
        </is>
      </c>
      <c r="R903" t="inlineStr">
        <is>
          <t xml:space="preserve">DF </t>
        </is>
      </c>
      <c r="S903" t="n">
        <v>27</v>
      </c>
      <c r="T903" t="n">
        <v>27</v>
      </c>
      <c r="U903" t="inlineStr">
        <is>
          <t>2009-04-27</t>
        </is>
      </c>
      <c r="V903" t="inlineStr">
        <is>
          <t>2009-04-27</t>
        </is>
      </c>
      <c r="W903" t="inlineStr">
        <is>
          <t>1994-02-08</t>
        </is>
      </c>
      <c r="X903" t="inlineStr">
        <is>
          <t>1994-02-08</t>
        </is>
      </c>
      <c r="Y903" t="n">
        <v>647</v>
      </c>
      <c r="Z903" t="n">
        <v>591</v>
      </c>
      <c r="AA903" t="n">
        <v>1114</v>
      </c>
      <c r="AB903" t="n">
        <v>4</v>
      </c>
      <c r="AC903" t="n">
        <v>7</v>
      </c>
      <c r="AD903" t="n">
        <v>27</v>
      </c>
      <c r="AE903" t="n">
        <v>45</v>
      </c>
      <c r="AF903" t="n">
        <v>13</v>
      </c>
      <c r="AG903" t="n">
        <v>22</v>
      </c>
      <c r="AH903" t="n">
        <v>5</v>
      </c>
      <c r="AI903" t="n">
        <v>8</v>
      </c>
      <c r="AJ903" t="n">
        <v>14</v>
      </c>
      <c r="AK903" t="n">
        <v>21</v>
      </c>
      <c r="AL903" t="n">
        <v>3</v>
      </c>
      <c r="AM903" t="n">
        <v>6</v>
      </c>
      <c r="AN903" t="n">
        <v>0</v>
      </c>
      <c r="AO903" t="n">
        <v>0</v>
      </c>
      <c r="AP903" t="inlineStr">
        <is>
          <t>No</t>
        </is>
      </c>
      <c r="AQ903" t="inlineStr">
        <is>
          <t>Yes</t>
        </is>
      </c>
      <c r="AR903">
        <f>HYPERLINK("http://catalog.hathitrust.org/Record/002720066","HathiTrust Record")</f>
        <v/>
      </c>
      <c r="AS903">
        <f>HYPERLINK("https://creighton-primo.hosted.exlibrisgroup.com/primo-explore/search?tab=default_tab&amp;search_scope=EVERYTHING&amp;vid=01CRU&amp;lang=en_US&amp;offset=0&amp;query=any,contains,991002158289702656","Catalog Record")</f>
        <v/>
      </c>
      <c r="AT903">
        <f>HYPERLINK("http://www.worldcat.org/oclc/27811191","WorldCat Record")</f>
        <v/>
      </c>
      <c r="AU903" t="inlineStr">
        <is>
          <t>155637393:eng</t>
        </is>
      </c>
      <c r="AV903" t="inlineStr">
        <is>
          <t>27811191</t>
        </is>
      </c>
      <c r="AW903" t="inlineStr">
        <is>
          <t>991002158289702656</t>
        </is>
      </c>
      <c r="AX903" t="inlineStr">
        <is>
          <t>991002158289702656</t>
        </is>
      </c>
      <c r="AY903" t="inlineStr">
        <is>
          <t>2258730610002656</t>
        </is>
      </c>
      <c r="AZ903" t="inlineStr">
        <is>
          <t>BOOK</t>
        </is>
      </c>
      <c r="BB903" t="inlineStr">
        <is>
          <t>9780674387263</t>
        </is>
      </c>
      <c r="BC903" t="inlineStr">
        <is>
          <t>32285001840734</t>
        </is>
      </c>
      <c r="BD903" t="inlineStr">
        <is>
          <t>893433552</t>
        </is>
      </c>
    </row>
    <row r="904">
      <c r="A904" t="inlineStr">
        <is>
          <t>No</t>
        </is>
      </c>
      <c r="B904" t="inlineStr">
        <is>
          <t>DF77 .W53 1973</t>
        </is>
      </c>
      <c r="C904" t="inlineStr">
        <is>
          <t>0                      DF 0077000W  53          1973</t>
        </is>
      </c>
      <c r="D904" t="inlineStr">
        <is>
          <t>The Greco-Roman tradition / [by] Hayden V. White.</t>
        </is>
      </c>
      <c r="F904" t="inlineStr">
        <is>
          <t>No</t>
        </is>
      </c>
      <c r="G904" t="inlineStr">
        <is>
          <t>1</t>
        </is>
      </c>
      <c r="H904" t="inlineStr">
        <is>
          <t>No</t>
        </is>
      </c>
      <c r="I904" t="inlineStr">
        <is>
          <t>No</t>
        </is>
      </c>
      <c r="J904" t="inlineStr">
        <is>
          <t>0</t>
        </is>
      </c>
      <c r="K904" t="inlineStr">
        <is>
          <t>White, Hayden V., 1928-2018.</t>
        </is>
      </c>
      <c r="L904" t="inlineStr">
        <is>
          <t>New York : Harper &amp; Row, [1973]</t>
        </is>
      </c>
      <c r="M904" t="inlineStr">
        <is>
          <t>1973</t>
        </is>
      </c>
      <c r="O904" t="inlineStr">
        <is>
          <t>eng</t>
        </is>
      </c>
      <c r="P904" t="inlineStr">
        <is>
          <t>nyu</t>
        </is>
      </c>
      <c r="Q904" t="inlineStr">
        <is>
          <t>Major traditions of world civilization</t>
        </is>
      </c>
      <c r="R904" t="inlineStr">
        <is>
          <t xml:space="preserve">DF </t>
        </is>
      </c>
      <c r="S904" t="n">
        <v>12</v>
      </c>
      <c r="T904" t="n">
        <v>12</v>
      </c>
      <c r="U904" t="inlineStr">
        <is>
          <t>2009-10-08</t>
        </is>
      </c>
      <c r="V904" t="inlineStr">
        <is>
          <t>2009-10-08</t>
        </is>
      </c>
      <c r="W904" t="inlineStr">
        <is>
          <t>1991-02-14</t>
        </is>
      </c>
      <c r="X904" t="inlineStr">
        <is>
          <t>1991-02-14</t>
        </is>
      </c>
      <c r="Y904" t="n">
        <v>235</v>
      </c>
      <c r="Z904" t="n">
        <v>195</v>
      </c>
      <c r="AA904" t="n">
        <v>201</v>
      </c>
      <c r="AB904" t="n">
        <v>3</v>
      </c>
      <c r="AC904" t="n">
        <v>3</v>
      </c>
      <c r="AD904" t="n">
        <v>8</v>
      </c>
      <c r="AE904" t="n">
        <v>8</v>
      </c>
      <c r="AF904" t="n">
        <v>2</v>
      </c>
      <c r="AG904" t="n">
        <v>2</v>
      </c>
      <c r="AH904" t="n">
        <v>2</v>
      </c>
      <c r="AI904" t="n">
        <v>2</v>
      </c>
      <c r="AJ904" t="n">
        <v>5</v>
      </c>
      <c r="AK904" t="n">
        <v>5</v>
      </c>
      <c r="AL904" t="n">
        <v>2</v>
      </c>
      <c r="AM904" t="n">
        <v>2</v>
      </c>
      <c r="AN904" t="n">
        <v>0</v>
      </c>
      <c r="AO904" t="n">
        <v>0</v>
      </c>
      <c r="AP904" t="inlineStr">
        <is>
          <t>No</t>
        </is>
      </c>
      <c r="AQ904" t="inlineStr">
        <is>
          <t>Yes</t>
        </is>
      </c>
      <c r="AR904">
        <f>HYPERLINK("http://catalog.hathitrust.org/Record/102073424","HathiTrust Record")</f>
        <v/>
      </c>
      <c r="AS904">
        <f>HYPERLINK("https://creighton-primo.hosted.exlibrisgroup.com/primo-explore/search?tab=default_tab&amp;search_scope=EVERYTHING&amp;vid=01CRU&amp;lang=en_US&amp;offset=0&amp;query=any,contains,991003123399702656","Catalog Record")</f>
        <v/>
      </c>
      <c r="AT904">
        <f>HYPERLINK("http://www.worldcat.org/oclc/668419","WorldCat Record")</f>
        <v/>
      </c>
      <c r="AU904" t="inlineStr">
        <is>
          <t>1689249:eng</t>
        </is>
      </c>
      <c r="AV904" t="inlineStr">
        <is>
          <t>668419</t>
        </is>
      </c>
      <c r="AW904" t="inlineStr">
        <is>
          <t>991003123399702656</t>
        </is>
      </c>
      <c r="AX904" t="inlineStr">
        <is>
          <t>991003123399702656</t>
        </is>
      </c>
      <c r="AY904" t="inlineStr">
        <is>
          <t>2255174570002656</t>
        </is>
      </c>
      <c r="AZ904" t="inlineStr">
        <is>
          <t>BOOK</t>
        </is>
      </c>
      <c r="BB904" t="inlineStr">
        <is>
          <t>9780060470647</t>
        </is>
      </c>
      <c r="BC904" t="inlineStr">
        <is>
          <t>32285000458892</t>
        </is>
      </c>
      <c r="BD904" t="inlineStr">
        <is>
          <t>893793340</t>
        </is>
      </c>
    </row>
    <row r="905">
      <c r="A905" t="inlineStr">
        <is>
          <t>No</t>
        </is>
      </c>
      <c r="B905" t="inlineStr">
        <is>
          <t>DF77 .W537 2001</t>
        </is>
      </c>
      <c r="C905" t="inlineStr">
        <is>
          <t>0                      DF 0077000W  537         2001</t>
        </is>
      </c>
      <c r="D905" t="inlineStr">
        <is>
          <t>The archaeology of ancient Greece / James Whitley.</t>
        </is>
      </c>
      <c r="F905" t="inlineStr">
        <is>
          <t>No</t>
        </is>
      </c>
      <c r="G905" t="inlineStr">
        <is>
          <t>1</t>
        </is>
      </c>
      <c r="H905" t="inlineStr">
        <is>
          <t>No</t>
        </is>
      </c>
      <c r="I905" t="inlineStr">
        <is>
          <t>No</t>
        </is>
      </c>
      <c r="J905" t="inlineStr">
        <is>
          <t>0</t>
        </is>
      </c>
      <c r="K905" t="inlineStr">
        <is>
          <t>Whitley, James.</t>
        </is>
      </c>
      <c r="L905" t="inlineStr">
        <is>
          <t>Cambridge, U.K. ; New York : Cambridge University Press, 2001.</t>
        </is>
      </c>
      <c r="M905" t="inlineStr">
        <is>
          <t>2001</t>
        </is>
      </c>
      <c r="O905" t="inlineStr">
        <is>
          <t>eng</t>
        </is>
      </c>
      <c r="P905" t="inlineStr">
        <is>
          <t>nyu</t>
        </is>
      </c>
      <c r="Q905" t="inlineStr">
        <is>
          <t>Cambridge world archaeology</t>
        </is>
      </c>
      <c r="R905" t="inlineStr">
        <is>
          <t xml:space="preserve">DF </t>
        </is>
      </c>
      <c r="S905" t="n">
        <v>7</v>
      </c>
      <c r="T905" t="n">
        <v>7</v>
      </c>
      <c r="U905" t="inlineStr">
        <is>
          <t>2009-03-24</t>
        </is>
      </c>
      <c r="V905" t="inlineStr">
        <is>
          <t>2009-03-24</t>
        </is>
      </c>
      <c r="W905" t="inlineStr">
        <is>
          <t>2002-11-06</t>
        </is>
      </c>
      <c r="X905" t="inlineStr">
        <is>
          <t>2002-11-06</t>
        </is>
      </c>
      <c r="Y905" t="n">
        <v>754</v>
      </c>
      <c r="Z905" t="n">
        <v>588</v>
      </c>
      <c r="AA905" t="n">
        <v>594</v>
      </c>
      <c r="AB905" t="n">
        <v>4</v>
      </c>
      <c r="AC905" t="n">
        <v>4</v>
      </c>
      <c r="AD905" t="n">
        <v>34</v>
      </c>
      <c r="AE905" t="n">
        <v>34</v>
      </c>
      <c r="AF905" t="n">
        <v>17</v>
      </c>
      <c r="AG905" t="n">
        <v>17</v>
      </c>
      <c r="AH905" t="n">
        <v>8</v>
      </c>
      <c r="AI905" t="n">
        <v>8</v>
      </c>
      <c r="AJ905" t="n">
        <v>18</v>
      </c>
      <c r="AK905" t="n">
        <v>18</v>
      </c>
      <c r="AL905" t="n">
        <v>2</v>
      </c>
      <c r="AM905" t="n">
        <v>2</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HYPERLINK("https://creighton-primo.hosted.exlibrisgroup.com/primo-explore/search?tab=default_tab&amp;search_scope=EVERYTHING&amp;vid=01CRU&amp;lang=en_US&amp;offset=0&amp;query=any,contains,991003913799702656","Catalog Record")</f>
        <v/>
      </c>
      <c r="AT905">
        <f>HYPERLINK("http://www.worldcat.org/oclc/45750335","WorldCat Record")</f>
        <v/>
      </c>
      <c r="AU905" t="inlineStr">
        <is>
          <t>20809978:eng</t>
        </is>
      </c>
      <c r="AV905" t="inlineStr">
        <is>
          <t>45750335</t>
        </is>
      </c>
      <c r="AW905" t="inlineStr">
        <is>
          <t>991003913799702656</t>
        </is>
      </c>
      <c r="AX905" t="inlineStr">
        <is>
          <t>991003913799702656</t>
        </is>
      </c>
      <c r="AY905" t="inlineStr">
        <is>
          <t>2260064930002656</t>
        </is>
      </c>
      <c r="AZ905" t="inlineStr">
        <is>
          <t>BOOK</t>
        </is>
      </c>
      <c r="BB905" t="inlineStr">
        <is>
          <t>9780521622059</t>
        </is>
      </c>
      <c r="BC905" t="inlineStr">
        <is>
          <t>32285004660972</t>
        </is>
      </c>
      <c r="BD905" t="inlineStr">
        <is>
          <t>893228672</t>
        </is>
      </c>
    </row>
    <row r="906">
      <c r="A906" t="inlineStr">
        <is>
          <t>No</t>
        </is>
      </c>
      <c r="B906" t="inlineStr">
        <is>
          <t>DF77 .W6</t>
        </is>
      </c>
      <c r="C906" t="inlineStr">
        <is>
          <t>0                      DF 0077000W  6</t>
        </is>
      </c>
      <c r="D906" t="inlineStr">
        <is>
          <t>A companion to Greek studies / edited for the syndics of the University Press by Leonard Whibley.</t>
        </is>
      </c>
      <c r="F906" t="inlineStr">
        <is>
          <t>No</t>
        </is>
      </c>
      <c r="G906" t="inlineStr">
        <is>
          <t>1</t>
        </is>
      </c>
      <c r="H906" t="inlineStr">
        <is>
          <t>No</t>
        </is>
      </c>
      <c r="I906" t="inlineStr">
        <is>
          <t>No</t>
        </is>
      </c>
      <c r="J906" t="inlineStr">
        <is>
          <t>0</t>
        </is>
      </c>
      <c r="L906" t="inlineStr">
        <is>
          <t>Cambridge, Eng. : University Press, 1906.</t>
        </is>
      </c>
      <c r="M906" t="inlineStr">
        <is>
          <t>1906</t>
        </is>
      </c>
      <c r="N906" t="inlineStr">
        <is>
          <t>2d ed.</t>
        </is>
      </c>
      <c r="O906" t="inlineStr">
        <is>
          <t>eng</t>
        </is>
      </c>
      <c r="P906" t="inlineStr">
        <is>
          <t>enk</t>
        </is>
      </c>
      <c r="R906" t="inlineStr">
        <is>
          <t xml:space="preserve">DF </t>
        </is>
      </c>
      <c r="S906" t="n">
        <v>4</v>
      </c>
      <c r="T906" t="n">
        <v>4</v>
      </c>
      <c r="U906" t="inlineStr">
        <is>
          <t>1997-09-28</t>
        </is>
      </c>
      <c r="V906" t="inlineStr">
        <is>
          <t>1997-09-28</t>
        </is>
      </c>
      <c r="W906" t="inlineStr">
        <is>
          <t>1997-01-28</t>
        </is>
      </c>
      <c r="X906" t="inlineStr">
        <is>
          <t>1997-01-28</t>
        </is>
      </c>
      <c r="Y906" t="n">
        <v>115</v>
      </c>
      <c r="Z906" t="n">
        <v>73</v>
      </c>
      <c r="AA906" t="n">
        <v>778</v>
      </c>
      <c r="AB906" t="n">
        <v>1</v>
      </c>
      <c r="AC906" t="n">
        <v>7</v>
      </c>
      <c r="AD906" t="n">
        <v>6</v>
      </c>
      <c r="AE906" t="n">
        <v>41</v>
      </c>
      <c r="AF906" t="n">
        <v>0</v>
      </c>
      <c r="AG906" t="n">
        <v>13</v>
      </c>
      <c r="AH906" t="n">
        <v>2</v>
      </c>
      <c r="AI906" t="n">
        <v>9</v>
      </c>
      <c r="AJ906" t="n">
        <v>5</v>
      </c>
      <c r="AK906" t="n">
        <v>21</v>
      </c>
      <c r="AL906" t="n">
        <v>0</v>
      </c>
      <c r="AM906" t="n">
        <v>6</v>
      </c>
      <c r="AN906" t="n">
        <v>0</v>
      </c>
      <c r="AO906" t="n">
        <v>0</v>
      </c>
      <c r="AP906" t="inlineStr">
        <is>
          <t>Yes</t>
        </is>
      </c>
      <c r="AQ906" t="inlineStr">
        <is>
          <t>No</t>
        </is>
      </c>
      <c r="AR906">
        <f>HYPERLINK("http://catalog.hathitrust.org/Record/008920131","HathiTrust Record")</f>
        <v/>
      </c>
      <c r="AS906">
        <f>HYPERLINK("https://creighton-primo.hosted.exlibrisgroup.com/primo-explore/search?tab=default_tab&amp;search_scope=EVERYTHING&amp;vid=01CRU&amp;lang=en_US&amp;offset=0&amp;query=any,contains,991004631379702656","Catalog Record")</f>
        <v/>
      </c>
      <c r="AT906">
        <f>HYPERLINK("http://www.worldcat.org/oclc/4374640","WorldCat Record")</f>
        <v/>
      </c>
      <c r="AU906" t="inlineStr">
        <is>
          <t>762516155:eng</t>
        </is>
      </c>
      <c r="AV906" t="inlineStr">
        <is>
          <t>4374640</t>
        </is>
      </c>
      <c r="AW906" t="inlineStr">
        <is>
          <t>991004631379702656</t>
        </is>
      </c>
      <c r="AX906" t="inlineStr">
        <is>
          <t>991004631379702656</t>
        </is>
      </c>
      <c r="AY906" t="inlineStr">
        <is>
          <t>2264216170002656</t>
        </is>
      </c>
      <c r="AZ906" t="inlineStr">
        <is>
          <t>BOOK</t>
        </is>
      </c>
      <c r="BC906" t="inlineStr">
        <is>
          <t>32285002417227</t>
        </is>
      </c>
      <c r="BD906" t="inlineStr">
        <is>
          <t>893325581</t>
        </is>
      </c>
    </row>
    <row r="907">
      <c r="A907" t="inlineStr">
        <is>
          <t>No</t>
        </is>
      </c>
      <c r="B907" t="inlineStr">
        <is>
          <t>DF78 .A384 2002</t>
        </is>
      </c>
      <c r="C907" t="inlineStr">
        <is>
          <t>0                      DF 0078000A  384         2002</t>
        </is>
      </c>
      <c r="D907" t="inlineStr">
        <is>
          <t>Archaeologies of the Greek past : landscape, monuments, and memories / Susan E. Alcock.</t>
        </is>
      </c>
      <c r="F907" t="inlineStr">
        <is>
          <t>No</t>
        </is>
      </c>
      <c r="G907" t="inlineStr">
        <is>
          <t>1</t>
        </is>
      </c>
      <c r="H907" t="inlineStr">
        <is>
          <t>No</t>
        </is>
      </c>
      <c r="I907" t="inlineStr">
        <is>
          <t>No</t>
        </is>
      </c>
      <c r="J907" t="inlineStr">
        <is>
          <t>0</t>
        </is>
      </c>
      <c r="K907" t="inlineStr">
        <is>
          <t>Alcock, Susan E.</t>
        </is>
      </c>
      <c r="L907" t="inlineStr">
        <is>
          <t>Cambridge, UK ; New York, NY, USA : Cambridge University Press, 2002.</t>
        </is>
      </c>
      <c r="M907" t="inlineStr">
        <is>
          <t>2002</t>
        </is>
      </c>
      <c r="O907" t="inlineStr">
        <is>
          <t>eng</t>
        </is>
      </c>
      <c r="P907" t="inlineStr">
        <is>
          <t>enk</t>
        </is>
      </c>
      <c r="Q907" t="inlineStr">
        <is>
          <t>W.B. Stanford memorial lectures</t>
        </is>
      </c>
      <c r="R907" t="inlineStr">
        <is>
          <t xml:space="preserve">DF </t>
        </is>
      </c>
      <c r="S907" t="n">
        <v>5</v>
      </c>
      <c r="T907" t="n">
        <v>5</v>
      </c>
      <c r="U907" t="inlineStr">
        <is>
          <t>2006-03-21</t>
        </is>
      </c>
      <c r="V907" t="inlineStr">
        <is>
          <t>2006-03-21</t>
        </is>
      </c>
      <c r="W907" t="inlineStr">
        <is>
          <t>2004-02-24</t>
        </is>
      </c>
      <c r="X907" t="inlineStr">
        <is>
          <t>2004-02-24</t>
        </is>
      </c>
      <c r="Y907" t="n">
        <v>386</v>
      </c>
      <c r="Z907" t="n">
        <v>250</v>
      </c>
      <c r="AA907" t="n">
        <v>252</v>
      </c>
      <c r="AB907" t="n">
        <v>3</v>
      </c>
      <c r="AC907" t="n">
        <v>3</v>
      </c>
      <c r="AD907" t="n">
        <v>11</v>
      </c>
      <c r="AE907" t="n">
        <v>12</v>
      </c>
      <c r="AF907" t="n">
        <v>4</v>
      </c>
      <c r="AG907" t="n">
        <v>4</v>
      </c>
      <c r="AH907" t="n">
        <v>4</v>
      </c>
      <c r="AI907" t="n">
        <v>4</v>
      </c>
      <c r="AJ907" t="n">
        <v>6</v>
      </c>
      <c r="AK907" t="n">
        <v>7</v>
      </c>
      <c r="AL907" t="n">
        <v>2</v>
      </c>
      <c r="AM907" t="n">
        <v>2</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HYPERLINK("https://creighton-primo.hosted.exlibrisgroup.com/primo-explore/search?tab=default_tab&amp;search_scope=EVERYTHING&amp;vid=01CRU&amp;lang=en_US&amp;offset=0&amp;query=any,contains,991004237419702656","Catalog Record")</f>
        <v/>
      </c>
      <c r="AT907">
        <f>HYPERLINK("http://www.worldcat.org/oclc/49859958","WorldCat Record")</f>
        <v/>
      </c>
      <c r="AU907" t="inlineStr">
        <is>
          <t>840033509:eng</t>
        </is>
      </c>
      <c r="AV907" t="inlineStr">
        <is>
          <t>49859958</t>
        </is>
      </c>
      <c r="AW907" t="inlineStr">
        <is>
          <t>991004237419702656</t>
        </is>
      </c>
      <c r="AX907" t="inlineStr">
        <is>
          <t>991004237419702656</t>
        </is>
      </c>
      <c r="AY907" t="inlineStr">
        <is>
          <t>2262132520002656</t>
        </is>
      </c>
      <c r="AZ907" t="inlineStr">
        <is>
          <t>BOOK</t>
        </is>
      </c>
      <c r="BB907" t="inlineStr">
        <is>
          <t>9780521813556</t>
        </is>
      </c>
      <c r="BC907" t="inlineStr">
        <is>
          <t>32285004890421</t>
        </is>
      </c>
      <c r="BD907" t="inlineStr">
        <is>
          <t>893241181</t>
        </is>
      </c>
    </row>
    <row r="908">
      <c r="A908" t="inlineStr">
        <is>
          <t>No</t>
        </is>
      </c>
      <c r="B908" t="inlineStr">
        <is>
          <t>DF78 .B68 1975</t>
        </is>
      </c>
      <c r="C908" t="inlineStr">
        <is>
          <t>0                      DF 0078000B  68          1975</t>
        </is>
      </c>
      <c r="D908" t="inlineStr">
        <is>
          <t>Antiquities acquired : the spoliation of Greece / C. P. Bracken.</t>
        </is>
      </c>
      <c r="F908" t="inlineStr">
        <is>
          <t>No</t>
        </is>
      </c>
      <c r="G908" t="inlineStr">
        <is>
          <t>1</t>
        </is>
      </c>
      <c r="H908" t="inlineStr">
        <is>
          <t>No</t>
        </is>
      </c>
      <c r="I908" t="inlineStr">
        <is>
          <t>No</t>
        </is>
      </c>
      <c r="J908" t="inlineStr">
        <is>
          <t>0</t>
        </is>
      </c>
      <c r="K908" t="inlineStr">
        <is>
          <t>Bracken, C. P. (Catherine Philippa), 1918-</t>
        </is>
      </c>
      <c r="L908" t="inlineStr">
        <is>
          <t>Newton Abbot [Eng.] ; North Pomfret, Vt. : David &amp; Charles, [1975]</t>
        </is>
      </c>
      <c r="M908" t="inlineStr">
        <is>
          <t>1975</t>
        </is>
      </c>
      <c r="O908" t="inlineStr">
        <is>
          <t>eng</t>
        </is>
      </c>
      <c r="P908" t="inlineStr">
        <is>
          <t>enk</t>
        </is>
      </c>
      <c r="R908" t="inlineStr">
        <is>
          <t xml:space="preserve">DF </t>
        </is>
      </c>
      <c r="S908" t="n">
        <v>1</v>
      </c>
      <c r="T908" t="n">
        <v>1</v>
      </c>
      <c r="U908" t="inlineStr">
        <is>
          <t>2002-07-10</t>
        </is>
      </c>
      <c r="V908" t="inlineStr">
        <is>
          <t>2002-07-10</t>
        </is>
      </c>
      <c r="W908" t="inlineStr">
        <is>
          <t>2002-07-02</t>
        </is>
      </c>
      <c r="X908" t="inlineStr">
        <is>
          <t>2002-07-02</t>
        </is>
      </c>
      <c r="Y908" t="n">
        <v>231</v>
      </c>
      <c r="Z908" t="n">
        <v>129</v>
      </c>
      <c r="AA908" t="n">
        <v>137</v>
      </c>
      <c r="AB908" t="n">
        <v>2</v>
      </c>
      <c r="AC908" t="n">
        <v>2</v>
      </c>
      <c r="AD908" t="n">
        <v>4</v>
      </c>
      <c r="AE908" t="n">
        <v>4</v>
      </c>
      <c r="AF908" t="n">
        <v>1</v>
      </c>
      <c r="AG908" t="n">
        <v>1</v>
      </c>
      <c r="AH908" t="n">
        <v>1</v>
      </c>
      <c r="AI908" t="n">
        <v>1</v>
      </c>
      <c r="AJ908" t="n">
        <v>1</v>
      </c>
      <c r="AK908" t="n">
        <v>1</v>
      </c>
      <c r="AL908" t="n">
        <v>1</v>
      </c>
      <c r="AM908" t="n">
        <v>1</v>
      </c>
      <c r="AN908" t="n">
        <v>0</v>
      </c>
      <c r="AO908" t="n">
        <v>0</v>
      </c>
      <c r="AP908" t="inlineStr">
        <is>
          <t>No</t>
        </is>
      </c>
      <c r="AQ908" t="inlineStr">
        <is>
          <t>Yes</t>
        </is>
      </c>
      <c r="AR908">
        <f>HYPERLINK("http://catalog.hathitrust.org/Record/009521937","HathiTrust Record")</f>
        <v/>
      </c>
      <c r="AS908">
        <f>HYPERLINK("https://creighton-primo.hosted.exlibrisgroup.com/primo-explore/search?tab=default_tab&amp;search_scope=EVERYTHING&amp;vid=01CRU&amp;lang=en_US&amp;offset=0&amp;query=any,contains,991003833439702656","Catalog Record")</f>
        <v/>
      </c>
      <c r="AT908">
        <f>HYPERLINK("http://www.worldcat.org/oclc/1419338","WorldCat Record")</f>
        <v/>
      </c>
      <c r="AU908" t="inlineStr">
        <is>
          <t>796687629:eng</t>
        </is>
      </c>
      <c r="AV908" t="inlineStr">
        <is>
          <t>1419338</t>
        </is>
      </c>
      <c r="AW908" t="inlineStr">
        <is>
          <t>991003833439702656</t>
        </is>
      </c>
      <c r="AX908" t="inlineStr">
        <is>
          <t>991003833439702656</t>
        </is>
      </c>
      <c r="AY908" t="inlineStr">
        <is>
          <t>2260588810002656</t>
        </is>
      </c>
      <c r="AZ908" t="inlineStr">
        <is>
          <t>BOOK</t>
        </is>
      </c>
      <c r="BB908" t="inlineStr">
        <is>
          <t>9780715370001</t>
        </is>
      </c>
      <c r="BC908" t="inlineStr">
        <is>
          <t>32285004496302</t>
        </is>
      </c>
      <c r="BD908" t="inlineStr">
        <is>
          <t>893605265</t>
        </is>
      </c>
    </row>
    <row r="909">
      <c r="A909" t="inlineStr">
        <is>
          <t>No</t>
        </is>
      </c>
      <c r="B909" t="inlineStr">
        <is>
          <t>DF78 .C64 1968b</t>
        </is>
      </c>
      <c r="C909" t="inlineStr">
        <is>
          <t>0                      DF 0078000C  64          1968b</t>
        </is>
      </c>
      <c r="D909" t="inlineStr">
        <is>
          <t>Southern Greece; an archaeological guide, Attica, Delphi and the Peloponnese [by] Robert and Kathleen Cook.</t>
        </is>
      </c>
      <c r="F909" t="inlineStr">
        <is>
          <t>No</t>
        </is>
      </c>
      <c r="G909" t="inlineStr">
        <is>
          <t>1</t>
        </is>
      </c>
      <c r="H909" t="inlineStr">
        <is>
          <t>No</t>
        </is>
      </c>
      <c r="I909" t="inlineStr">
        <is>
          <t>No</t>
        </is>
      </c>
      <c r="J909" t="inlineStr">
        <is>
          <t>0</t>
        </is>
      </c>
      <c r="K909" t="inlineStr">
        <is>
          <t>Cook, Robert Manuel.</t>
        </is>
      </c>
      <c r="L909" t="inlineStr">
        <is>
          <t>New York, Praeger [1968]</t>
        </is>
      </c>
      <c r="M909" t="inlineStr">
        <is>
          <t>1968</t>
        </is>
      </c>
      <c r="O909" t="inlineStr">
        <is>
          <t>eng</t>
        </is>
      </c>
      <c r="P909" t="inlineStr">
        <is>
          <t>nyu</t>
        </is>
      </c>
      <c r="Q909" t="inlineStr">
        <is>
          <t>Archaeological guides</t>
        </is>
      </c>
      <c r="R909" t="inlineStr">
        <is>
          <t xml:space="preserve">DF </t>
        </is>
      </c>
      <c r="S909" t="n">
        <v>2</v>
      </c>
      <c r="T909" t="n">
        <v>2</v>
      </c>
      <c r="U909" t="inlineStr">
        <is>
          <t>2001-11-05</t>
        </is>
      </c>
      <c r="V909" t="inlineStr">
        <is>
          <t>2001-11-05</t>
        </is>
      </c>
      <c r="W909" t="inlineStr">
        <is>
          <t>1997-01-28</t>
        </is>
      </c>
      <c r="X909" t="inlineStr">
        <is>
          <t>1997-01-28</t>
        </is>
      </c>
      <c r="Y909" t="n">
        <v>318</v>
      </c>
      <c r="Z909" t="n">
        <v>299</v>
      </c>
      <c r="AA909" t="n">
        <v>361</v>
      </c>
      <c r="AB909" t="n">
        <v>2</v>
      </c>
      <c r="AC909" t="n">
        <v>2</v>
      </c>
      <c r="AD909" t="n">
        <v>18</v>
      </c>
      <c r="AE909" t="n">
        <v>20</v>
      </c>
      <c r="AF909" t="n">
        <v>6</v>
      </c>
      <c r="AG909" t="n">
        <v>6</v>
      </c>
      <c r="AH909" t="n">
        <v>5</v>
      </c>
      <c r="AI909" t="n">
        <v>5</v>
      </c>
      <c r="AJ909" t="n">
        <v>11</v>
      </c>
      <c r="AK909" t="n">
        <v>13</v>
      </c>
      <c r="AL909" t="n">
        <v>1</v>
      </c>
      <c r="AM909" t="n">
        <v>1</v>
      </c>
      <c r="AN909" t="n">
        <v>0</v>
      </c>
      <c r="AO909" t="n">
        <v>0</v>
      </c>
      <c r="AP909" t="inlineStr">
        <is>
          <t>No</t>
        </is>
      </c>
      <c r="AQ909" t="inlineStr">
        <is>
          <t>Yes</t>
        </is>
      </c>
      <c r="AR909">
        <f>HYPERLINK("http://catalog.hathitrust.org/Record/009495212","HathiTrust Record")</f>
        <v/>
      </c>
      <c r="AS909">
        <f>HYPERLINK("https://creighton-primo.hosted.exlibrisgroup.com/primo-explore/search?tab=default_tab&amp;search_scope=EVERYTHING&amp;vid=01CRU&amp;lang=en_US&amp;offset=0&amp;query=any,contains,991002784469702656","Catalog Record")</f>
        <v/>
      </c>
      <c r="AT909">
        <f>HYPERLINK("http://www.worldcat.org/oclc/441190","WorldCat Record")</f>
        <v/>
      </c>
      <c r="AU909" t="inlineStr">
        <is>
          <t>366085868:eng</t>
        </is>
      </c>
      <c r="AV909" t="inlineStr">
        <is>
          <t>441190</t>
        </is>
      </c>
      <c r="AW909" t="inlineStr">
        <is>
          <t>991002784469702656</t>
        </is>
      </c>
      <c r="AX909" t="inlineStr">
        <is>
          <t>991002784469702656</t>
        </is>
      </c>
      <c r="AY909" t="inlineStr">
        <is>
          <t>2257153140002656</t>
        </is>
      </c>
      <c r="AZ909" t="inlineStr">
        <is>
          <t>BOOK</t>
        </is>
      </c>
      <c r="BC909" t="inlineStr">
        <is>
          <t>32285002417235</t>
        </is>
      </c>
      <c r="BD909" t="inlineStr">
        <is>
          <t>893597872</t>
        </is>
      </c>
    </row>
    <row r="910">
      <c r="A910" t="inlineStr">
        <is>
          <t>No</t>
        </is>
      </c>
      <c r="B910" t="inlineStr">
        <is>
          <t>DF78 .D42 2000</t>
        </is>
      </c>
      <c r="C910" t="inlineStr">
        <is>
          <t>0                      DF 0078000D  42          2000</t>
        </is>
      </c>
      <c r="D910" t="inlineStr">
        <is>
          <t>The decline and fall of ancient Greece / Don Nardo, book editor.</t>
        </is>
      </c>
      <c r="F910" t="inlineStr">
        <is>
          <t>No</t>
        </is>
      </c>
      <c r="G910" t="inlineStr">
        <is>
          <t>1</t>
        </is>
      </c>
      <c r="H910" t="inlineStr">
        <is>
          <t>No</t>
        </is>
      </c>
      <c r="I910" t="inlineStr">
        <is>
          <t>No</t>
        </is>
      </c>
      <c r="J910" t="inlineStr">
        <is>
          <t>0</t>
        </is>
      </c>
      <c r="L910" t="inlineStr">
        <is>
          <t>San Diego, Calif. : Greenhaven Press, c2000.</t>
        </is>
      </c>
      <c r="M910" t="inlineStr">
        <is>
          <t>2000</t>
        </is>
      </c>
      <c r="O910" t="inlineStr">
        <is>
          <t>eng</t>
        </is>
      </c>
      <c r="P910" t="inlineStr">
        <is>
          <t>cau</t>
        </is>
      </c>
      <c r="Q910" t="inlineStr">
        <is>
          <t>Turning points in world history</t>
        </is>
      </c>
      <c r="R910" t="inlineStr">
        <is>
          <t xml:space="preserve">DF </t>
        </is>
      </c>
      <c r="S910" t="n">
        <v>2</v>
      </c>
      <c r="T910" t="n">
        <v>2</v>
      </c>
      <c r="U910" t="inlineStr">
        <is>
          <t>2003-04-07</t>
        </is>
      </c>
      <c r="V910" t="inlineStr">
        <is>
          <t>2003-04-07</t>
        </is>
      </c>
      <c r="W910" t="inlineStr">
        <is>
          <t>2003-03-18</t>
        </is>
      </c>
      <c r="X910" t="inlineStr">
        <is>
          <t>2003-03-18</t>
        </is>
      </c>
      <c r="Y910" t="n">
        <v>519</v>
      </c>
      <c r="Z910" t="n">
        <v>496</v>
      </c>
      <c r="AA910" t="n">
        <v>502</v>
      </c>
      <c r="AB910" t="n">
        <v>3</v>
      </c>
      <c r="AC910" t="n">
        <v>3</v>
      </c>
      <c r="AD910" t="n">
        <v>0</v>
      </c>
      <c r="AE910" t="n">
        <v>0</v>
      </c>
      <c r="AF910" t="n">
        <v>0</v>
      </c>
      <c r="AG910" t="n">
        <v>0</v>
      </c>
      <c r="AH910" t="n">
        <v>0</v>
      </c>
      <c r="AI910" t="n">
        <v>0</v>
      </c>
      <c r="AJ910" t="n">
        <v>0</v>
      </c>
      <c r="AK910" t="n">
        <v>0</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HYPERLINK("https://creighton-primo.hosted.exlibrisgroup.com/primo-explore/search?tab=default_tab&amp;search_scope=EVERYTHING&amp;vid=01CRU&amp;lang=en_US&amp;offset=0&amp;query=any,contains,991003984159702656","Catalog Record")</f>
        <v/>
      </c>
      <c r="AT910">
        <f>HYPERLINK("http://www.worldcat.org/oclc/41662556","WorldCat Record")</f>
        <v/>
      </c>
      <c r="AU910" t="inlineStr">
        <is>
          <t>14464500:eng</t>
        </is>
      </c>
      <c r="AV910" t="inlineStr">
        <is>
          <t>41662556</t>
        </is>
      </c>
      <c r="AW910" t="inlineStr">
        <is>
          <t>991003984159702656</t>
        </is>
      </c>
      <c r="AX910" t="inlineStr">
        <is>
          <t>991003984159702656</t>
        </is>
      </c>
      <c r="AY910" t="inlineStr">
        <is>
          <t>2254948880002656</t>
        </is>
      </c>
      <c r="AZ910" t="inlineStr">
        <is>
          <t>BOOK</t>
        </is>
      </c>
      <c r="BB910" t="inlineStr">
        <is>
          <t>9780737702408</t>
        </is>
      </c>
      <c r="BC910" t="inlineStr">
        <is>
          <t>32285004685136</t>
        </is>
      </c>
      <c r="BD910" t="inlineStr">
        <is>
          <t>893624193</t>
        </is>
      </c>
    </row>
    <row r="911">
      <c r="A911" t="inlineStr">
        <is>
          <t>No</t>
        </is>
      </c>
      <c r="B911" t="inlineStr">
        <is>
          <t>DF78 .D4613 1991</t>
        </is>
      </c>
      <c r="C911" t="inlineStr">
        <is>
          <t>0                      DF 0078000D  4613        1991</t>
        </is>
      </c>
      <c r="D911" t="inlineStr">
        <is>
          <t>Cunning intelligence in Greek culture and society / Marcel Detienne and Jean-Pierre Vernant ; translated from the French by Janet Lloyd.</t>
        </is>
      </c>
      <c r="F911" t="inlineStr">
        <is>
          <t>No</t>
        </is>
      </c>
      <c r="G911" t="inlineStr">
        <is>
          <t>1</t>
        </is>
      </c>
      <c r="H911" t="inlineStr">
        <is>
          <t>No</t>
        </is>
      </c>
      <c r="I911" t="inlineStr">
        <is>
          <t>No</t>
        </is>
      </c>
      <c r="J911" t="inlineStr">
        <is>
          <t>0</t>
        </is>
      </c>
      <c r="K911" t="inlineStr">
        <is>
          <t>Detienne, Marcel.</t>
        </is>
      </c>
      <c r="L911" t="inlineStr">
        <is>
          <t>Chicago : University of Chicago Press, 1991.</t>
        </is>
      </c>
      <c r="M911" t="inlineStr">
        <is>
          <t>1991</t>
        </is>
      </c>
      <c r="N911" t="inlineStr">
        <is>
          <t>University of Chicago Press ed.</t>
        </is>
      </c>
      <c r="O911" t="inlineStr">
        <is>
          <t>eng</t>
        </is>
      </c>
      <c r="P911" t="inlineStr">
        <is>
          <t>ilu</t>
        </is>
      </c>
      <c r="R911" t="inlineStr">
        <is>
          <t xml:space="preserve">DF </t>
        </is>
      </c>
      <c r="S911" t="n">
        <v>2</v>
      </c>
      <c r="T911" t="n">
        <v>2</v>
      </c>
      <c r="U911" t="inlineStr">
        <is>
          <t>2006-10-05</t>
        </is>
      </c>
      <c r="V911" t="inlineStr">
        <is>
          <t>2006-10-05</t>
        </is>
      </c>
      <c r="W911" t="inlineStr">
        <is>
          <t>1991-11-18</t>
        </is>
      </c>
      <c r="X911" t="inlineStr">
        <is>
          <t>1991-11-18</t>
        </is>
      </c>
      <c r="Y911" t="n">
        <v>123</v>
      </c>
      <c r="Z911" t="n">
        <v>100</v>
      </c>
      <c r="AA911" t="n">
        <v>346</v>
      </c>
      <c r="AB911" t="n">
        <v>1</v>
      </c>
      <c r="AC911" t="n">
        <v>2</v>
      </c>
      <c r="AD911" t="n">
        <v>8</v>
      </c>
      <c r="AE911" t="n">
        <v>22</v>
      </c>
      <c r="AF911" t="n">
        <v>3</v>
      </c>
      <c r="AG911" t="n">
        <v>6</v>
      </c>
      <c r="AH911" t="n">
        <v>4</v>
      </c>
      <c r="AI911" t="n">
        <v>7</v>
      </c>
      <c r="AJ911" t="n">
        <v>3</v>
      </c>
      <c r="AK911" t="n">
        <v>13</v>
      </c>
      <c r="AL911" t="n">
        <v>0</v>
      </c>
      <c r="AM911" t="n">
        <v>1</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HYPERLINK("https://creighton-primo.hosted.exlibrisgroup.com/primo-explore/search?tab=default_tab&amp;search_scope=EVERYTHING&amp;vid=01CRU&amp;lang=en_US&amp;offset=0&amp;query=any,contains,991001843569702656","Catalog Record")</f>
        <v/>
      </c>
      <c r="AT911">
        <f>HYPERLINK("http://www.worldcat.org/oclc/23144752","WorldCat Record")</f>
        <v/>
      </c>
      <c r="AU911" t="inlineStr">
        <is>
          <t>9415555316:eng</t>
        </is>
      </c>
      <c r="AV911" t="inlineStr">
        <is>
          <t>23144752</t>
        </is>
      </c>
      <c r="AW911" t="inlineStr">
        <is>
          <t>991001843569702656</t>
        </is>
      </c>
      <c r="AX911" t="inlineStr">
        <is>
          <t>991001843569702656</t>
        </is>
      </c>
      <c r="AY911" t="inlineStr">
        <is>
          <t>2266209710002656</t>
        </is>
      </c>
      <c r="AZ911" t="inlineStr">
        <is>
          <t>BOOK</t>
        </is>
      </c>
      <c r="BB911" t="inlineStr">
        <is>
          <t>9780226143477</t>
        </is>
      </c>
      <c r="BC911" t="inlineStr">
        <is>
          <t>32285000815794</t>
        </is>
      </c>
      <c r="BD911" t="inlineStr">
        <is>
          <t>893334656</t>
        </is>
      </c>
    </row>
    <row r="912">
      <c r="A912" t="inlineStr">
        <is>
          <t>No</t>
        </is>
      </c>
      <c r="B912" t="inlineStr">
        <is>
          <t>DF78 .D6</t>
        </is>
      </c>
      <c r="C912" t="inlineStr">
        <is>
          <t>0                      DF 0078000D  6</t>
        </is>
      </c>
      <c r="D912" t="inlineStr">
        <is>
          <t>The aristocratic ideal in ancient Greece : attitudes of superiority from Homer to the end of the fifth century B.C. / by Walter Donlan.</t>
        </is>
      </c>
      <c r="F912" t="inlineStr">
        <is>
          <t>No</t>
        </is>
      </c>
      <c r="G912" t="inlineStr">
        <is>
          <t>1</t>
        </is>
      </c>
      <c r="H912" t="inlineStr">
        <is>
          <t>No</t>
        </is>
      </c>
      <c r="I912" t="inlineStr">
        <is>
          <t>No</t>
        </is>
      </c>
      <c r="J912" t="inlineStr">
        <is>
          <t>0</t>
        </is>
      </c>
      <c r="K912" t="inlineStr">
        <is>
          <t>Donlan, Walter.</t>
        </is>
      </c>
      <c r="L912" t="inlineStr">
        <is>
          <t>Lawrence, Kans. : Coronado Press, 1980.</t>
        </is>
      </c>
      <c r="M912" t="inlineStr">
        <is>
          <t>1980</t>
        </is>
      </c>
      <c r="O912" t="inlineStr">
        <is>
          <t>eng</t>
        </is>
      </c>
      <c r="P912" t="inlineStr">
        <is>
          <t>ksu</t>
        </is>
      </c>
      <c r="R912" t="inlineStr">
        <is>
          <t xml:space="preserve">DF </t>
        </is>
      </c>
      <c r="S912" t="n">
        <v>5</v>
      </c>
      <c r="T912" t="n">
        <v>5</v>
      </c>
      <c r="U912" t="inlineStr">
        <is>
          <t>1994-10-10</t>
        </is>
      </c>
      <c r="V912" t="inlineStr">
        <is>
          <t>1994-10-10</t>
        </is>
      </c>
      <c r="W912" t="inlineStr">
        <is>
          <t>1991-02-14</t>
        </is>
      </c>
      <c r="X912" t="inlineStr">
        <is>
          <t>1991-02-14</t>
        </is>
      </c>
      <c r="Y912" t="n">
        <v>255</v>
      </c>
      <c r="Z912" t="n">
        <v>199</v>
      </c>
      <c r="AA912" t="n">
        <v>199</v>
      </c>
      <c r="AB912" t="n">
        <v>3</v>
      </c>
      <c r="AC912" t="n">
        <v>3</v>
      </c>
      <c r="AD912" t="n">
        <v>17</v>
      </c>
      <c r="AE912" t="n">
        <v>17</v>
      </c>
      <c r="AF912" t="n">
        <v>6</v>
      </c>
      <c r="AG912" t="n">
        <v>6</v>
      </c>
      <c r="AH912" t="n">
        <v>4</v>
      </c>
      <c r="AI912" t="n">
        <v>4</v>
      </c>
      <c r="AJ912" t="n">
        <v>11</v>
      </c>
      <c r="AK912" t="n">
        <v>11</v>
      </c>
      <c r="AL912" t="n">
        <v>2</v>
      </c>
      <c r="AM912" t="n">
        <v>2</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HYPERLINK("https://creighton-primo.hosted.exlibrisgroup.com/primo-explore/search?tab=default_tab&amp;search_scope=EVERYTHING&amp;vid=01CRU&amp;lang=en_US&amp;offset=0&amp;query=any,contains,991005110169702656","Catalog Record")</f>
        <v/>
      </c>
      <c r="AT912">
        <f>HYPERLINK("http://www.worldcat.org/oclc/7411672","WorldCat Record")</f>
        <v/>
      </c>
      <c r="AU912" t="inlineStr">
        <is>
          <t>520443:eng</t>
        </is>
      </c>
      <c r="AV912" t="inlineStr">
        <is>
          <t>7411672</t>
        </is>
      </c>
      <c r="AW912" t="inlineStr">
        <is>
          <t>991005110169702656</t>
        </is>
      </c>
      <c r="AX912" t="inlineStr">
        <is>
          <t>991005110169702656</t>
        </is>
      </c>
      <c r="AY912" t="inlineStr">
        <is>
          <t>2255462720002656</t>
        </is>
      </c>
      <c r="AZ912" t="inlineStr">
        <is>
          <t>BOOK</t>
        </is>
      </c>
      <c r="BB912" t="inlineStr">
        <is>
          <t>9780872911406</t>
        </is>
      </c>
      <c r="BC912" t="inlineStr">
        <is>
          <t>32285000458900</t>
        </is>
      </c>
      <c r="BD912" t="inlineStr">
        <is>
          <t>893688607</t>
        </is>
      </c>
    </row>
    <row r="913">
      <c r="A913" t="inlineStr">
        <is>
          <t>No</t>
        </is>
      </c>
      <c r="B913" t="inlineStr">
        <is>
          <t>DF78 .F5513</t>
        </is>
      </c>
      <c r="C913" t="inlineStr">
        <is>
          <t>0                      DF 0078000F  5513</t>
        </is>
      </c>
      <c r="D913" t="inlineStr">
        <is>
          <t>Daily life in Greece at the time of Pericles. Translated from the French by Peter Green.</t>
        </is>
      </c>
      <c r="F913" t="inlineStr">
        <is>
          <t>No</t>
        </is>
      </c>
      <c r="G913" t="inlineStr">
        <is>
          <t>1</t>
        </is>
      </c>
      <c r="H913" t="inlineStr">
        <is>
          <t>No</t>
        </is>
      </c>
      <c r="I913" t="inlineStr">
        <is>
          <t>No</t>
        </is>
      </c>
      <c r="J913" t="inlineStr">
        <is>
          <t>0</t>
        </is>
      </c>
      <c r="K913" t="inlineStr">
        <is>
          <t>Flacelière, Robert, 1904-1982.</t>
        </is>
      </c>
      <c r="L913" t="inlineStr">
        <is>
          <t>New York, Macmillan, 1965.</t>
        </is>
      </c>
      <c r="M913" t="inlineStr">
        <is>
          <t>1965</t>
        </is>
      </c>
      <c r="N913" t="inlineStr">
        <is>
          <t>[1st American ed.]</t>
        </is>
      </c>
      <c r="O913" t="inlineStr">
        <is>
          <t>eng</t>
        </is>
      </c>
      <c r="P913" t="inlineStr">
        <is>
          <t>nyu</t>
        </is>
      </c>
      <c r="Q913" t="inlineStr">
        <is>
          <t>Daily life series</t>
        </is>
      </c>
      <c r="R913" t="inlineStr">
        <is>
          <t xml:space="preserve">DF </t>
        </is>
      </c>
      <c r="S913" t="n">
        <v>1</v>
      </c>
      <c r="T913" t="n">
        <v>1</v>
      </c>
      <c r="U913" t="inlineStr">
        <is>
          <t>2006-04-19</t>
        </is>
      </c>
      <c r="V913" t="inlineStr">
        <is>
          <t>2006-04-19</t>
        </is>
      </c>
      <c r="W913" t="inlineStr">
        <is>
          <t>1997-01-28</t>
        </is>
      </c>
      <c r="X913" t="inlineStr">
        <is>
          <t>1997-01-28</t>
        </is>
      </c>
      <c r="Y913" t="n">
        <v>840</v>
      </c>
      <c r="Z913" t="n">
        <v>806</v>
      </c>
      <c r="AA913" t="n">
        <v>965</v>
      </c>
      <c r="AB913" t="n">
        <v>5</v>
      </c>
      <c r="AC913" t="n">
        <v>5</v>
      </c>
      <c r="AD913" t="n">
        <v>23</v>
      </c>
      <c r="AE913" t="n">
        <v>30</v>
      </c>
      <c r="AF913" t="n">
        <v>9</v>
      </c>
      <c r="AG913" t="n">
        <v>11</v>
      </c>
      <c r="AH913" t="n">
        <v>4</v>
      </c>
      <c r="AI913" t="n">
        <v>7</v>
      </c>
      <c r="AJ913" t="n">
        <v>9</v>
      </c>
      <c r="AK913" t="n">
        <v>14</v>
      </c>
      <c r="AL913" t="n">
        <v>4</v>
      </c>
      <c r="AM913" t="n">
        <v>4</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HYPERLINK("https://creighton-primo.hosted.exlibrisgroup.com/primo-explore/search?tab=default_tab&amp;search_scope=EVERYTHING&amp;vid=01CRU&amp;lang=en_US&amp;offset=0&amp;query=any,contains,991002705739702656","Catalog Record")</f>
        <v/>
      </c>
      <c r="AT913">
        <f>HYPERLINK("http://www.worldcat.org/oclc/406946","WorldCat Record")</f>
        <v/>
      </c>
      <c r="AU913" t="inlineStr">
        <is>
          <t>1437049:eng</t>
        </is>
      </c>
      <c r="AV913" t="inlineStr">
        <is>
          <t>406946</t>
        </is>
      </c>
      <c r="AW913" t="inlineStr">
        <is>
          <t>991002705739702656</t>
        </is>
      </c>
      <c r="AX913" t="inlineStr">
        <is>
          <t>991002705739702656</t>
        </is>
      </c>
      <c r="AY913" t="inlineStr">
        <is>
          <t>2261121320002656</t>
        </is>
      </c>
      <c r="AZ913" t="inlineStr">
        <is>
          <t>BOOK</t>
        </is>
      </c>
      <c r="BC913" t="inlineStr">
        <is>
          <t>32285002417243</t>
        </is>
      </c>
      <c r="BD913" t="inlineStr">
        <is>
          <t>893517627</t>
        </is>
      </c>
    </row>
    <row r="914">
      <c r="A914" t="inlineStr">
        <is>
          <t>No</t>
        </is>
      </c>
      <c r="B914" t="inlineStr">
        <is>
          <t>DF78 .G5313</t>
        </is>
      </c>
      <c r="C914" t="inlineStr">
        <is>
          <t>0                      DF 0078000G  5313</t>
        </is>
      </c>
      <c r="D914" t="inlineStr">
        <is>
          <t>The anthropology of ancient Greece / Louis Gernet ; translated by John Hamilton and Blaise Nagy.</t>
        </is>
      </c>
      <c r="F914" t="inlineStr">
        <is>
          <t>No</t>
        </is>
      </c>
      <c r="G914" t="inlineStr">
        <is>
          <t>1</t>
        </is>
      </c>
      <c r="H914" t="inlineStr">
        <is>
          <t>No</t>
        </is>
      </c>
      <c r="I914" t="inlineStr">
        <is>
          <t>No</t>
        </is>
      </c>
      <c r="J914" t="inlineStr">
        <is>
          <t>0</t>
        </is>
      </c>
      <c r="K914" t="inlineStr">
        <is>
          <t>Gernet, Louis, 1882-1962.</t>
        </is>
      </c>
      <c r="L914" t="inlineStr">
        <is>
          <t>Baltimore : Johns Hopkins University Press, c1981.</t>
        </is>
      </c>
      <c r="M914" t="inlineStr">
        <is>
          <t>1981</t>
        </is>
      </c>
      <c r="O914" t="inlineStr">
        <is>
          <t>eng</t>
        </is>
      </c>
      <c r="P914" t="inlineStr">
        <is>
          <t>mdu</t>
        </is>
      </c>
      <c r="R914" t="inlineStr">
        <is>
          <t xml:space="preserve">DF </t>
        </is>
      </c>
      <c r="S914" t="n">
        <v>4</v>
      </c>
      <c r="T914" t="n">
        <v>4</v>
      </c>
      <c r="U914" t="inlineStr">
        <is>
          <t>2009-05-15</t>
        </is>
      </c>
      <c r="V914" t="inlineStr">
        <is>
          <t>2009-05-15</t>
        </is>
      </c>
      <c r="W914" t="inlineStr">
        <is>
          <t>1991-02-14</t>
        </is>
      </c>
      <c r="X914" t="inlineStr">
        <is>
          <t>1991-02-14</t>
        </is>
      </c>
      <c r="Y914" t="n">
        <v>755</v>
      </c>
      <c r="Z914" t="n">
        <v>642</v>
      </c>
      <c r="AA914" t="n">
        <v>644</v>
      </c>
      <c r="AB914" t="n">
        <v>6</v>
      </c>
      <c r="AC914" t="n">
        <v>6</v>
      </c>
      <c r="AD914" t="n">
        <v>30</v>
      </c>
      <c r="AE914" t="n">
        <v>30</v>
      </c>
      <c r="AF914" t="n">
        <v>11</v>
      </c>
      <c r="AG914" t="n">
        <v>11</v>
      </c>
      <c r="AH914" t="n">
        <v>7</v>
      </c>
      <c r="AI914" t="n">
        <v>7</v>
      </c>
      <c r="AJ914" t="n">
        <v>15</v>
      </c>
      <c r="AK914" t="n">
        <v>15</v>
      </c>
      <c r="AL914" t="n">
        <v>5</v>
      </c>
      <c r="AM914" t="n">
        <v>5</v>
      </c>
      <c r="AN914" t="n">
        <v>0</v>
      </c>
      <c r="AO914" t="n">
        <v>0</v>
      </c>
      <c r="AP914" t="inlineStr">
        <is>
          <t>No</t>
        </is>
      </c>
      <c r="AQ914" t="inlineStr">
        <is>
          <t>Yes</t>
        </is>
      </c>
      <c r="AR914">
        <f>HYPERLINK("http://catalog.hathitrust.org/Record/101914961","HathiTrust Record")</f>
        <v/>
      </c>
      <c r="AS914">
        <f>HYPERLINK("https://creighton-primo.hosted.exlibrisgroup.com/primo-explore/search?tab=default_tab&amp;search_scope=EVERYTHING&amp;vid=01CRU&amp;lang=en_US&amp;offset=0&amp;query=any,contains,991005145049702656","Catalog Record")</f>
        <v/>
      </c>
      <c r="AT914">
        <f>HYPERLINK("http://www.worldcat.org/oclc/7653719","WorldCat Record")</f>
        <v/>
      </c>
      <c r="AU914" t="inlineStr">
        <is>
          <t>1392621:eng</t>
        </is>
      </c>
      <c r="AV914" t="inlineStr">
        <is>
          <t>7653719</t>
        </is>
      </c>
      <c r="AW914" t="inlineStr">
        <is>
          <t>991005145049702656</t>
        </is>
      </c>
      <c r="AX914" t="inlineStr">
        <is>
          <t>991005145049702656</t>
        </is>
      </c>
      <c r="AY914" t="inlineStr">
        <is>
          <t>2258663980002656</t>
        </is>
      </c>
      <c r="AZ914" t="inlineStr">
        <is>
          <t>BOOK</t>
        </is>
      </c>
      <c r="BB914" t="inlineStr">
        <is>
          <t>9780801821127</t>
        </is>
      </c>
      <c r="BC914" t="inlineStr">
        <is>
          <t>32285000458926</t>
        </is>
      </c>
      <c r="BD914" t="inlineStr">
        <is>
          <t>893338583</t>
        </is>
      </c>
    </row>
    <row r="915">
      <c r="A915" t="inlineStr">
        <is>
          <t>No</t>
        </is>
      </c>
      <c r="B915" t="inlineStr">
        <is>
          <t>DF78 .G8</t>
        </is>
      </c>
      <c r="C915" t="inlineStr">
        <is>
          <t>0                      DF 0078000G  8</t>
        </is>
      </c>
      <c r="D915" t="inlineStr">
        <is>
          <t>Modern traits in old Greek life / by Charles Burton Gulick.</t>
        </is>
      </c>
      <c r="F915" t="inlineStr">
        <is>
          <t>No</t>
        </is>
      </c>
      <c r="G915" t="inlineStr">
        <is>
          <t>1</t>
        </is>
      </c>
      <c r="H915" t="inlineStr">
        <is>
          <t>No</t>
        </is>
      </c>
      <c r="I915" t="inlineStr">
        <is>
          <t>No</t>
        </is>
      </c>
      <c r="J915" t="inlineStr">
        <is>
          <t>0</t>
        </is>
      </c>
      <c r="K915" t="inlineStr">
        <is>
          <t>Gulick, Charles Burton, 1868-1962.</t>
        </is>
      </c>
      <c r="L915" t="inlineStr">
        <is>
          <t>New York : Longmans, Green and co., 1927.</t>
        </is>
      </c>
      <c r="M915" t="inlineStr">
        <is>
          <t>1927</t>
        </is>
      </c>
      <c r="O915" t="inlineStr">
        <is>
          <t>eng</t>
        </is>
      </c>
      <c r="P915" t="inlineStr">
        <is>
          <t xml:space="preserve">xx </t>
        </is>
      </c>
      <c r="Q915" t="inlineStr">
        <is>
          <t>Our debt to Greece and Rome; editors, G. D. Hadzsits ... D. M. Robinson</t>
        </is>
      </c>
      <c r="R915" t="inlineStr">
        <is>
          <t xml:space="preserve">DF </t>
        </is>
      </c>
      <c r="S915" t="n">
        <v>2</v>
      </c>
      <c r="T915" t="n">
        <v>2</v>
      </c>
      <c r="U915" t="inlineStr">
        <is>
          <t>1998-09-07</t>
        </is>
      </c>
      <c r="V915" t="inlineStr">
        <is>
          <t>1998-09-07</t>
        </is>
      </c>
      <c r="W915" t="inlineStr">
        <is>
          <t>1991-10-07</t>
        </is>
      </c>
      <c r="X915" t="inlineStr">
        <is>
          <t>1991-10-07</t>
        </is>
      </c>
      <c r="Y915" t="n">
        <v>313</v>
      </c>
      <c r="Z915" t="n">
        <v>296</v>
      </c>
      <c r="AA915" t="n">
        <v>813</v>
      </c>
      <c r="AB915" t="n">
        <v>4</v>
      </c>
      <c r="AC915" t="n">
        <v>6</v>
      </c>
      <c r="AD915" t="n">
        <v>20</v>
      </c>
      <c r="AE915" t="n">
        <v>39</v>
      </c>
      <c r="AF915" t="n">
        <v>5</v>
      </c>
      <c r="AG915" t="n">
        <v>15</v>
      </c>
      <c r="AH915" t="n">
        <v>5</v>
      </c>
      <c r="AI915" t="n">
        <v>10</v>
      </c>
      <c r="AJ915" t="n">
        <v>14</v>
      </c>
      <c r="AK915" t="n">
        <v>20</v>
      </c>
      <c r="AL915" t="n">
        <v>3</v>
      </c>
      <c r="AM915" t="n">
        <v>5</v>
      </c>
      <c r="AN915" t="n">
        <v>0</v>
      </c>
      <c r="AO915" t="n">
        <v>0</v>
      </c>
      <c r="AP915" t="inlineStr">
        <is>
          <t>Yes</t>
        </is>
      </c>
      <c r="AQ915" t="inlineStr">
        <is>
          <t>No</t>
        </is>
      </c>
      <c r="AR915">
        <f>HYPERLINK("http://catalog.hathitrust.org/Record/000659473","HathiTrust Record")</f>
        <v/>
      </c>
      <c r="AS915">
        <f>HYPERLINK("https://creighton-primo.hosted.exlibrisgroup.com/primo-explore/search?tab=default_tab&amp;search_scope=EVERYTHING&amp;vid=01CRU&amp;lang=en_US&amp;offset=0&amp;query=any,contains,991003761469702656","Catalog Record")</f>
        <v/>
      </c>
      <c r="AT915">
        <f>HYPERLINK("http://www.worldcat.org/oclc/1449576","WorldCat Record")</f>
        <v/>
      </c>
      <c r="AU915" t="inlineStr">
        <is>
          <t>31464282:eng</t>
        </is>
      </c>
      <c r="AV915" t="inlineStr">
        <is>
          <t>1449576</t>
        </is>
      </c>
      <c r="AW915" t="inlineStr">
        <is>
          <t>991003761469702656</t>
        </is>
      </c>
      <c r="AX915" t="inlineStr">
        <is>
          <t>991003761469702656</t>
        </is>
      </c>
      <c r="AY915" t="inlineStr">
        <is>
          <t>2271024970002656</t>
        </is>
      </c>
      <c r="AZ915" t="inlineStr">
        <is>
          <t>BOOK</t>
        </is>
      </c>
      <c r="BC915" t="inlineStr">
        <is>
          <t>32285000763762</t>
        </is>
      </c>
      <c r="BD915" t="inlineStr">
        <is>
          <t>893887858</t>
        </is>
      </c>
    </row>
    <row r="916">
      <c r="A916" t="inlineStr">
        <is>
          <t>No</t>
        </is>
      </c>
      <c r="B916" t="inlineStr">
        <is>
          <t>DF78 .H47 1987</t>
        </is>
      </c>
      <c r="C916" t="inlineStr">
        <is>
          <t>0                      DF 0078000H  47          1987</t>
        </is>
      </c>
      <c r="D916" t="inlineStr">
        <is>
          <t>Ritualised friendship and the Greek city / Gabriel Herman.</t>
        </is>
      </c>
      <c r="F916" t="inlineStr">
        <is>
          <t>No</t>
        </is>
      </c>
      <c r="G916" t="inlineStr">
        <is>
          <t>1</t>
        </is>
      </c>
      <c r="H916" t="inlineStr">
        <is>
          <t>No</t>
        </is>
      </c>
      <c r="I916" t="inlineStr">
        <is>
          <t>No</t>
        </is>
      </c>
      <c r="J916" t="inlineStr">
        <is>
          <t>0</t>
        </is>
      </c>
      <c r="K916" t="inlineStr">
        <is>
          <t>Herman, Gabriel.</t>
        </is>
      </c>
      <c r="L916" t="inlineStr">
        <is>
          <t>Cambridge [Cambridgeshire] ; New York : Cambridge University Press, 1987.</t>
        </is>
      </c>
      <c r="M916" t="inlineStr">
        <is>
          <t>1987</t>
        </is>
      </c>
      <c r="O916" t="inlineStr">
        <is>
          <t>eng</t>
        </is>
      </c>
      <c r="P916" t="inlineStr">
        <is>
          <t>enk</t>
        </is>
      </c>
      <c r="R916" t="inlineStr">
        <is>
          <t xml:space="preserve">DF </t>
        </is>
      </c>
      <c r="S916" t="n">
        <v>7</v>
      </c>
      <c r="T916" t="n">
        <v>7</v>
      </c>
      <c r="U916" t="inlineStr">
        <is>
          <t>2009-03-06</t>
        </is>
      </c>
      <c r="V916" t="inlineStr">
        <is>
          <t>2009-03-06</t>
        </is>
      </c>
      <c r="W916" t="inlineStr">
        <is>
          <t>1991-02-14</t>
        </is>
      </c>
      <c r="X916" t="inlineStr">
        <is>
          <t>1991-02-14</t>
        </is>
      </c>
      <c r="Y916" t="n">
        <v>454</v>
      </c>
      <c r="Z916" t="n">
        <v>312</v>
      </c>
      <c r="AA916" t="n">
        <v>315</v>
      </c>
      <c r="AB916" t="n">
        <v>3</v>
      </c>
      <c r="AC916" t="n">
        <v>3</v>
      </c>
      <c r="AD916" t="n">
        <v>20</v>
      </c>
      <c r="AE916" t="n">
        <v>20</v>
      </c>
      <c r="AF916" t="n">
        <v>5</v>
      </c>
      <c r="AG916" t="n">
        <v>5</v>
      </c>
      <c r="AH916" t="n">
        <v>6</v>
      </c>
      <c r="AI916" t="n">
        <v>6</v>
      </c>
      <c r="AJ916" t="n">
        <v>13</v>
      </c>
      <c r="AK916" t="n">
        <v>13</v>
      </c>
      <c r="AL916" t="n">
        <v>2</v>
      </c>
      <c r="AM916" t="n">
        <v>2</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HYPERLINK("https://creighton-primo.hosted.exlibrisgroup.com/primo-explore/search?tab=default_tab&amp;search_scope=EVERYTHING&amp;vid=01CRU&amp;lang=en_US&amp;offset=0&amp;query=any,contains,991005406339702656","Catalog Record")</f>
        <v/>
      </c>
      <c r="AT916">
        <f>HYPERLINK("http://www.worldcat.org/oclc/13270389","WorldCat Record")</f>
        <v/>
      </c>
      <c r="AU916" t="inlineStr">
        <is>
          <t>7049709:eng</t>
        </is>
      </c>
      <c r="AV916" t="inlineStr">
        <is>
          <t>13270389</t>
        </is>
      </c>
      <c r="AW916" t="inlineStr">
        <is>
          <t>991005406339702656</t>
        </is>
      </c>
      <c r="AX916" t="inlineStr">
        <is>
          <t>991005406339702656</t>
        </is>
      </c>
      <c r="AY916" t="inlineStr">
        <is>
          <t>2271865790002656</t>
        </is>
      </c>
      <c r="AZ916" t="inlineStr">
        <is>
          <t>BOOK</t>
        </is>
      </c>
      <c r="BB916" t="inlineStr">
        <is>
          <t>9780521325417</t>
        </is>
      </c>
      <c r="BC916" t="inlineStr">
        <is>
          <t>32285000458934</t>
        </is>
      </c>
      <c r="BD916" t="inlineStr">
        <is>
          <t>893720366</t>
        </is>
      </c>
    </row>
    <row r="917">
      <c r="A917" t="inlineStr">
        <is>
          <t>No</t>
        </is>
      </c>
      <c r="B917" t="inlineStr">
        <is>
          <t>DF78 .M37 2001</t>
        </is>
      </c>
      <c r="C917" t="inlineStr">
        <is>
          <t>0                      DF 0078000M  37          2001</t>
        </is>
      </c>
      <c r="D917" t="inlineStr">
        <is>
          <t>Greece : an Oxford archaeological guide / Christopher Mee &amp; Antony Spawforth.</t>
        </is>
      </c>
      <c r="F917" t="inlineStr">
        <is>
          <t>No</t>
        </is>
      </c>
      <c r="G917" t="inlineStr">
        <is>
          <t>1</t>
        </is>
      </c>
      <c r="H917" t="inlineStr">
        <is>
          <t>No</t>
        </is>
      </c>
      <c r="I917" t="inlineStr">
        <is>
          <t>No</t>
        </is>
      </c>
      <c r="J917" t="inlineStr">
        <is>
          <t>0</t>
        </is>
      </c>
      <c r="K917" t="inlineStr">
        <is>
          <t>Mee, C. (Christopher)</t>
        </is>
      </c>
      <c r="L917" t="inlineStr">
        <is>
          <t>Oxford : Oxford University Press, c2001.</t>
        </is>
      </c>
      <c r="M917" t="inlineStr">
        <is>
          <t>2001</t>
        </is>
      </c>
      <c r="O917" t="inlineStr">
        <is>
          <t>eng</t>
        </is>
      </c>
      <c r="P917" t="inlineStr">
        <is>
          <t>enk</t>
        </is>
      </c>
      <c r="Q917" t="inlineStr">
        <is>
          <t>Oxford archaeological guides</t>
        </is>
      </c>
      <c r="R917" t="inlineStr">
        <is>
          <t xml:space="preserve">DF </t>
        </is>
      </c>
      <c r="S917" t="n">
        <v>3</v>
      </c>
      <c r="T917" t="n">
        <v>3</v>
      </c>
      <c r="U917" t="inlineStr">
        <is>
          <t>2009-03-24</t>
        </is>
      </c>
      <c r="V917" t="inlineStr">
        <is>
          <t>2009-03-24</t>
        </is>
      </c>
      <c r="W917" t="inlineStr">
        <is>
          <t>2002-02-14</t>
        </is>
      </c>
      <c r="X917" t="inlineStr">
        <is>
          <t>2002-02-14</t>
        </is>
      </c>
      <c r="Y917" t="n">
        <v>392</v>
      </c>
      <c r="Z917" t="n">
        <v>257</v>
      </c>
      <c r="AA917" t="n">
        <v>270</v>
      </c>
      <c r="AB917" t="n">
        <v>2</v>
      </c>
      <c r="AC917" t="n">
        <v>2</v>
      </c>
      <c r="AD917" t="n">
        <v>12</v>
      </c>
      <c r="AE917" t="n">
        <v>12</v>
      </c>
      <c r="AF917" t="n">
        <v>6</v>
      </c>
      <c r="AG917" t="n">
        <v>6</v>
      </c>
      <c r="AH917" t="n">
        <v>3</v>
      </c>
      <c r="AI917" t="n">
        <v>3</v>
      </c>
      <c r="AJ917" t="n">
        <v>7</v>
      </c>
      <c r="AK917" t="n">
        <v>7</v>
      </c>
      <c r="AL917" t="n">
        <v>1</v>
      </c>
      <c r="AM917" t="n">
        <v>1</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HYPERLINK("https://creighton-primo.hosted.exlibrisgroup.com/primo-explore/search?tab=default_tab&amp;search_scope=EVERYTHING&amp;vid=01CRU&amp;lang=en_US&amp;offset=0&amp;query=any,contains,991003722419702656","Catalog Record")</f>
        <v/>
      </c>
      <c r="AT917">
        <f>HYPERLINK("http://www.worldcat.org/oclc/45406471","WorldCat Record")</f>
        <v/>
      </c>
      <c r="AU917" t="inlineStr">
        <is>
          <t>34575311:eng</t>
        </is>
      </c>
      <c r="AV917" t="inlineStr">
        <is>
          <t>45406471</t>
        </is>
      </c>
      <c r="AW917" t="inlineStr">
        <is>
          <t>991003722419702656</t>
        </is>
      </c>
      <c r="AX917" t="inlineStr">
        <is>
          <t>991003722419702656</t>
        </is>
      </c>
      <c r="AY917" t="inlineStr">
        <is>
          <t>2268296810002656</t>
        </is>
      </c>
      <c r="AZ917" t="inlineStr">
        <is>
          <t>BOOK</t>
        </is>
      </c>
      <c r="BB917" t="inlineStr">
        <is>
          <t>9780192880581</t>
        </is>
      </c>
      <c r="BC917" t="inlineStr">
        <is>
          <t>32285004454640</t>
        </is>
      </c>
      <c r="BD917" t="inlineStr">
        <is>
          <t>893627729</t>
        </is>
      </c>
    </row>
    <row r="918">
      <c r="A918" t="inlineStr">
        <is>
          <t>No</t>
        </is>
      </c>
      <c r="B918" t="inlineStr">
        <is>
          <t>DF78 .M39 2008</t>
        </is>
      </c>
      <c r="C918" t="inlineStr">
        <is>
          <t>0                      DF 0078000M  39          2008</t>
        </is>
      </c>
      <c r="D918" t="inlineStr">
        <is>
          <t>Revenge in Athenian culture / Fiona McHardy.</t>
        </is>
      </c>
      <c r="F918" t="inlineStr">
        <is>
          <t>No</t>
        </is>
      </c>
      <c r="G918" t="inlineStr">
        <is>
          <t>1</t>
        </is>
      </c>
      <c r="H918" t="inlineStr">
        <is>
          <t>No</t>
        </is>
      </c>
      <c r="I918" t="inlineStr">
        <is>
          <t>No</t>
        </is>
      </c>
      <c r="J918" t="inlineStr">
        <is>
          <t>0</t>
        </is>
      </c>
      <c r="K918" t="inlineStr">
        <is>
          <t>McHardy, Fiona.</t>
        </is>
      </c>
      <c r="L918" t="inlineStr">
        <is>
          <t>London : Duckworth, 2008.</t>
        </is>
      </c>
      <c r="M918" t="inlineStr">
        <is>
          <t>2008</t>
        </is>
      </c>
      <c r="O918" t="inlineStr">
        <is>
          <t>eng</t>
        </is>
      </c>
      <c r="P918" t="inlineStr">
        <is>
          <t>enk</t>
        </is>
      </c>
      <c r="R918" t="inlineStr">
        <is>
          <t xml:space="preserve">DF </t>
        </is>
      </c>
      <c r="S918" t="n">
        <v>2</v>
      </c>
      <c r="T918" t="n">
        <v>2</v>
      </c>
      <c r="U918" t="inlineStr">
        <is>
          <t>2009-10-16</t>
        </is>
      </c>
      <c r="V918" t="inlineStr">
        <is>
          <t>2009-10-16</t>
        </is>
      </c>
      <c r="W918" t="inlineStr">
        <is>
          <t>2008-09-09</t>
        </is>
      </c>
      <c r="X918" t="inlineStr">
        <is>
          <t>2008-09-09</t>
        </is>
      </c>
      <c r="Y918" t="n">
        <v>223</v>
      </c>
      <c r="Z918" t="n">
        <v>150</v>
      </c>
      <c r="AA918" t="n">
        <v>280</v>
      </c>
      <c r="AB918" t="n">
        <v>2</v>
      </c>
      <c r="AC918" t="n">
        <v>3</v>
      </c>
      <c r="AD918" t="n">
        <v>7</v>
      </c>
      <c r="AE918" t="n">
        <v>13</v>
      </c>
      <c r="AF918" t="n">
        <v>3</v>
      </c>
      <c r="AG918" t="n">
        <v>5</v>
      </c>
      <c r="AH918" t="n">
        <v>1</v>
      </c>
      <c r="AI918" t="n">
        <v>5</v>
      </c>
      <c r="AJ918" t="n">
        <v>5</v>
      </c>
      <c r="AK918" t="n">
        <v>6</v>
      </c>
      <c r="AL918" t="n">
        <v>1</v>
      </c>
      <c r="AM918" t="n">
        <v>2</v>
      </c>
      <c r="AN918" t="n">
        <v>0</v>
      </c>
      <c r="AO918" t="n">
        <v>0</v>
      </c>
      <c r="AP918" t="inlineStr">
        <is>
          <t>No</t>
        </is>
      </c>
      <c r="AQ918" t="inlineStr">
        <is>
          <t>Yes</t>
        </is>
      </c>
      <c r="AR918">
        <f>HYPERLINK("http://catalog.hathitrust.org/Record/005675202","HathiTrust Record")</f>
        <v/>
      </c>
      <c r="AS918">
        <f>HYPERLINK("https://creighton-primo.hosted.exlibrisgroup.com/primo-explore/search?tab=default_tab&amp;search_scope=EVERYTHING&amp;vid=01CRU&amp;lang=en_US&amp;offset=0&amp;query=any,contains,991005258469702656","Catalog Record")</f>
        <v/>
      </c>
      <c r="AT918">
        <f>HYPERLINK("http://www.worldcat.org/oclc/71164346","WorldCat Record")</f>
        <v/>
      </c>
      <c r="AU918" t="inlineStr">
        <is>
          <t>58142138:eng</t>
        </is>
      </c>
      <c r="AV918" t="inlineStr">
        <is>
          <t>71164346</t>
        </is>
      </c>
      <c r="AW918" t="inlineStr">
        <is>
          <t>991005258469702656</t>
        </is>
      </c>
      <c r="AX918" t="inlineStr">
        <is>
          <t>991005258469702656</t>
        </is>
      </c>
      <c r="AY918" t="inlineStr">
        <is>
          <t>2259028720002656</t>
        </is>
      </c>
      <c r="AZ918" t="inlineStr">
        <is>
          <t>BOOK</t>
        </is>
      </c>
      <c r="BB918" t="inlineStr">
        <is>
          <t>9780715635698</t>
        </is>
      </c>
      <c r="BC918" t="inlineStr">
        <is>
          <t>32285005457360</t>
        </is>
      </c>
      <c r="BD918" t="inlineStr">
        <is>
          <t>893802016</t>
        </is>
      </c>
    </row>
    <row r="919">
      <c r="A919" t="inlineStr">
        <is>
          <t>No</t>
        </is>
      </c>
      <c r="B919" t="inlineStr">
        <is>
          <t>DF78 .M6 1990</t>
        </is>
      </c>
      <c r="C919" t="inlineStr">
        <is>
          <t>0                      DF 0078000M  6           1990</t>
        </is>
      </c>
      <c r="D919" t="inlineStr">
        <is>
          <t>Alien wisdom : the limits of Hellenization / Arnaldo Momigliano.</t>
        </is>
      </c>
      <c r="F919" t="inlineStr">
        <is>
          <t>No</t>
        </is>
      </c>
      <c r="G919" t="inlineStr">
        <is>
          <t>1</t>
        </is>
      </c>
      <c r="H919" t="inlineStr">
        <is>
          <t>No</t>
        </is>
      </c>
      <c r="I919" t="inlineStr">
        <is>
          <t>Yes</t>
        </is>
      </c>
      <c r="J919" t="inlineStr">
        <is>
          <t>0</t>
        </is>
      </c>
      <c r="K919" t="inlineStr">
        <is>
          <t>Momigliano, Arnaldo.</t>
        </is>
      </c>
      <c r="L919" t="inlineStr">
        <is>
          <t>Cambridge ; New York : Cambridge University Press, 1990, c1975.</t>
        </is>
      </c>
      <c r="M919" t="inlineStr">
        <is>
          <t>1990</t>
        </is>
      </c>
      <c r="N919" t="inlineStr">
        <is>
          <t>1st pbk. ed.</t>
        </is>
      </c>
      <c r="O919" t="inlineStr">
        <is>
          <t>eng</t>
        </is>
      </c>
      <c r="P919" t="inlineStr">
        <is>
          <t>mau</t>
        </is>
      </c>
      <c r="R919" t="inlineStr">
        <is>
          <t xml:space="preserve">DF </t>
        </is>
      </c>
      <c r="S919" t="n">
        <v>4</v>
      </c>
      <c r="T919" t="n">
        <v>4</v>
      </c>
      <c r="U919" t="inlineStr">
        <is>
          <t>2005-06-17</t>
        </is>
      </c>
      <c r="V919" t="inlineStr">
        <is>
          <t>2005-06-17</t>
        </is>
      </c>
      <c r="W919" t="inlineStr">
        <is>
          <t>1992-06-29</t>
        </is>
      </c>
      <c r="X919" t="inlineStr">
        <is>
          <t>1992-06-29</t>
        </is>
      </c>
      <c r="Y919" t="n">
        <v>31</v>
      </c>
      <c r="Z919" t="n">
        <v>26</v>
      </c>
      <c r="AA919" t="n">
        <v>789</v>
      </c>
      <c r="AB919" t="n">
        <v>1</v>
      </c>
      <c r="AC919" t="n">
        <v>6</v>
      </c>
      <c r="AD919" t="n">
        <v>2</v>
      </c>
      <c r="AE919" t="n">
        <v>41</v>
      </c>
      <c r="AF919" t="n">
        <v>1</v>
      </c>
      <c r="AG919" t="n">
        <v>15</v>
      </c>
      <c r="AH919" t="n">
        <v>0</v>
      </c>
      <c r="AI919" t="n">
        <v>10</v>
      </c>
      <c r="AJ919" t="n">
        <v>1</v>
      </c>
      <c r="AK919" t="n">
        <v>21</v>
      </c>
      <c r="AL919" t="n">
        <v>0</v>
      </c>
      <c r="AM919" t="n">
        <v>5</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HYPERLINK("https://creighton-primo.hosted.exlibrisgroup.com/primo-explore/search?tab=default_tab&amp;search_scope=EVERYTHING&amp;vid=01CRU&amp;lang=en_US&amp;offset=0&amp;query=any,contains,991001760349702656","Catalog Record")</f>
        <v/>
      </c>
      <c r="AT919">
        <f>HYPERLINK("http://www.worldcat.org/oclc/22266519","WorldCat Record")</f>
        <v/>
      </c>
      <c r="AU919" t="inlineStr">
        <is>
          <t>575744:eng</t>
        </is>
      </c>
      <c r="AV919" t="inlineStr">
        <is>
          <t>22266519</t>
        </is>
      </c>
      <c r="AW919" t="inlineStr">
        <is>
          <t>991001760349702656</t>
        </is>
      </c>
      <c r="AX919" t="inlineStr">
        <is>
          <t>991001760349702656</t>
        </is>
      </c>
      <c r="AY919" t="inlineStr">
        <is>
          <t>2260212120002656</t>
        </is>
      </c>
      <c r="AZ919" t="inlineStr">
        <is>
          <t>BOOK</t>
        </is>
      </c>
      <c r="BB919" t="inlineStr">
        <is>
          <t>9780521387613</t>
        </is>
      </c>
      <c r="BC919" t="inlineStr">
        <is>
          <t>32285001156404</t>
        </is>
      </c>
      <c r="BD919" t="inlineStr">
        <is>
          <t>893346754</t>
        </is>
      </c>
    </row>
    <row r="920">
      <c r="A920" t="inlineStr">
        <is>
          <t>No</t>
        </is>
      </c>
      <c r="B920" t="inlineStr">
        <is>
          <t>DF78 .M84</t>
        </is>
      </c>
      <c r="C920" t="inlineStr">
        <is>
          <t>0                      DF 0078000M  84</t>
        </is>
      </c>
      <c r="D920" t="inlineStr">
        <is>
          <t>The Muses at work : arts, crafts, and professions in ancient Greece and Rome / edited by Carl Roebuck.</t>
        </is>
      </c>
      <c r="F920" t="inlineStr">
        <is>
          <t>No</t>
        </is>
      </c>
      <c r="G920" t="inlineStr">
        <is>
          <t>1</t>
        </is>
      </c>
      <c r="H920" t="inlineStr">
        <is>
          <t>No</t>
        </is>
      </c>
      <c r="I920" t="inlineStr">
        <is>
          <t>No</t>
        </is>
      </c>
      <c r="J920" t="inlineStr">
        <is>
          <t>0</t>
        </is>
      </c>
      <c r="L920" t="inlineStr">
        <is>
          <t>Cambridge, Mass. : MIT Press, [1969]</t>
        </is>
      </c>
      <c r="M920" t="inlineStr">
        <is>
          <t>1969</t>
        </is>
      </c>
      <c r="O920" t="inlineStr">
        <is>
          <t>eng</t>
        </is>
      </c>
      <c r="P920" t="inlineStr">
        <is>
          <t>mau</t>
        </is>
      </c>
      <c r="R920" t="inlineStr">
        <is>
          <t xml:space="preserve">DF </t>
        </is>
      </c>
      <c r="S920" t="n">
        <v>8</v>
      </c>
      <c r="T920" t="n">
        <v>8</v>
      </c>
      <c r="U920" t="inlineStr">
        <is>
          <t>2003-03-25</t>
        </is>
      </c>
      <c r="V920" t="inlineStr">
        <is>
          <t>2003-03-25</t>
        </is>
      </c>
      <c r="W920" t="inlineStr">
        <is>
          <t>1994-09-27</t>
        </is>
      </c>
      <c r="X920" t="inlineStr">
        <is>
          <t>1994-09-27</t>
        </is>
      </c>
      <c r="Y920" t="n">
        <v>1133</v>
      </c>
      <c r="Z920" t="n">
        <v>976</v>
      </c>
      <c r="AA920" t="n">
        <v>983</v>
      </c>
      <c r="AB920" t="n">
        <v>8</v>
      </c>
      <c r="AC920" t="n">
        <v>8</v>
      </c>
      <c r="AD920" t="n">
        <v>37</v>
      </c>
      <c r="AE920" t="n">
        <v>37</v>
      </c>
      <c r="AF920" t="n">
        <v>14</v>
      </c>
      <c r="AG920" t="n">
        <v>14</v>
      </c>
      <c r="AH920" t="n">
        <v>8</v>
      </c>
      <c r="AI920" t="n">
        <v>8</v>
      </c>
      <c r="AJ920" t="n">
        <v>16</v>
      </c>
      <c r="AK920" t="n">
        <v>16</v>
      </c>
      <c r="AL920" t="n">
        <v>7</v>
      </c>
      <c r="AM920" t="n">
        <v>7</v>
      </c>
      <c r="AN920" t="n">
        <v>0</v>
      </c>
      <c r="AO920" t="n">
        <v>0</v>
      </c>
      <c r="AP920" t="inlineStr">
        <is>
          <t>No</t>
        </is>
      </c>
      <c r="AQ920" t="inlineStr">
        <is>
          <t>Yes</t>
        </is>
      </c>
      <c r="AR920">
        <f>HYPERLINK("http://catalog.hathitrust.org/Record/000570352","HathiTrust Record")</f>
        <v/>
      </c>
      <c r="AS920">
        <f>HYPERLINK("https://creighton-primo.hosted.exlibrisgroup.com/primo-explore/search?tab=default_tab&amp;search_scope=EVERYTHING&amp;vid=01CRU&amp;lang=en_US&amp;offset=0&amp;query=any,contains,991000131869702656","Catalog Record")</f>
        <v/>
      </c>
      <c r="AT920">
        <f>HYPERLINK("http://www.worldcat.org/oclc/54529","WorldCat Record")</f>
        <v/>
      </c>
      <c r="AU920" t="inlineStr">
        <is>
          <t>836640741:eng</t>
        </is>
      </c>
      <c r="AV920" t="inlineStr">
        <is>
          <t>54529</t>
        </is>
      </c>
      <c r="AW920" t="inlineStr">
        <is>
          <t>991000131869702656</t>
        </is>
      </c>
      <c r="AX920" t="inlineStr">
        <is>
          <t>991000131869702656</t>
        </is>
      </c>
      <c r="AY920" t="inlineStr">
        <is>
          <t>2258098070002656</t>
        </is>
      </c>
      <c r="AZ920" t="inlineStr">
        <is>
          <t>BOOK</t>
        </is>
      </c>
      <c r="BB920" t="inlineStr">
        <is>
          <t>9780262180344</t>
        </is>
      </c>
      <c r="BC920" t="inlineStr">
        <is>
          <t>32285001952281</t>
        </is>
      </c>
      <c r="BD920" t="inlineStr">
        <is>
          <t>893425456</t>
        </is>
      </c>
    </row>
    <row r="921">
      <c r="A921" t="inlineStr">
        <is>
          <t>No</t>
        </is>
      </c>
      <c r="B921" t="inlineStr">
        <is>
          <t>DF78 .S23313 2003</t>
        </is>
      </c>
      <c r="C921" t="inlineStr">
        <is>
          <t>0                      DF 0078000S  23313       2003</t>
        </is>
      </c>
      <c r="D921" t="inlineStr">
        <is>
          <t>A guide to Greek thought : major figures and trends / edited by Jacques Brunschwig and Geoffrey E.R. Lloyd ; with the collaboration of Pierre Pellegrin ; translated under the direction of Catherine Porter.</t>
        </is>
      </c>
      <c r="F921" t="inlineStr">
        <is>
          <t>No</t>
        </is>
      </c>
      <c r="G921" t="inlineStr">
        <is>
          <t>1</t>
        </is>
      </c>
      <c r="H921" t="inlineStr">
        <is>
          <t>No</t>
        </is>
      </c>
      <c r="I921" t="inlineStr">
        <is>
          <t>No</t>
        </is>
      </c>
      <c r="J921" t="inlineStr">
        <is>
          <t>0</t>
        </is>
      </c>
      <c r="K921" t="inlineStr">
        <is>
          <t>Savoir grec. Selections. English.</t>
        </is>
      </c>
      <c r="L921" t="inlineStr">
        <is>
          <t>Cambridge, Mass. : Belknap Press of Harvard University Press, 2003.</t>
        </is>
      </c>
      <c r="M921" t="inlineStr">
        <is>
          <t>2003</t>
        </is>
      </c>
      <c r="O921" t="inlineStr">
        <is>
          <t>eng</t>
        </is>
      </c>
      <c r="P921" t="inlineStr">
        <is>
          <t>mau</t>
        </is>
      </c>
      <c r="R921" t="inlineStr">
        <is>
          <t xml:space="preserve">DF </t>
        </is>
      </c>
      <c r="S921" t="n">
        <v>2</v>
      </c>
      <c r="T921" t="n">
        <v>2</v>
      </c>
      <c r="U921" t="inlineStr">
        <is>
          <t>2006-10-05</t>
        </is>
      </c>
      <c r="V921" t="inlineStr">
        <is>
          <t>2006-10-05</t>
        </is>
      </c>
      <c r="W921" t="inlineStr">
        <is>
          <t>2004-09-23</t>
        </is>
      </c>
      <c r="X921" t="inlineStr">
        <is>
          <t>2004-09-23</t>
        </is>
      </c>
      <c r="Y921" t="n">
        <v>181</v>
      </c>
      <c r="Z921" t="n">
        <v>143</v>
      </c>
      <c r="AA921" t="n">
        <v>157</v>
      </c>
      <c r="AB921" t="n">
        <v>1</v>
      </c>
      <c r="AC921" t="n">
        <v>1</v>
      </c>
      <c r="AD921" t="n">
        <v>5</v>
      </c>
      <c r="AE921" t="n">
        <v>5</v>
      </c>
      <c r="AF921" t="n">
        <v>1</v>
      </c>
      <c r="AG921" t="n">
        <v>1</v>
      </c>
      <c r="AH921" t="n">
        <v>2</v>
      </c>
      <c r="AI921" t="n">
        <v>2</v>
      </c>
      <c r="AJ921" t="n">
        <v>3</v>
      </c>
      <c r="AK921" t="n">
        <v>3</v>
      </c>
      <c r="AL921" t="n">
        <v>0</v>
      </c>
      <c r="AM921" t="n">
        <v>0</v>
      </c>
      <c r="AN921" t="n">
        <v>0</v>
      </c>
      <c r="AO921" t="n">
        <v>0</v>
      </c>
      <c r="AP921" t="inlineStr">
        <is>
          <t>No</t>
        </is>
      </c>
      <c r="AQ921" t="inlineStr">
        <is>
          <t>Yes</t>
        </is>
      </c>
      <c r="AR921">
        <f>HYPERLINK("http://catalog.hathitrust.org/Record/102030059","HathiTrust Record")</f>
        <v/>
      </c>
      <c r="AS921">
        <f>HYPERLINK("https://creighton-primo.hosted.exlibrisgroup.com/primo-explore/search?tab=default_tab&amp;search_scope=EVERYTHING&amp;vid=01CRU&amp;lang=en_US&amp;offset=0&amp;query=any,contains,991004367429702656","Catalog Record")</f>
        <v/>
      </c>
      <c r="AT921">
        <f>HYPERLINK("http://www.worldcat.org/oclc/52334808","WorldCat Record")</f>
        <v/>
      </c>
      <c r="AU921" t="inlineStr">
        <is>
          <t>4495027134:eng</t>
        </is>
      </c>
      <c r="AV921" t="inlineStr">
        <is>
          <t>52334808</t>
        </is>
      </c>
      <c r="AW921" t="inlineStr">
        <is>
          <t>991004367429702656</t>
        </is>
      </c>
      <c r="AX921" t="inlineStr">
        <is>
          <t>991004367429702656</t>
        </is>
      </c>
      <c r="AY921" t="inlineStr">
        <is>
          <t>2256658250002656</t>
        </is>
      </c>
      <c r="AZ921" t="inlineStr">
        <is>
          <t>BOOK</t>
        </is>
      </c>
      <c r="BB921" t="inlineStr">
        <is>
          <t>9780674021563</t>
        </is>
      </c>
      <c r="BC921" t="inlineStr">
        <is>
          <t>32285004988621</t>
        </is>
      </c>
      <c r="BD921" t="inlineStr">
        <is>
          <t>893693860</t>
        </is>
      </c>
    </row>
    <row r="922">
      <c r="A922" t="inlineStr">
        <is>
          <t>No</t>
        </is>
      </c>
      <c r="B922" t="inlineStr">
        <is>
          <t>DF78 .S2813 2000</t>
        </is>
      </c>
      <c r="C922" t="inlineStr">
        <is>
          <t>0                      DF 0078000S  2813        2000</t>
        </is>
      </c>
      <c r="D922" t="inlineStr">
        <is>
          <t>Greek thought : a guide to classical knowledge / edited by Jacques Brunschwig and Geoffrey E.R. Lloyd, with the collaboration of Pierre Pellegrin ; translated under the direction of Catherine Porter.</t>
        </is>
      </c>
      <c r="F922" t="inlineStr">
        <is>
          <t>No</t>
        </is>
      </c>
      <c r="G922" t="inlineStr">
        <is>
          <t>1</t>
        </is>
      </c>
      <c r="H922" t="inlineStr">
        <is>
          <t>No</t>
        </is>
      </c>
      <c r="I922" t="inlineStr">
        <is>
          <t>No</t>
        </is>
      </c>
      <c r="J922" t="inlineStr">
        <is>
          <t>0</t>
        </is>
      </c>
      <c r="K922" t="inlineStr">
        <is>
          <t>Savoir grec. English.</t>
        </is>
      </c>
      <c r="L922" t="inlineStr">
        <is>
          <t>Cambridge, Mass. : Belknap Press of Harvard University Press, 2000.</t>
        </is>
      </c>
      <c r="M922" t="inlineStr">
        <is>
          <t>2000</t>
        </is>
      </c>
      <c r="O922" t="inlineStr">
        <is>
          <t>eng</t>
        </is>
      </c>
      <c r="P922" t="inlineStr">
        <is>
          <t>mau</t>
        </is>
      </c>
      <c r="Q922" t="inlineStr">
        <is>
          <t>Harvard University Press reference library</t>
        </is>
      </c>
      <c r="R922" t="inlineStr">
        <is>
          <t xml:space="preserve">DF </t>
        </is>
      </c>
      <c r="S922" t="n">
        <v>7</v>
      </c>
      <c r="T922" t="n">
        <v>7</v>
      </c>
      <c r="U922" t="inlineStr">
        <is>
          <t>2007-08-14</t>
        </is>
      </c>
      <c r="V922" t="inlineStr">
        <is>
          <t>2007-08-14</t>
        </is>
      </c>
      <c r="W922" t="inlineStr">
        <is>
          <t>2001-03-01</t>
        </is>
      </c>
      <c r="X922" t="inlineStr">
        <is>
          <t>2001-03-01</t>
        </is>
      </c>
      <c r="Y922" t="n">
        <v>1309</v>
      </c>
      <c r="Z922" t="n">
        <v>1121</v>
      </c>
      <c r="AA922" t="n">
        <v>1124</v>
      </c>
      <c r="AB922" t="n">
        <v>10</v>
      </c>
      <c r="AC922" t="n">
        <v>10</v>
      </c>
      <c r="AD922" t="n">
        <v>48</v>
      </c>
      <c r="AE922" t="n">
        <v>48</v>
      </c>
      <c r="AF922" t="n">
        <v>20</v>
      </c>
      <c r="AG922" t="n">
        <v>20</v>
      </c>
      <c r="AH922" t="n">
        <v>10</v>
      </c>
      <c r="AI922" t="n">
        <v>10</v>
      </c>
      <c r="AJ922" t="n">
        <v>20</v>
      </c>
      <c r="AK922" t="n">
        <v>20</v>
      </c>
      <c r="AL922" t="n">
        <v>8</v>
      </c>
      <c r="AM922" t="n">
        <v>8</v>
      </c>
      <c r="AN922" t="n">
        <v>1</v>
      </c>
      <c r="AO922" t="n">
        <v>1</v>
      </c>
      <c r="AP922" t="inlineStr">
        <is>
          <t>No</t>
        </is>
      </c>
      <c r="AQ922" t="inlineStr">
        <is>
          <t>Yes</t>
        </is>
      </c>
      <c r="AR922">
        <f>HYPERLINK("http://catalog.hathitrust.org/Record/004134437","HathiTrust Record")</f>
        <v/>
      </c>
      <c r="AS922">
        <f>HYPERLINK("https://creighton-primo.hosted.exlibrisgroup.com/primo-explore/search?tab=default_tab&amp;search_scope=EVERYTHING&amp;vid=01CRU&amp;lang=en_US&amp;offset=0&amp;query=any,contains,991003467949702656","Catalog Record")</f>
        <v/>
      </c>
      <c r="AT922">
        <f>HYPERLINK("http://www.worldcat.org/oclc/43859429","WorldCat Record")</f>
        <v/>
      </c>
      <c r="AU922" t="inlineStr">
        <is>
          <t>2945980222:eng</t>
        </is>
      </c>
      <c r="AV922" t="inlineStr">
        <is>
          <t>43859429</t>
        </is>
      </c>
      <c r="AW922" t="inlineStr">
        <is>
          <t>991003467949702656</t>
        </is>
      </c>
      <c r="AX922" t="inlineStr">
        <is>
          <t>991003467949702656</t>
        </is>
      </c>
      <c r="AY922" t="inlineStr">
        <is>
          <t>2270873180002656</t>
        </is>
      </c>
      <c r="AZ922" t="inlineStr">
        <is>
          <t>BOOK</t>
        </is>
      </c>
      <c r="BB922" t="inlineStr">
        <is>
          <t>9780674002616</t>
        </is>
      </c>
      <c r="BC922" t="inlineStr">
        <is>
          <t>32285004298534</t>
        </is>
      </c>
      <c r="BD922" t="inlineStr">
        <is>
          <t>893410298</t>
        </is>
      </c>
    </row>
    <row r="923">
      <c r="A923" t="inlineStr">
        <is>
          <t>No</t>
        </is>
      </c>
      <c r="B923" t="inlineStr">
        <is>
          <t>DF78 .S43</t>
        </is>
      </c>
      <c r="C923" t="inlineStr">
        <is>
          <t>0                      DF 0078000S  43</t>
        </is>
      </c>
      <c r="D923" t="inlineStr">
        <is>
          <t>India and the Greek world : a study in the transmission of culture / Jean W. Sedlar.</t>
        </is>
      </c>
      <c r="F923" t="inlineStr">
        <is>
          <t>No</t>
        </is>
      </c>
      <c r="G923" t="inlineStr">
        <is>
          <t>1</t>
        </is>
      </c>
      <c r="H923" t="inlineStr">
        <is>
          <t>No</t>
        </is>
      </c>
      <c r="I923" t="inlineStr">
        <is>
          <t>No</t>
        </is>
      </c>
      <c r="J923" t="inlineStr">
        <is>
          <t>0</t>
        </is>
      </c>
      <c r="K923" t="inlineStr">
        <is>
          <t>Sedlar, Jean W.</t>
        </is>
      </c>
      <c r="L923" t="inlineStr">
        <is>
          <t>Totowa, N.J. : Rowman &amp; Littlefield, c1980.</t>
        </is>
      </c>
      <c r="M923" t="inlineStr">
        <is>
          <t>1980</t>
        </is>
      </c>
      <c r="O923" t="inlineStr">
        <is>
          <t>eng</t>
        </is>
      </c>
      <c r="P923" t="inlineStr">
        <is>
          <t>nju</t>
        </is>
      </c>
      <c r="R923" t="inlineStr">
        <is>
          <t xml:space="preserve">DF </t>
        </is>
      </c>
      <c r="S923" t="n">
        <v>1</v>
      </c>
      <c r="T923" t="n">
        <v>1</v>
      </c>
      <c r="U923" t="inlineStr">
        <is>
          <t>2006-10-05</t>
        </is>
      </c>
      <c r="V923" t="inlineStr">
        <is>
          <t>2006-10-05</t>
        </is>
      </c>
      <c r="W923" t="inlineStr">
        <is>
          <t>1991-02-14</t>
        </is>
      </c>
      <c r="X923" t="inlineStr">
        <is>
          <t>1991-02-14</t>
        </is>
      </c>
      <c r="Y923" t="n">
        <v>373</v>
      </c>
      <c r="Z923" t="n">
        <v>286</v>
      </c>
      <c r="AA923" t="n">
        <v>288</v>
      </c>
      <c r="AB923" t="n">
        <v>2</v>
      </c>
      <c r="AC923" t="n">
        <v>2</v>
      </c>
      <c r="AD923" t="n">
        <v>16</v>
      </c>
      <c r="AE923" t="n">
        <v>16</v>
      </c>
      <c r="AF923" t="n">
        <v>4</v>
      </c>
      <c r="AG923" t="n">
        <v>4</v>
      </c>
      <c r="AH923" t="n">
        <v>8</v>
      </c>
      <c r="AI923" t="n">
        <v>8</v>
      </c>
      <c r="AJ923" t="n">
        <v>8</v>
      </c>
      <c r="AK923" t="n">
        <v>8</v>
      </c>
      <c r="AL923" t="n">
        <v>1</v>
      </c>
      <c r="AM923" t="n">
        <v>1</v>
      </c>
      <c r="AN923" t="n">
        <v>0</v>
      </c>
      <c r="AO923" t="n">
        <v>0</v>
      </c>
      <c r="AP923" t="inlineStr">
        <is>
          <t>No</t>
        </is>
      </c>
      <c r="AQ923" t="inlineStr">
        <is>
          <t>Yes</t>
        </is>
      </c>
      <c r="AR923">
        <f>HYPERLINK("http://catalog.hathitrust.org/Record/000682503","HathiTrust Record")</f>
        <v/>
      </c>
      <c r="AS923">
        <f>HYPERLINK("https://creighton-primo.hosted.exlibrisgroup.com/primo-explore/search?tab=default_tab&amp;search_scope=EVERYTHING&amp;vid=01CRU&amp;lang=en_US&amp;offset=0&amp;query=any,contains,991004712949702656","Catalog Record")</f>
        <v/>
      </c>
      <c r="AT923">
        <f>HYPERLINK("http://www.worldcat.org/oclc/4774904","WorldCat Record")</f>
        <v/>
      </c>
      <c r="AU923" t="inlineStr">
        <is>
          <t>319487575:eng</t>
        </is>
      </c>
      <c r="AV923" t="inlineStr">
        <is>
          <t>4774904</t>
        </is>
      </c>
      <c r="AW923" t="inlineStr">
        <is>
          <t>991004712949702656</t>
        </is>
      </c>
      <c r="AX923" t="inlineStr">
        <is>
          <t>991004712949702656</t>
        </is>
      </c>
      <c r="AY923" t="inlineStr">
        <is>
          <t>2256836120002656</t>
        </is>
      </c>
      <c r="AZ923" t="inlineStr">
        <is>
          <t>BOOK</t>
        </is>
      </c>
      <c r="BB923" t="inlineStr">
        <is>
          <t>9780847661732</t>
        </is>
      </c>
      <c r="BC923" t="inlineStr">
        <is>
          <t>32285000458959</t>
        </is>
      </c>
      <c r="BD923" t="inlineStr">
        <is>
          <t>893889174</t>
        </is>
      </c>
    </row>
    <row r="924">
      <c r="A924" t="inlineStr">
        <is>
          <t>No</t>
        </is>
      </c>
      <c r="B924" t="inlineStr">
        <is>
          <t>DF78 .T53 2000</t>
        </is>
      </c>
      <c r="C924" t="inlineStr">
        <is>
          <t>0                      DF 0078000T  53          2000</t>
        </is>
      </c>
      <c r="D924" t="inlineStr">
        <is>
          <t>Greek ways : how the Greeks created western civilization / Bruce Thornton.</t>
        </is>
      </c>
      <c r="F924" t="inlineStr">
        <is>
          <t>No</t>
        </is>
      </c>
      <c r="G924" t="inlineStr">
        <is>
          <t>1</t>
        </is>
      </c>
      <c r="H924" t="inlineStr">
        <is>
          <t>No</t>
        </is>
      </c>
      <c r="I924" t="inlineStr">
        <is>
          <t>No</t>
        </is>
      </c>
      <c r="J924" t="inlineStr">
        <is>
          <t>0</t>
        </is>
      </c>
      <c r="K924" t="inlineStr">
        <is>
          <t>Thornton, Bruce S.</t>
        </is>
      </c>
      <c r="L924" t="inlineStr">
        <is>
          <t>San Francisco : Encounter Books, 2000.</t>
        </is>
      </c>
      <c r="M924" t="inlineStr">
        <is>
          <t>2000</t>
        </is>
      </c>
      <c r="O924" t="inlineStr">
        <is>
          <t>eng</t>
        </is>
      </c>
      <c r="P924" t="inlineStr">
        <is>
          <t>cau</t>
        </is>
      </c>
      <c r="R924" t="inlineStr">
        <is>
          <t xml:space="preserve">DF </t>
        </is>
      </c>
      <c r="S924" t="n">
        <v>1</v>
      </c>
      <c r="T924" t="n">
        <v>1</v>
      </c>
      <c r="U924" t="inlineStr">
        <is>
          <t>2001-03-27</t>
        </is>
      </c>
      <c r="V924" t="inlineStr">
        <is>
          <t>2001-03-27</t>
        </is>
      </c>
      <c r="W924" t="inlineStr">
        <is>
          <t>2001-03-27</t>
        </is>
      </c>
      <c r="X924" t="inlineStr">
        <is>
          <t>2001-03-27</t>
        </is>
      </c>
      <c r="Y924" t="n">
        <v>538</v>
      </c>
      <c r="Z924" t="n">
        <v>480</v>
      </c>
      <c r="AA924" t="n">
        <v>512</v>
      </c>
      <c r="AB924" t="n">
        <v>4</v>
      </c>
      <c r="AC924" t="n">
        <v>6</v>
      </c>
      <c r="AD924" t="n">
        <v>16</v>
      </c>
      <c r="AE924" t="n">
        <v>18</v>
      </c>
      <c r="AF924" t="n">
        <v>4</v>
      </c>
      <c r="AG924" t="n">
        <v>4</v>
      </c>
      <c r="AH924" t="n">
        <v>6</v>
      </c>
      <c r="AI924" t="n">
        <v>6</v>
      </c>
      <c r="AJ924" t="n">
        <v>9</v>
      </c>
      <c r="AK924" t="n">
        <v>9</v>
      </c>
      <c r="AL924" t="n">
        <v>2</v>
      </c>
      <c r="AM924" t="n">
        <v>4</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HYPERLINK("https://creighton-primo.hosted.exlibrisgroup.com/primo-explore/search?tab=default_tab&amp;search_scope=EVERYTHING&amp;vid=01CRU&amp;lang=en_US&amp;offset=0&amp;query=any,contains,991003486519702656","Catalog Record")</f>
        <v/>
      </c>
      <c r="AT924">
        <f>HYPERLINK("http://www.worldcat.org/oclc/43859586","WorldCat Record")</f>
        <v/>
      </c>
      <c r="AU924" t="inlineStr">
        <is>
          <t>197488495:eng</t>
        </is>
      </c>
      <c r="AV924" t="inlineStr">
        <is>
          <t>43859586</t>
        </is>
      </c>
      <c r="AW924" t="inlineStr">
        <is>
          <t>991003486519702656</t>
        </is>
      </c>
      <c r="AX924" t="inlineStr">
        <is>
          <t>991003486519702656</t>
        </is>
      </c>
      <c r="AY924" t="inlineStr">
        <is>
          <t>2268002570002656</t>
        </is>
      </c>
      <c r="AZ924" t="inlineStr">
        <is>
          <t>BOOK</t>
        </is>
      </c>
      <c r="BB924" t="inlineStr">
        <is>
          <t>9781893554030</t>
        </is>
      </c>
      <c r="BC924" t="inlineStr">
        <is>
          <t>32285004307780</t>
        </is>
      </c>
      <c r="BD924" t="inlineStr">
        <is>
          <t>893428836</t>
        </is>
      </c>
    </row>
    <row r="925">
      <c r="A925" t="inlineStr">
        <is>
          <t>No</t>
        </is>
      </c>
      <c r="B925" t="inlineStr">
        <is>
          <t>DF78 .T61 1974</t>
        </is>
      </c>
      <c r="C925" t="inlineStr">
        <is>
          <t>0                      DF 0078000T  61          1974</t>
        </is>
      </c>
      <c r="D925" t="inlineStr">
        <is>
          <t>Sidelights on Greek history : three lectures on the light thrown by Greek inscriptions on the life and thought of the ancient world / Marcus N. Tod.</t>
        </is>
      </c>
      <c r="F925" t="inlineStr">
        <is>
          <t>No</t>
        </is>
      </c>
      <c r="G925" t="inlineStr">
        <is>
          <t>1</t>
        </is>
      </c>
      <c r="H925" t="inlineStr">
        <is>
          <t>No</t>
        </is>
      </c>
      <c r="I925" t="inlineStr">
        <is>
          <t>No</t>
        </is>
      </c>
      <c r="J925" t="inlineStr">
        <is>
          <t>0</t>
        </is>
      </c>
      <c r="K925" t="inlineStr">
        <is>
          <t>Tod, Marcus Niebuhr, 1878-1974.</t>
        </is>
      </c>
      <c r="L925" t="inlineStr">
        <is>
          <t>Chicago : Ares Pub. Co., 1974.</t>
        </is>
      </c>
      <c r="M925" t="inlineStr">
        <is>
          <t>1974</t>
        </is>
      </c>
      <c r="O925" t="inlineStr">
        <is>
          <t>eng</t>
        </is>
      </c>
      <c r="P925" t="inlineStr">
        <is>
          <t>___</t>
        </is>
      </c>
      <c r="R925" t="inlineStr">
        <is>
          <t xml:space="preserve">DF </t>
        </is>
      </c>
      <c r="S925" t="n">
        <v>4</v>
      </c>
      <c r="T925" t="n">
        <v>4</v>
      </c>
      <c r="U925" t="inlineStr">
        <is>
          <t>1997-01-19</t>
        </is>
      </c>
      <c r="V925" t="inlineStr">
        <is>
          <t>1997-01-19</t>
        </is>
      </c>
      <c r="W925" t="inlineStr">
        <is>
          <t>1991-02-14</t>
        </is>
      </c>
      <c r="X925" t="inlineStr">
        <is>
          <t>1991-02-14</t>
        </is>
      </c>
      <c r="Y925" t="n">
        <v>139</v>
      </c>
      <c r="Z925" t="n">
        <v>115</v>
      </c>
      <c r="AA925" t="n">
        <v>118</v>
      </c>
      <c r="AB925" t="n">
        <v>1</v>
      </c>
      <c r="AC925" t="n">
        <v>1</v>
      </c>
      <c r="AD925" t="n">
        <v>7</v>
      </c>
      <c r="AE925" t="n">
        <v>7</v>
      </c>
      <c r="AF925" t="n">
        <v>2</v>
      </c>
      <c r="AG925" t="n">
        <v>2</v>
      </c>
      <c r="AH925" t="n">
        <v>2</v>
      </c>
      <c r="AI925" t="n">
        <v>2</v>
      </c>
      <c r="AJ925" t="n">
        <v>5</v>
      </c>
      <c r="AK925" t="n">
        <v>5</v>
      </c>
      <c r="AL925" t="n">
        <v>0</v>
      </c>
      <c r="AM925" t="n">
        <v>0</v>
      </c>
      <c r="AN925" t="n">
        <v>0</v>
      </c>
      <c r="AO925" t="n">
        <v>0</v>
      </c>
      <c r="AP925" t="inlineStr">
        <is>
          <t>No</t>
        </is>
      </c>
      <c r="AQ925" t="inlineStr">
        <is>
          <t>Yes</t>
        </is>
      </c>
      <c r="AR925">
        <f>HYPERLINK("http://catalog.hathitrust.org/Record/009522168","HathiTrust Record")</f>
        <v/>
      </c>
      <c r="AS925">
        <f>HYPERLINK("https://creighton-primo.hosted.exlibrisgroup.com/primo-explore/search?tab=default_tab&amp;search_scope=EVERYTHING&amp;vid=01CRU&amp;lang=en_US&amp;offset=0&amp;query=any,contains,991003743989702656","Catalog Record")</f>
        <v/>
      </c>
      <c r="AT925">
        <f>HYPERLINK("http://www.worldcat.org/oclc/1411983","WorldCat Record")</f>
        <v/>
      </c>
      <c r="AU925" t="inlineStr">
        <is>
          <t>796652531:eng</t>
        </is>
      </c>
      <c r="AV925" t="inlineStr">
        <is>
          <t>1411983</t>
        </is>
      </c>
      <c r="AW925" t="inlineStr">
        <is>
          <t>991003743989702656</t>
        </is>
      </c>
      <c r="AX925" t="inlineStr">
        <is>
          <t>991003743989702656</t>
        </is>
      </c>
      <c r="AY925" t="inlineStr">
        <is>
          <t>2256786820002656</t>
        </is>
      </c>
      <c r="AZ925" t="inlineStr">
        <is>
          <t>BOOK</t>
        </is>
      </c>
      <c r="BB925" t="inlineStr">
        <is>
          <t>9780890050392</t>
        </is>
      </c>
      <c r="BC925" t="inlineStr">
        <is>
          <t>32285000458967</t>
        </is>
      </c>
      <c r="BD925" t="inlineStr">
        <is>
          <t>893605153</t>
        </is>
      </c>
    </row>
    <row r="926">
      <c r="A926" t="inlineStr">
        <is>
          <t>No</t>
        </is>
      </c>
      <c r="B926" t="inlineStr">
        <is>
          <t>DF78 .V4813</t>
        </is>
      </c>
      <c r="C926" t="inlineStr">
        <is>
          <t>0                      DF 0078000V  4813</t>
        </is>
      </c>
      <c r="D926" t="inlineStr">
        <is>
          <t>The origins of Greek thought / Jean-Pierre Vernant.</t>
        </is>
      </c>
      <c r="F926" t="inlineStr">
        <is>
          <t>No</t>
        </is>
      </c>
      <c r="G926" t="inlineStr">
        <is>
          <t>1</t>
        </is>
      </c>
      <c r="H926" t="inlineStr">
        <is>
          <t>No</t>
        </is>
      </c>
      <c r="I926" t="inlineStr">
        <is>
          <t>No</t>
        </is>
      </c>
      <c r="J926" t="inlineStr">
        <is>
          <t>0</t>
        </is>
      </c>
      <c r="K926" t="inlineStr">
        <is>
          <t>Vernant, Jean-Pierre, 1914-2007.</t>
        </is>
      </c>
      <c r="L926" t="inlineStr">
        <is>
          <t>Ithaca : Cornell University Press, 1982.</t>
        </is>
      </c>
      <c r="M926" t="inlineStr">
        <is>
          <t>1982</t>
        </is>
      </c>
      <c r="O926" t="inlineStr">
        <is>
          <t>eng</t>
        </is>
      </c>
      <c r="P926" t="inlineStr">
        <is>
          <t>nyu</t>
        </is>
      </c>
      <c r="R926" t="inlineStr">
        <is>
          <t xml:space="preserve">DF </t>
        </is>
      </c>
      <c r="S926" t="n">
        <v>5</v>
      </c>
      <c r="T926" t="n">
        <v>5</v>
      </c>
      <c r="U926" t="inlineStr">
        <is>
          <t>2004-01-13</t>
        </is>
      </c>
      <c r="V926" t="inlineStr">
        <is>
          <t>2004-01-13</t>
        </is>
      </c>
      <c r="W926" t="inlineStr">
        <is>
          <t>1991-02-14</t>
        </is>
      </c>
      <c r="X926" t="inlineStr">
        <is>
          <t>1991-02-14</t>
        </is>
      </c>
      <c r="Y926" t="n">
        <v>758</v>
      </c>
      <c r="Z926" t="n">
        <v>660</v>
      </c>
      <c r="AA926" t="n">
        <v>695</v>
      </c>
      <c r="AB926" t="n">
        <v>5</v>
      </c>
      <c r="AC926" t="n">
        <v>5</v>
      </c>
      <c r="AD926" t="n">
        <v>37</v>
      </c>
      <c r="AE926" t="n">
        <v>40</v>
      </c>
      <c r="AF926" t="n">
        <v>14</v>
      </c>
      <c r="AG926" t="n">
        <v>16</v>
      </c>
      <c r="AH926" t="n">
        <v>10</v>
      </c>
      <c r="AI926" t="n">
        <v>11</v>
      </c>
      <c r="AJ926" t="n">
        <v>19</v>
      </c>
      <c r="AK926" t="n">
        <v>21</v>
      </c>
      <c r="AL926" t="n">
        <v>4</v>
      </c>
      <c r="AM926" t="n">
        <v>4</v>
      </c>
      <c r="AN926" t="n">
        <v>0</v>
      </c>
      <c r="AO926" t="n">
        <v>0</v>
      </c>
      <c r="AP926" t="inlineStr">
        <is>
          <t>No</t>
        </is>
      </c>
      <c r="AQ926" t="inlineStr">
        <is>
          <t>Yes</t>
        </is>
      </c>
      <c r="AR926">
        <f>HYPERLINK("http://catalog.hathitrust.org/Record/000305552","HathiTrust Record")</f>
        <v/>
      </c>
      <c r="AS926">
        <f>HYPERLINK("https://creighton-primo.hosted.exlibrisgroup.com/primo-explore/search?tab=default_tab&amp;search_scope=EVERYTHING&amp;vid=01CRU&amp;lang=en_US&amp;offset=0&amp;query=any,contains,991005168869702656","Catalog Record")</f>
        <v/>
      </c>
      <c r="AT926">
        <f>HYPERLINK("http://www.worldcat.org/oclc/7837696","WorldCat Record")</f>
        <v/>
      </c>
      <c r="AU926" t="inlineStr">
        <is>
          <t>3372161962:eng</t>
        </is>
      </c>
      <c r="AV926" t="inlineStr">
        <is>
          <t>7837696</t>
        </is>
      </c>
      <c r="AW926" t="inlineStr">
        <is>
          <t>991005168869702656</t>
        </is>
      </c>
      <c r="AX926" t="inlineStr">
        <is>
          <t>991005168869702656</t>
        </is>
      </c>
      <c r="AY926" t="inlineStr">
        <is>
          <t>2256988000002656</t>
        </is>
      </c>
      <c r="AZ926" t="inlineStr">
        <is>
          <t>BOOK</t>
        </is>
      </c>
      <c r="BB926" t="inlineStr">
        <is>
          <t>9780801410048</t>
        </is>
      </c>
      <c r="BC926" t="inlineStr">
        <is>
          <t>32285000458983</t>
        </is>
      </c>
      <c r="BD926" t="inlineStr">
        <is>
          <t>893418492</t>
        </is>
      </c>
    </row>
    <row r="927">
      <c r="A927" t="inlineStr">
        <is>
          <t>No</t>
        </is>
      </c>
      <c r="B927" t="inlineStr">
        <is>
          <t>DF78 .V5313 1986</t>
        </is>
      </c>
      <c r="C927" t="inlineStr">
        <is>
          <t>0                      DF 0078000V  5313        1986</t>
        </is>
      </c>
      <c r="D927" t="inlineStr">
        <is>
          <t>The black hunter : forms of thought and forms of society in the Greek world / Pierre Vidal-Naquet ; translated by Andrew Szegedy-Maszak ; with a foreword by Bernard Knox.</t>
        </is>
      </c>
      <c r="F927" t="inlineStr">
        <is>
          <t>No</t>
        </is>
      </c>
      <c r="G927" t="inlineStr">
        <is>
          <t>1</t>
        </is>
      </c>
      <c r="H927" t="inlineStr">
        <is>
          <t>No</t>
        </is>
      </c>
      <c r="I927" t="inlineStr">
        <is>
          <t>No</t>
        </is>
      </c>
      <c r="J927" t="inlineStr">
        <is>
          <t>0</t>
        </is>
      </c>
      <c r="K927" t="inlineStr">
        <is>
          <t>Vidal-Naquet, Pierre, 1930-2006.</t>
        </is>
      </c>
      <c r="L927" t="inlineStr">
        <is>
          <t>Baltimore : Johns Hopkins University Press, c1986.</t>
        </is>
      </c>
      <c r="M927" t="inlineStr">
        <is>
          <t>1986</t>
        </is>
      </c>
      <c r="O927" t="inlineStr">
        <is>
          <t>eng</t>
        </is>
      </c>
      <c r="P927" t="inlineStr">
        <is>
          <t>mdu</t>
        </is>
      </c>
      <c r="R927" t="inlineStr">
        <is>
          <t xml:space="preserve">DF </t>
        </is>
      </c>
      <c r="S927" t="n">
        <v>2</v>
      </c>
      <c r="T927" t="n">
        <v>2</v>
      </c>
      <c r="U927" t="inlineStr">
        <is>
          <t>2003-01-30</t>
        </is>
      </c>
      <c r="V927" t="inlineStr">
        <is>
          <t>2003-01-30</t>
        </is>
      </c>
      <c r="W927" t="inlineStr">
        <is>
          <t>1991-02-14</t>
        </is>
      </c>
      <c r="X927" t="inlineStr">
        <is>
          <t>1991-02-14</t>
        </is>
      </c>
      <c r="Y927" t="n">
        <v>574</v>
      </c>
      <c r="Z927" t="n">
        <v>454</v>
      </c>
      <c r="AA927" t="n">
        <v>456</v>
      </c>
      <c r="AB927" t="n">
        <v>4</v>
      </c>
      <c r="AC927" t="n">
        <v>4</v>
      </c>
      <c r="AD927" t="n">
        <v>28</v>
      </c>
      <c r="AE927" t="n">
        <v>28</v>
      </c>
      <c r="AF927" t="n">
        <v>8</v>
      </c>
      <c r="AG927" t="n">
        <v>8</v>
      </c>
      <c r="AH927" t="n">
        <v>8</v>
      </c>
      <c r="AI927" t="n">
        <v>8</v>
      </c>
      <c r="AJ927" t="n">
        <v>18</v>
      </c>
      <c r="AK927" t="n">
        <v>18</v>
      </c>
      <c r="AL927" t="n">
        <v>3</v>
      </c>
      <c r="AM927" t="n">
        <v>3</v>
      </c>
      <c r="AN927" t="n">
        <v>0</v>
      </c>
      <c r="AO927" t="n">
        <v>0</v>
      </c>
      <c r="AP927" t="inlineStr">
        <is>
          <t>No</t>
        </is>
      </c>
      <c r="AQ927" t="inlineStr">
        <is>
          <t>Yes</t>
        </is>
      </c>
      <c r="AR927">
        <f>HYPERLINK("http://catalog.hathitrust.org/Record/000481012","HathiTrust Record")</f>
        <v/>
      </c>
      <c r="AS927">
        <f>HYPERLINK("https://creighton-primo.hosted.exlibrisgroup.com/primo-explore/search?tab=default_tab&amp;search_scope=EVERYTHING&amp;vid=01CRU&amp;lang=en_US&amp;offset=0&amp;query=any,contains,991000765759702656","Catalog Record")</f>
        <v/>
      </c>
      <c r="AT927">
        <f>HYPERLINK("http://www.worldcat.org/oclc/13001618","WorldCat Record")</f>
        <v/>
      </c>
      <c r="AU927" t="inlineStr">
        <is>
          <t>4159907236:eng</t>
        </is>
      </c>
      <c r="AV927" t="inlineStr">
        <is>
          <t>13001618</t>
        </is>
      </c>
      <c r="AW927" t="inlineStr">
        <is>
          <t>991000765759702656</t>
        </is>
      </c>
      <c r="AX927" t="inlineStr">
        <is>
          <t>991000765759702656</t>
        </is>
      </c>
      <c r="AY927" t="inlineStr">
        <is>
          <t>2262468790002656</t>
        </is>
      </c>
      <c r="AZ927" t="inlineStr">
        <is>
          <t>BOOK</t>
        </is>
      </c>
      <c r="BB927" t="inlineStr">
        <is>
          <t>9780801832512</t>
        </is>
      </c>
      <c r="BC927" t="inlineStr">
        <is>
          <t>32285000458991</t>
        </is>
      </c>
      <c r="BD927" t="inlineStr">
        <is>
          <t>893432275</t>
        </is>
      </c>
    </row>
    <row r="928">
      <c r="A928" t="inlineStr">
        <is>
          <t>No</t>
        </is>
      </c>
      <c r="B928" t="inlineStr">
        <is>
          <t>DF785 .C68 1976</t>
        </is>
      </c>
      <c r="C928" t="inlineStr">
        <is>
          <t>0                      DF 0785000C  68          1976</t>
        </is>
      </c>
      <c r="D928" t="inlineStr">
        <is>
          <t>Foreign interference in Greek politics : an historical perspective / Theodore A. Couloumbis, John A. Petropoulos, Harry J. Psomiades.</t>
        </is>
      </c>
      <c r="F928" t="inlineStr">
        <is>
          <t>No</t>
        </is>
      </c>
      <c r="G928" t="inlineStr">
        <is>
          <t>1</t>
        </is>
      </c>
      <c r="H928" t="inlineStr">
        <is>
          <t>No</t>
        </is>
      </c>
      <c r="I928" t="inlineStr">
        <is>
          <t>No</t>
        </is>
      </c>
      <c r="J928" t="inlineStr">
        <is>
          <t>0</t>
        </is>
      </c>
      <c r="K928" t="inlineStr">
        <is>
          <t>Couloumbis, Theodore A.</t>
        </is>
      </c>
      <c r="L928" t="inlineStr">
        <is>
          <t>New York : Pella Pub. Co., 1976.</t>
        </is>
      </c>
      <c r="M928" t="inlineStr">
        <is>
          <t>1976</t>
        </is>
      </c>
      <c r="O928" t="inlineStr">
        <is>
          <t>eng</t>
        </is>
      </c>
      <c r="P928" t="inlineStr">
        <is>
          <t>nyu</t>
        </is>
      </c>
      <c r="Q928" t="inlineStr">
        <is>
          <t>Modern Greek research series ; 2</t>
        </is>
      </c>
      <c r="R928" t="inlineStr">
        <is>
          <t xml:space="preserve">DF </t>
        </is>
      </c>
      <c r="S928" t="n">
        <v>2</v>
      </c>
      <c r="T928" t="n">
        <v>2</v>
      </c>
      <c r="U928" t="inlineStr">
        <is>
          <t>2002-11-23</t>
        </is>
      </c>
      <c r="V928" t="inlineStr">
        <is>
          <t>2002-11-23</t>
        </is>
      </c>
      <c r="W928" t="inlineStr">
        <is>
          <t>1991-02-21</t>
        </is>
      </c>
      <c r="X928" t="inlineStr">
        <is>
          <t>1991-02-21</t>
        </is>
      </c>
      <c r="Y928" t="n">
        <v>161</v>
      </c>
      <c r="Z928" t="n">
        <v>119</v>
      </c>
      <c r="AA928" t="n">
        <v>121</v>
      </c>
      <c r="AB928" t="n">
        <v>2</v>
      </c>
      <c r="AC928" t="n">
        <v>2</v>
      </c>
      <c r="AD928" t="n">
        <v>7</v>
      </c>
      <c r="AE928" t="n">
        <v>7</v>
      </c>
      <c r="AF928" t="n">
        <v>1</v>
      </c>
      <c r="AG928" t="n">
        <v>1</v>
      </c>
      <c r="AH928" t="n">
        <v>2</v>
      </c>
      <c r="AI928" t="n">
        <v>2</v>
      </c>
      <c r="AJ928" t="n">
        <v>4</v>
      </c>
      <c r="AK928" t="n">
        <v>4</v>
      </c>
      <c r="AL928" t="n">
        <v>1</v>
      </c>
      <c r="AM928" t="n">
        <v>1</v>
      </c>
      <c r="AN928" t="n">
        <v>0</v>
      </c>
      <c r="AO928" t="n">
        <v>0</v>
      </c>
      <c r="AP928" t="inlineStr">
        <is>
          <t>No</t>
        </is>
      </c>
      <c r="AQ928" t="inlineStr">
        <is>
          <t>Yes</t>
        </is>
      </c>
      <c r="AR928">
        <f>HYPERLINK("http://catalog.hathitrust.org/Record/001070041","HathiTrust Record")</f>
        <v/>
      </c>
      <c r="AS928">
        <f>HYPERLINK("https://creighton-primo.hosted.exlibrisgroup.com/primo-explore/search?tab=default_tab&amp;search_scope=EVERYTHING&amp;vid=01CRU&amp;lang=en_US&amp;offset=0&amp;query=any,contains,991004213329702656","Catalog Record")</f>
        <v/>
      </c>
      <c r="AT928">
        <f>HYPERLINK("http://www.worldcat.org/oclc/2690692","WorldCat Record")</f>
        <v/>
      </c>
      <c r="AU928" t="inlineStr">
        <is>
          <t>5916107:eng</t>
        </is>
      </c>
      <c r="AV928" t="inlineStr">
        <is>
          <t>2690692</t>
        </is>
      </c>
      <c r="AW928" t="inlineStr">
        <is>
          <t>991004213329702656</t>
        </is>
      </c>
      <c r="AX928" t="inlineStr">
        <is>
          <t>991004213329702656</t>
        </is>
      </c>
      <c r="AY928" t="inlineStr">
        <is>
          <t>2271162730002656</t>
        </is>
      </c>
      <c r="AZ928" t="inlineStr">
        <is>
          <t>BOOK</t>
        </is>
      </c>
      <c r="BC928" t="inlineStr">
        <is>
          <t>32285000520691</t>
        </is>
      </c>
      <c r="BD928" t="inlineStr">
        <is>
          <t>893894714</t>
        </is>
      </c>
    </row>
    <row r="929">
      <c r="A929" t="inlineStr">
        <is>
          <t>No</t>
        </is>
      </c>
      <c r="B929" t="inlineStr">
        <is>
          <t>DF787.M275 S4 1997</t>
        </is>
      </c>
      <c r="C929" t="inlineStr">
        <is>
          <t>0                      DF 0787000M  275                S  4           1997</t>
        </is>
      </c>
      <c r="D929" t="inlineStr">
        <is>
          <t>Macedonia and Greece : the struggle to define a new Balkan nation / John Shea.</t>
        </is>
      </c>
      <c r="F929" t="inlineStr">
        <is>
          <t>No</t>
        </is>
      </c>
      <c r="G929" t="inlineStr">
        <is>
          <t>1</t>
        </is>
      </c>
      <c r="H929" t="inlineStr">
        <is>
          <t>No</t>
        </is>
      </c>
      <c r="I929" t="inlineStr">
        <is>
          <t>No</t>
        </is>
      </c>
      <c r="J929" t="inlineStr">
        <is>
          <t>0</t>
        </is>
      </c>
      <c r="K929" t="inlineStr">
        <is>
          <t>Shea, John.</t>
        </is>
      </c>
      <c r="L929" t="inlineStr">
        <is>
          <t>Jefferson, N.C. : McFarland, c1997.</t>
        </is>
      </c>
      <c r="M929" t="inlineStr">
        <is>
          <t>1997</t>
        </is>
      </c>
      <c r="O929" t="inlineStr">
        <is>
          <t>eng</t>
        </is>
      </c>
      <c r="P929" t="inlineStr">
        <is>
          <t>ncu</t>
        </is>
      </c>
      <c r="R929" t="inlineStr">
        <is>
          <t xml:space="preserve">DF </t>
        </is>
      </c>
      <c r="S929" t="n">
        <v>3</v>
      </c>
      <c r="T929" t="n">
        <v>3</v>
      </c>
      <c r="U929" t="inlineStr">
        <is>
          <t>1997-09-28</t>
        </is>
      </c>
      <c r="V929" t="inlineStr">
        <is>
          <t>1997-09-28</t>
        </is>
      </c>
      <c r="W929" t="inlineStr">
        <is>
          <t>1997-04-23</t>
        </is>
      </c>
      <c r="X929" t="inlineStr">
        <is>
          <t>1997-04-23</t>
        </is>
      </c>
      <c r="Y929" t="n">
        <v>300</v>
      </c>
      <c r="Z929" t="n">
        <v>230</v>
      </c>
      <c r="AA929" t="n">
        <v>256</v>
      </c>
      <c r="AB929" t="n">
        <v>3</v>
      </c>
      <c r="AC929" t="n">
        <v>3</v>
      </c>
      <c r="AD929" t="n">
        <v>13</v>
      </c>
      <c r="AE929" t="n">
        <v>13</v>
      </c>
      <c r="AF929" t="n">
        <v>2</v>
      </c>
      <c r="AG929" t="n">
        <v>2</v>
      </c>
      <c r="AH929" t="n">
        <v>6</v>
      </c>
      <c r="AI929" t="n">
        <v>6</v>
      </c>
      <c r="AJ929" t="n">
        <v>6</v>
      </c>
      <c r="AK929" t="n">
        <v>6</v>
      </c>
      <c r="AL929" t="n">
        <v>2</v>
      </c>
      <c r="AM929" t="n">
        <v>2</v>
      </c>
      <c r="AN929" t="n">
        <v>0</v>
      </c>
      <c r="AO929" t="n">
        <v>0</v>
      </c>
      <c r="AP929" t="inlineStr">
        <is>
          <t>No</t>
        </is>
      </c>
      <c r="AQ929" t="inlineStr">
        <is>
          <t>Yes</t>
        </is>
      </c>
      <c r="AR929">
        <f>HYPERLINK("http://catalog.hathitrust.org/Record/003131876","HathiTrust Record")</f>
        <v/>
      </c>
      <c r="AS929">
        <f>HYPERLINK("https://creighton-primo.hosted.exlibrisgroup.com/primo-explore/search?tab=default_tab&amp;search_scope=EVERYTHING&amp;vid=01CRU&amp;lang=en_US&amp;offset=0&amp;query=any,contains,991002694959702656","Catalog Record")</f>
        <v/>
      </c>
      <c r="AT929">
        <f>HYPERLINK("http://www.worldcat.org/oclc/35192232","WorldCat Record")</f>
        <v/>
      </c>
      <c r="AU929" t="inlineStr">
        <is>
          <t>40866660:eng</t>
        </is>
      </c>
      <c r="AV929" t="inlineStr">
        <is>
          <t>35192232</t>
        </is>
      </c>
      <c r="AW929" t="inlineStr">
        <is>
          <t>991002694959702656</t>
        </is>
      </c>
      <c r="AX929" t="inlineStr">
        <is>
          <t>991002694959702656</t>
        </is>
      </c>
      <c r="AY929" t="inlineStr">
        <is>
          <t>2256302350002656</t>
        </is>
      </c>
      <c r="AZ929" t="inlineStr">
        <is>
          <t>BOOK</t>
        </is>
      </c>
      <c r="BB929" t="inlineStr">
        <is>
          <t>9780786402281</t>
        </is>
      </c>
      <c r="BC929" t="inlineStr">
        <is>
          <t>32285002499936</t>
        </is>
      </c>
      <c r="BD929" t="inlineStr">
        <is>
          <t>893233298</t>
        </is>
      </c>
    </row>
    <row r="930">
      <c r="A930" t="inlineStr">
        <is>
          <t>No</t>
        </is>
      </c>
      <c r="B930" t="inlineStr">
        <is>
          <t>DF801 .Z34 1976</t>
        </is>
      </c>
      <c r="C930" t="inlineStr">
        <is>
          <t>0                      DF 0801000Z  34          1976</t>
        </is>
      </c>
      <c r="D930" t="inlineStr">
        <is>
          <t>The making of modern Greece : from Byzantium to independence / D. A. Zakythinos ; translated with an introd. by K. R. Johnstone. --</t>
        </is>
      </c>
      <c r="F930" t="inlineStr">
        <is>
          <t>No</t>
        </is>
      </c>
      <c r="G930" t="inlineStr">
        <is>
          <t>1</t>
        </is>
      </c>
      <c r="H930" t="inlineStr">
        <is>
          <t>No</t>
        </is>
      </c>
      <c r="I930" t="inlineStr">
        <is>
          <t>No</t>
        </is>
      </c>
      <c r="J930" t="inlineStr">
        <is>
          <t>0</t>
        </is>
      </c>
      <c r="K930" t="inlineStr">
        <is>
          <t>Zakythēnos, Dionysios A., 1905-1993.</t>
        </is>
      </c>
      <c r="L930" t="inlineStr">
        <is>
          <t>Totowa, N. J. : Rowman and Littlefield, 1976.</t>
        </is>
      </c>
      <c r="M930" t="inlineStr">
        <is>
          <t>1976</t>
        </is>
      </c>
      <c r="O930" t="inlineStr">
        <is>
          <t>eng</t>
        </is>
      </c>
      <c r="P930" t="inlineStr">
        <is>
          <t>nju</t>
        </is>
      </c>
      <c r="R930" t="inlineStr">
        <is>
          <t xml:space="preserve">DF </t>
        </is>
      </c>
      <c r="S930" t="n">
        <v>3</v>
      </c>
      <c r="T930" t="n">
        <v>3</v>
      </c>
      <c r="U930" t="inlineStr">
        <is>
          <t>2003-03-25</t>
        </is>
      </c>
      <c r="V930" t="inlineStr">
        <is>
          <t>2003-03-25</t>
        </is>
      </c>
      <c r="W930" t="inlineStr">
        <is>
          <t>1991-02-21</t>
        </is>
      </c>
      <c r="X930" t="inlineStr">
        <is>
          <t>1991-02-21</t>
        </is>
      </c>
      <c r="Y930" t="n">
        <v>287</v>
      </c>
      <c r="Z930" t="n">
        <v>267</v>
      </c>
      <c r="AA930" t="n">
        <v>397</v>
      </c>
      <c r="AB930" t="n">
        <v>3</v>
      </c>
      <c r="AC930" t="n">
        <v>4</v>
      </c>
      <c r="AD930" t="n">
        <v>11</v>
      </c>
      <c r="AE930" t="n">
        <v>17</v>
      </c>
      <c r="AF930" t="n">
        <v>2</v>
      </c>
      <c r="AG930" t="n">
        <v>2</v>
      </c>
      <c r="AH930" t="n">
        <v>5</v>
      </c>
      <c r="AI930" t="n">
        <v>6</v>
      </c>
      <c r="AJ930" t="n">
        <v>6</v>
      </c>
      <c r="AK930" t="n">
        <v>11</v>
      </c>
      <c r="AL930" t="n">
        <v>2</v>
      </c>
      <c r="AM930" t="n">
        <v>3</v>
      </c>
      <c r="AN930" t="n">
        <v>0</v>
      </c>
      <c r="AO930" t="n">
        <v>0</v>
      </c>
      <c r="AP930" t="inlineStr">
        <is>
          <t>No</t>
        </is>
      </c>
      <c r="AQ930" t="inlineStr">
        <is>
          <t>Yes</t>
        </is>
      </c>
      <c r="AR930">
        <f>HYPERLINK("http://catalog.hathitrust.org/Record/006038172","HathiTrust Record")</f>
        <v/>
      </c>
      <c r="AS930">
        <f>HYPERLINK("https://creighton-primo.hosted.exlibrisgroup.com/primo-explore/search?tab=default_tab&amp;search_scope=EVERYTHING&amp;vid=01CRU&amp;lang=en_US&amp;offset=0&amp;query=any,contains,991004054529702656","Catalog Record")</f>
        <v/>
      </c>
      <c r="AT930">
        <f>HYPERLINK("http://www.worldcat.org/oclc/2222840","WorldCat Record")</f>
        <v/>
      </c>
      <c r="AU930" t="inlineStr">
        <is>
          <t>4153930:eng</t>
        </is>
      </c>
      <c r="AV930" t="inlineStr">
        <is>
          <t>2222840</t>
        </is>
      </c>
      <c r="AW930" t="inlineStr">
        <is>
          <t>991004054529702656</t>
        </is>
      </c>
      <c r="AX930" t="inlineStr">
        <is>
          <t>991004054529702656</t>
        </is>
      </c>
      <c r="AY930" t="inlineStr">
        <is>
          <t>2257665100002656</t>
        </is>
      </c>
      <c r="AZ930" t="inlineStr">
        <is>
          <t>BOOK</t>
        </is>
      </c>
      <c r="BB930" t="inlineStr">
        <is>
          <t>9780874717969</t>
        </is>
      </c>
      <c r="BC930" t="inlineStr">
        <is>
          <t>32285000520717</t>
        </is>
      </c>
      <c r="BD930" t="inlineStr">
        <is>
          <t>893253192</t>
        </is>
      </c>
    </row>
    <row r="931">
      <c r="A931" t="inlineStr">
        <is>
          <t>No</t>
        </is>
      </c>
      <c r="B931" t="inlineStr">
        <is>
          <t>DF802 .C28 1968b</t>
        </is>
      </c>
      <c r="C931" t="inlineStr">
        <is>
          <t>0                      DF 0802000C  28          1968b</t>
        </is>
      </c>
      <c r="D931" t="inlineStr">
        <is>
          <t>Modern Greece, by John Campbell and Philip Sherrard.</t>
        </is>
      </c>
      <c r="F931" t="inlineStr">
        <is>
          <t>No</t>
        </is>
      </c>
      <c r="G931" t="inlineStr">
        <is>
          <t>1</t>
        </is>
      </c>
      <c r="H931" t="inlineStr">
        <is>
          <t>No</t>
        </is>
      </c>
      <c r="I931" t="inlineStr">
        <is>
          <t>No</t>
        </is>
      </c>
      <c r="J931" t="inlineStr">
        <is>
          <t>0</t>
        </is>
      </c>
      <c r="K931" t="inlineStr">
        <is>
          <t>Campbell, John (John Kennedy), 1923-2009.</t>
        </is>
      </c>
      <c r="L931" t="inlineStr">
        <is>
          <t>New York, Praeger [1968]</t>
        </is>
      </c>
      <c r="M931" t="inlineStr">
        <is>
          <t>1968</t>
        </is>
      </c>
      <c r="O931" t="inlineStr">
        <is>
          <t>eng</t>
        </is>
      </c>
      <c r="P931" t="inlineStr">
        <is>
          <t>nyu</t>
        </is>
      </c>
      <c r="Q931" t="inlineStr">
        <is>
          <t>Nations of the modern world</t>
        </is>
      </c>
      <c r="R931" t="inlineStr">
        <is>
          <t xml:space="preserve">DF </t>
        </is>
      </c>
      <c r="S931" t="n">
        <v>2</v>
      </c>
      <c r="T931" t="n">
        <v>2</v>
      </c>
      <c r="U931" t="inlineStr">
        <is>
          <t>2004-02-22</t>
        </is>
      </c>
      <c r="V931" t="inlineStr">
        <is>
          <t>2004-02-22</t>
        </is>
      </c>
      <c r="W931" t="inlineStr">
        <is>
          <t>1996-11-26</t>
        </is>
      </c>
      <c r="X931" t="inlineStr">
        <is>
          <t>1996-11-26</t>
        </is>
      </c>
      <c r="Y931" t="n">
        <v>603</v>
      </c>
      <c r="Z931" t="n">
        <v>570</v>
      </c>
      <c r="AA931" t="n">
        <v>611</v>
      </c>
      <c r="AB931" t="n">
        <v>4</v>
      </c>
      <c r="AC931" t="n">
        <v>4</v>
      </c>
      <c r="AD931" t="n">
        <v>25</v>
      </c>
      <c r="AE931" t="n">
        <v>29</v>
      </c>
      <c r="AF931" t="n">
        <v>11</v>
      </c>
      <c r="AG931" t="n">
        <v>13</v>
      </c>
      <c r="AH931" t="n">
        <v>5</v>
      </c>
      <c r="AI931" t="n">
        <v>5</v>
      </c>
      <c r="AJ931" t="n">
        <v>10</v>
      </c>
      <c r="AK931" t="n">
        <v>12</v>
      </c>
      <c r="AL931" t="n">
        <v>3</v>
      </c>
      <c r="AM931" t="n">
        <v>3</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HYPERLINK("https://creighton-primo.hosted.exlibrisgroup.com/primo-explore/search?tab=default_tab&amp;search_scope=EVERYTHING&amp;vid=01CRU&amp;lang=en_US&amp;offset=0&amp;query=any,contains,991001909019702656","Catalog Record")</f>
        <v/>
      </c>
      <c r="AT931">
        <f>HYPERLINK("http://www.worldcat.org/oclc/241784","WorldCat Record")</f>
        <v/>
      </c>
      <c r="AU931" t="inlineStr">
        <is>
          <t>3943522600:eng</t>
        </is>
      </c>
      <c r="AV931" t="inlineStr">
        <is>
          <t>241784</t>
        </is>
      </c>
      <c r="AW931" t="inlineStr">
        <is>
          <t>991001909019702656</t>
        </is>
      </c>
      <c r="AX931" t="inlineStr">
        <is>
          <t>991001909019702656</t>
        </is>
      </c>
      <c r="AY931" t="inlineStr">
        <is>
          <t>2271689900002656</t>
        </is>
      </c>
      <c r="AZ931" t="inlineStr">
        <is>
          <t>BOOK</t>
        </is>
      </c>
      <c r="BC931" t="inlineStr">
        <is>
          <t>32285002346582</t>
        </is>
      </c>
      <c r="BD931" t="inlineStr">
        <is>
          <t>893602981</t>
        </is>
      </c>
    </row>
    <row r="932">
      <c r="A932" t="inlineStr">
        <is>
          <t>No</t>
        </is>
      </c>
      <c r="B932" t="inlineStr">
        <is>
          <t>DF802 .C33</t>
        </is>
      </c>
      <c r="C932" t="inlineStr">
        <is>
          <t>0                      DF 0802000C  33</t>
        </is>
      </c>
      <c r="D932" t="inlineStr">
        <is>
          <t>The web of modern Greek politics [by] Jane Perry Clark Carey &amp; Andrew Galbraith Carey.</t>
        </is>
      </c>
      <c r="F932" t="inlineStr">
        <is>
          <t>No</t>
        </is>
      </c>
      <c r="G932" t="inlineStr">
        <is>
          <t>1</t>
        </is>
      </c>
      <c r="H932" t="inlineStr">
        <is>
          <t>No</t>
        </is>
      </c>
      <c r="I932" t="inlineStr">
        <is>
          <t>No</t>
        </is>
      </c>
      <c r="J932" t="inlineStr">
        <is>
          <t>0</t>
        </is>
      </c>
      <c r="K932" t="inlineStr">
        <is>
          <t>Carey, Jane Perry Clark, 1898-1981.</t>
        </is>
      </c>
      <c r="L932" t="inlineStr">
        <is>
          <t>New York, Columbia University Press, 1968.</t>
        </is>
      </c>
      <c r="M932" t="inlineStr">
        <is>
          <t>1968</t>
        </is>
      </c>
      <c r="O932" t="inlineStr">
        <is>
          <t>eng</t>
        </is>
      </c>
      <c r="P932" t="inlineStr">
        <is>
          <t>nyu</t>
        </is>
      </c>
      <c r="R932" t="inlineStr">
        <is>
          <t xml:space="preserve">DF </t>
        </is>
      </c>
      <c r="S932" t="n">
        <v>1</v>
      </c>
      <c r="T932" t="n">
        <v>1</v>
      </c>
      <c r="U932" t="inlineStr">
        <is>
          <t>2002-11-19</t>
        </is>
      </c>
      <c r="V932" t="inlineStr">
        <is>
          <t>2002-11-19</t>
        </is>
      </c>
      <c r="W932" t="inlineStr">
        <is>
          <t>1996-11-26</t>
        </is>
      </c>
      <c r="X932" t="inlineStr">
        <is>
          <t>1996-11-26</t>
        </is>
      </c>
      <c r="Y932" t="n">
        <v>654</v>
      </c>
      <c r="Z932" t="n">
        <v>549</v>
      </c>
      <c r="AA932" t="n">
        <v>553</v>
      </c>
      <c r="AB932" t="n">
        <v>4</v>
      </c>
      <c r="AC932" t="n">
        <v>4</v>
      </c>
      <c r="AD932" t="n">
        <v>21</v>
      </c>
      <c r="AE932" t="n">
        <v>21</v>
      </c>
      <c r="AF932" t="n">
        <v>7</v>
      </c>
      <c r="AG932" t="n">
        <v>7</v>
      </c>
      <c r="AH932" t="n">
        <v>4</v>
      </c>
      <c r="AI932" t="n">
        <v>4</v>
      </c>
      <c r="AJ932" t="n">
        <v>13</v>
      </c>
      <c r="AK932" t="n">
        <v>13</v>
      </c>
      <c r="AL932" t="n">
        <v>3</v>
      </c>
      <c r="AM932" t="n">
        <v>3</v>
      </c>
      <c r="AN932" t="n">
        <v>0</v>
      </c>
      <c r="AO932" t="n">
        <v>0</v>
      </c>
      <c r="AP932" t="inlineStr">
        <is>
          <t>No</t>
        </is>
      </c>
      <c r="AQ932" t="inlineStr">
        <is>
          <t>Yes</t>
        </is>
      </c>
      <c r="AR932">
        <f>HYPERLINK("http://catalog.hathitrust.org/Record/000609932","HathiTrust Record")</f>
        <v/>
      </c>
      <c r="AS932">
        <f>HYPERLINK("https://creighton-primo.hosted.exlibrisgroup.com/primo-explore/search?tab=default_tab&amp;search_scope=EVERYTHING&amp;vid=01CRU&amp;lang=en_US&amp;offset=0&amp;query=any,contains,991002700839702656","Catalog Record")</f>
        <v/>
      </c>
      <c r="AT932">
        <f>HYPERLINK("http://www.worldcat.org/oclc/405527","WorldCat Record")</f>
        <v/>
      </c>
      <c r="AU932" t="inlineStr">
        <is>
          <t>1431131:eng</t>
        </is>
      </c>
      <c r="AV932" t="inlineStr">
        <is>
          <t>405527</t>
        </is>
      </c>
      <c r="AW932" t="inlineStr">
        <is>
          <t>991002700839702656</t>
        </is>
      </c>
      <c r="AX932" t="inlineStr">
        <is>
          <t>991002700839702656</t>
        </is>
      </c>
      <c r="AY932" t="inlineStr">
        <is>
          <t>2260497420002656</t>
        </is>
      </c>
      <c r="AZ932" t="inlineStr">
        <is>
          <t>BOOK</t>
        </is>
      </c>
      <c r="BC932" t="inlineStr">
        <is>
          <t>32285002346590</t>
        </is>
      </c>
      <c r="BD932" t="inlineStr">
        <is>
          <t>893227177</t>
        </is>
      </c>
    </row>
    <row r="933">
      <c r="A933" t="inlineStr">
        <is>
          <t>No</t>
        </is>
      </c>
      <c r="B933" t="inlineStr">
        <is>
          <t>DF805 .F51 1971b</t>
        </is>
      </c>
      <c r="C933" t="inlineStr">
        <is>
          <t>0                      DF 0805000F  51          1971b</t>
        </is>
      </c>
      <c r="D933" t="inlineStr">
        <is>
          <t>History of the Greek Revolution, and the reign of King Otho.</t>
        </is>
      </c>
      <c r="F933" t="inlineStr">
        <is>
          <t>No</t>
        </is>
      </c>
      <c r="G933" t="inlineStr">
        <is>
          <t>1</t>
        </is>
      </c>
      <c r="H933" t="inlineStr">
        <is>
          <t>No</t>
        </is>
      </c>
      <c r="I933" t="inlineStr">
        <is>
          <t>No</t>
        </is>
      </c>
      <c r="J933" t="inlineStr">
        <is>
          <t>0</t>
        </is>
      </c>
      <c r="K933" t="inlineStr">
        <is>
          <t>Finlay, George, 1799-1875.</t>
        </is>
      </c>
      <c r="L933" t="inlineStr">
        <is>
          <t>London, Zeno, 1971.</t>
        </is>
      </c>
      <c r="M933" t="inlineStr">
        <is>
          <t>1971</t>
        </is>
      </c>
      <c r="O933" t="inlineStr">
        <is>
          <t>eng</t>
        </is>
      </c>
      <c r="P933" t="inlineStr">
        <is>
          <t>enk</t>
        </is>
      </c>
      <c r="R933" t="inlineStr">
        <is>
          <t xml:space="preserve">DF </t>
        </is>
      </c>
      <c r="S933" t="n">
        <v>2</v>
      </c>
      <c r="T933" t="n">
        <v>2</v>
      </c>
      <c r="U933" t="inlineStr">
        <is>
          <t>2002-11-19</t>
        </is>
      </c>
      <c r="V933" t="inlineStr">
        <is>
          <t>2002-11-19</t>
        </is>
      </c>
      <c r="W933" t="inlineStr">
        <is>
          <t>1996-11-26</t>
        </is>
      </c>
      <c r="X933" t="inlineStr">
        <is>
          <t>1996-11-26</t>
        </is>
      </c>
      <c r="Y933" t="n">
        <v>96</v>
      </c>
      <c r="Z933" t="n">
        <v>61</v>
      </c>
      <c r="AA933" t="n">
        <v>69</v>
      </c>
      <c r="AB933" t="n">
        <v>2</v>
      </c>
      <c r="AC933" t="n">
        <v>2</v>
      </c>
      <c r="AD933" t="n">
        <v>6</v>
      </c>
      <c r="AE933" t="n">
        <v>6</v>
      </c>
      <c r="AF933" t="n">
        <v>1</v>
      </c>
      <c r="AG933" t="n">
        <v>1</v>
      </c>
      <c r="AH933" t="n">
        <v>2</v>
      </c>
      <c r="AI933" t="n">
        <v>2</v>
      </c>
      <c r="AJ933" t="n">
        <v>3</v>
      </c>
      <c r="AK933" t="n">
        <v>3</v>
      </c>
      <c r="AL933" t="n">
        <v>1</v>
      </c>
      <c r="AM933" t="n">
        <v>1</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HYPERLINK("https://creighton-primo.hosted.exlibrisgroup.com/primo-explore/search?tab=default_tab&amp;search_scope=EVERYTHING&amp;vid=01CRU&amp;lang=en_US&amp;offset=0&amp;query=any,contains,991003157159702656","Catalog Record")</f>
        <v/>
      </c>
      <c r="AT933">
        <f>HYPERLINK("http://www.worldcat.org/oclc/696676","WorldCat Record")</f>
        <v/>
      </c>
      <c r="AU933" t="inlineStr">
        <is>
          <t>3857071694:eng</t>
        </is>
      </c>
      <c r="AV933" t="inlineStr">
        <is>
          <t>696676</t>
        </is>
      </c>
      <c r="AW933" t="inlineStr">
        <is>
          <t>991003157159702656</t>
        </is>
      </c>
      <c r="AX933" t="inlineStr">
        <is>
          <t>991003157159702656</t>
        </is>
      </c>
      <c r="AY933" t="inlineStr">
        <is>
          <t>2268206790002656</t>
        </is>
      </c>
      <c r="AZ933" t="inlineStr">
        <is>
          <t>BOOK</t>
        </is>
      </c>
      <c r="BB933" t="inlineStr">
        <is>
          <t>9780900834127</t>
        </is>
      </c>
      <c r="BC933" t="inlineStr">
        <is>
          <t>32285002346624</t>
        </is>
      </c>
      <c r="BD933" t="inlineStr">
        <is>
          <t>893717377</t>
        </is>
      </c>
    </row>
    <row r="934">
      <c r="A934" t="inlineStr">
        <is>
          <t>No</t>
        </is>
      </c>
      <c r="B934" t="inlineStr">
        <is>
          <t>DF82 .E37 2002</t>
        </is>
      </c>
      <c r="C934" t="inlineStr">
        <is>
          <t>0                      DF 0082000E  37          2002</t>
        </is>
      </c>
      <c r="D934" t="inlineStr">
        <is>
          <t>Roman patrons of Greek cities / Claude Eilers.</t>
        </is>
      </c>
      <c r="F934" t="inlineStr">
        <is>
          <t>No</t>
        </is>
      </c>
      <c r="G934" t="inlineStr">
        <is>
          <t>1</t>
        </is>
      </c>
      <c r="H934" t="inlineStr">
        <is>
          <t>No</t>
        </is>
      </c>
      <c r="I934" t="inlineStr">
        <is>
          <t>No</t>
        </is>
      </c>
      <c r="J934" t="inlineStr">
        <is>
          <t>0</t>
        </is>
      </c>
      <c r="K934" t="inlineStr">
        <is>
          <t>Eilers, Claude.</t>
        </is>
      </c>
      <c r="L934" t="inlineStr">
        <is>
          <t>Oxford ; New York : Oxford University Press, 2002.</t>
        </is>
      </c>
      <c r="M934" t="inlineStr">
        <is>
          <t>2002</t>
        </is>
      </c>
      <c r="O934" t="inlineStr">
        <is>
          <t>eng</t>
        </is>
      </c>
      <c r="P934" t="inlineStr">
        <is>
          <t>enk</t>
        </is>
      </c>
      <c r="Q934" t="inlineStr">
        <is>
          <t>Oxford classical monographs</t>
        </is>
      </c>
      <c r="R934" t="inlineStr">
        <is>
          <t xml:space="preserve">DF </t>
        </is>
      </c>
      <c r="S934" t="n">
        <v>1</v>
      </c>
      <c r="T934" t="n">
        <v>1</v>
      </c>
      <c r="U934" t="inlineStr">
        <is>
          <t>2004-12-13</t>
        </is>
      </c>
      <c r="V934" t="inlineStr">
        <is>
          <t>2004-12-13</t>
        </is>
      </c>
      <c r="W934" t="inlineStr">
        <is>
          <t>2004-12-13</t>
        </is>
      </c>
      <c r="X934" t="inlineStr">
        <is>
          <t>2004-12-13</t>
        </is>
      </c>
      <c r="Y934" t="n">
        <v>262</v>
      </c>
      <c r="Z934" t="n">
        <v>160</v>
      </c>
      <c r="AA934" t="n">
        <v>441</v>
      </c>
      <c r="AB934" t="n">
        <v>2</v>
      </c>
      <c r="AC934" t="n">
        <v>17</v>
      </c>
      <c r="AD934" t="n">
        <v>6</v>
      </c>
      <c r="AE934" t="n">
        <v>22</v>
      </c>
      <c r="AF934" t="n">
        <v>2</v>
      </c>
      <c r="AG934" t="n">
        <v>4</v>
      </c>
      <c r="AH934" t="n">
        <v>2</v>
      </c>
      <c r="AI934" t="n">
        <v>6</v>
      </c>
      <c r="AJ934" t="n">
        <v>5</v>
      </c>
      <c r="AK934" t="n">
        <v>8</v>
      </c>
      <c r="AL934" t="n">
        <v>1</v>
      </c>
      <c r="AM934" t="n">
        <v>9</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HYPERLINK("https://creighton-primo.hosted.exlibrisgroup.com/primo-explore/search?tab=default_tab&amp;search_scope=EVERYTHING&amp;vid=01CRU&amp;lang=en_US&amp;offset=0&amp;query=any,contains,991004428759702656","Catalog Record")</f>
        <v/>
      </c>
      <c r="AT934">
        <f>HYPERLINK("http://www.worldcat.org/oclc/48931255","WorldCat Record")</f>
        <v/>
      </c>
      <c r="AU934" t="inlineStr">
        <is>
          <t>34622809:eng</t>
        </is>
      </c>
      <c r="AV934" t="inlineStr">
        <is>
          <t>48931255</t>
        </is>
      </c>
      <c r="AW934" t="inlineStr">
        <is>
          <t>991004428759702656</t>
        </is>
      </c>
      <c r="AX934" t="inlineStr">
        <is>
          <t>991004428759702656</t>
        </is>
      </c>
      <c r="AY934" t="inlineStr">
        <is>
          <t>2266177970002656</t>
        </is>
      </c>
      <c r="AZ934" t="inlineStr">
        <is>
          <t>BOOK</t>
        </is>
      </c>
      <c r="BB934" t="inlineStr">
        <is>
          <t>9780199248483</t>
        </is>
      </c>
      <c r="BC934" t="inlineStr">
        <is>
          <t>32285005016489</t>
        </is>
      </c>
      <c r="BD934" t="inlineStr">
        <is>
          <t>893331578</t>
        </is>
      </c>
    </row>
    <row r="935">
      <c r="A935" t="inlineStr">
        <is>
          <t>No</t>
        </is>
      </c>
      <c r="B935" t="inlineStr">
        <is>
          <t>DF82 .F68</t>
        </is>
      </c>
      <c r="C935" t="inlineStr">
        <is>
          <t>0                      DF 0082000F  68</t>
        </is>
      </c>
      <c r="D935" t="inlineStr">
        <is>
          <t>Greek city-states.</t>
        </is>
      </c>
      <c r="F935" t="inlineStr">
        <is>
          <t>No</t>
        </is>
      </c>
      <c r="G935" t="inlineStr">
        <is>
          <t>1</t>
        </is>
      </c>
      <c r="H935" t="inlineStr">
        <is>
          <t>No</t>
        </is>
      </c>
      <c r="I935" t="inlineStr">
        <is>
          <t>No</t>
        </is>
      </c>
      <c r="J935" t="inlineStr">
        <is>
          <t>0</t>
        </is>
      </c>
      <c r="K935" t="inlineStr">
        <is>
          <t>Freeman, Kathleen, 1897-1959.</t>
        </is>
      </c>
      <c r="L935" t="inlineStr">
        <is>
          <t>London : Macdonald, [1950]</t>
        </is>
      </c>
      <c r="M935" t="inlineStr">
        <is>
          <t>1950</t>
        </is>
      </c>
      <c r="O935" t="inlineStr">
        <is>
          <t>eng</t>
        </is>
      </c>
      <c r="P935" t="inlineStr">
        <is>
          <t>enk</t>
        </is>
      </c>
      <c r="R935" t="inlineStr">
        <is>
          <t xml:space="preserve">DF </t>
        </is>
      </c>
      <c r="S935" t="n">
        <v>10</v>
      </c>
      <c r="T935" t="n">
        <v>10</v>
      </c>
      <c r="U935" t="inlineStr">
        <is>
          <t>2002-10-28</t>
        </is>
      </c>
      <c r="V935" t="inlineStr">
        <is>
          <t>2002-10-28</t>
        </is>
      </c>
      <c r="W935" t="inlineStr">
        <is>
          <t>1995-02-24</t>
        </is>
      </c>
      <c r="X935" t="inlineStr">
        <is>
          <t>1995-02-24</t>
        </is>
      </c>
      <c r="Y935" t="n">
        <v>215</v>
      </c>
      <c r="Z935" t="n">
        <v>106</v>
      </c>
      <c r="AA935" t="n">
        <v>1059</v>
      </c>
      <c r="AB935" t="n">
        <v>1</v>
      </c>
      <c r="AC935" t="n">
        <v>8</v>
      </c>
      <c r="AD935" t="n">
        <v>7</v>
      </c>
      <c r="AE935" t="n">
        <v>44</v>
      </c>
      <c r="AF935" t="n">
        <v>2</v>
      </c>
      <c r="AG935" t="n">
        <v>14</v>
      </c>
      <c r="AH935" t="n">
        <v>2</v>
      </c>
      <c r="AI935" t="n">
        <v>8</v>
      </c>
      <c r="AJ935" t="n">
        <v>5</v>
      </c>
      <c r="AK935" t="n">
        <v>22</v>
      </c>
      <c r="AL935" t="n">
        <v>0</v>
      </c>
      <c r="AM935" t="n">
        <v>7</v>
      </c>
      <c r="AN935" t="n">
        <v>0</v>
      </c>
      <c r="AO935" t="n">
        <v>2</v>
      </c>
      <c r="AP935" t="inlineStr">
        <is>
          <t>No</t>
        </is>
      </c>
      <c r="AQ935" t="inlineStr">
        <is>
          <t>No</t>
        </is>
      </c>
      <c r="AS935">
        <f>HYPERLINK("https://creighton-primo.hosted.exlibrisgroup.com/primo-explore/search?tab=default_tab&amp;search_scope=EVERYTHING&amp;vid=01CRU&amp;lang=en_US&amp;offset=0&amp;query=any,contains,991004285049702656","Catalog Record")</f>
        <v/>
      </c>
      <c r="AT935">
        <f>HYPERLINK("http://www.worldcat.org/oclc/2922343","WorldCat Record")</f>
        <v/>
      </c>
      <c r="AU935" t="inlineStr">
        <is>
          <t>1749155:eng</t>
        </is>
      </c>
      <c r="AV935" t="inlineStr">
        <is>
          <t>2922343</t>
        </is>
      </c>
      <c r="AW935" t="inlineStr">
        <is>
          <t>991004285049702656</t>
        </is>
      </c>
      <c r="AX935" t="inlineStr">
        <is>
          <t>991004285049702656</t>
        </is>
      </c>
      <c r="AY935" t="inlineStr">
        <is>
          <t>2264888340002656</t>
        </is>
      </c>
      <c r="AZ935" t="inlineStr">
        <is>
          <t>BOOK</t>
        </is>
      </c>
      <c r="BC935" t="inlineStr">
        <is>
          <t>32285001989911</t>
        </is>
      </c>
      <c r="BD935" t="inlineStr">
        <is>
          <t>893235289</t>
        </is>
      </c>
    </row>
    <row r="936">
      <c r="A936" t="inlineStr">
        <is>
          <t>No</t>
        </is>
      </c>
      <c r="B936" t="inlineStr">
        <is>
          <t>DF82 .F87 2000</t>
        </is>
      </c>
      <c r="C936" t="inlineStr">
        <is>
          <t>0                      DF 0082000F  87          2000</t>
        </is>
      </c>
      <c r="D936" t="inlineStr">
        <is>
          <t>Further studies in the ancient Greek polis / Pernille Flensted-Jensen (ed.).</t>
        </is>
      </c>
      <c r="F936" t="inlineStr">
        <is>
          <t>No</t>
        </is>
      </c>
      <c r="G936" t="inlineStr">
        <is>
          <t>1</t>
        </is>
      </c>
      <c r="H936" t="inlineStr">
        <is>
          <t>No</t>
        </is>
      </c>
      <c r="I936" t="inlineStr">
        <is>
          <t>No</t>
        </is>
      </c>
      <c r="J936" t="inlineStr">
        <is>
          <t>0</t>
        </is>
      </c>
      <c r="L936" t="inlineStr">
        <is>
          <t>Stuttgart : F. Steiner, 2000.</t>
        </is>
      </c>
      <c r="M936" t="inlineStr">
        <is>
          <t>2000</t>
        </is>
      </c>
      <c r="O936" t="inlineStr">
        <is>
          <t>eng</t>
        </is>
      </c>
      <c r="P936" t="inlineStr">
        <is>
          <t xml:space="preserve">gw </t>
        </is>
      </c>
      <c r="Q936" t="inlineStr">
        <is>
          <t>Historia. Einzelschriften ; Heft 138</t>
        </is>
      </c>
      <c r="R936" t="inlineStr">
        <is>
          <t xml:space="preserve">DF </t>
        </is>
      </c>
      <c r="S936" t="n">
        <v>9</v>
      </c>
      <c r="T936" t="n">
        <v>9</v>
      </c>
      <c r="U936" t="inlineStr">
        <is>
          <t>2007-11-02</t>
        </is>
      </c>
      <c r="V936" t="inlineStr">
        <is>
          <t>2007-11-02</t>
        </is>
      </c>
      <c r="W936" t="inlineStr">
        <is>
          <t>2001-06-06</t>
        </is>
      </c>
      <c r="X936" t="inlineStr">
        <is>
          <t>2001-06-06</t>
        </is>
      </c>
      <c r="Y936" t="n">
        <v>153</v>
      </c>
      <c r="Z936" t="n">
        <v>81</v>
      </c>
      <c r="AA936" t="n">
        <v>82</v>
      </c>
      <c r="AB936" t="n">
        <v>2</v>
      </c>
      <c r="AC936" t="n">
        <v>2</v>
      </c>
      <c r="AD936" t="n">
        <v>3</v>
      </c>
      <c r="AE936" t="n">
        <v>3</v>
      </c>
      <c r="AF936" t="n">
        <v>0</v>
      </c>
      <c r="AG936" t="n">
        <v>0</v>
      </c>
      <c r="AH936" t="n">
        <v>0</v>
      </c>
      <c r="AI936" t="n">
        <v>0</v>
      </c>
      <c r="AJ936" t="n">
        <v>2</v>
      </c>
      <c r="AK936" t="n">
        <v>2</v>
      </c>
      <c r="AL936" t="n">
        <v>1</v>
      </c>
      <c r="AM936" t="n">
        <v>1</v>
      </c>
      <c r="AN936" t="n">
        <v>0</v>
      </c>
      <c r="AO936" t="n">
        <v>0</v>
      </c>
      <c r="AP936" t="inlineStr">
        <is>
          <t>No</t>
        </is>
      </c>
      <c r="AQ936" t="inlineStr">
        <is>
          <t>Yes</t>
        </is>
      </c>
      <c r="AR936">
        <f>HYPERLINK("http://catalog.hathitrust.org/Record/003445995","HathiTrust Record")</f>
        <v/>
      </c>
      <c r="AS936">
        <f>HYPERLINK("https://creighton-primo.hosted.exlibrisgroup.com/primo-explore/search?tab=default_tab&amp;search_scope=EVERYTHING&amp;vid=01CRU&amp;lang=en_US&amp;offset=0&amp;query=any,contains,991003483849702656","Catalog Record")</f>
        <v/>
      </c>
      <c r="AT936">
        <f>HYPERLINK("http://www.worldcat.org/oclc/43387055","WorldCat Record")</f>
        <v/>
      </c>
      <c r="AU936" t="inlineStr">
        <is>
          <t>44745652:eng</t>
        </is>
      </c>
      <c r="AV936" t="inlineStr">
        <is>
          <t>43387055</t>
        </is>
      </c>
      <c r="AW936" t="inlineStr">
        <is>
          <t>991003483849702656</t>
        </is>
      </c>
      <c r="AX936" t="inlineStr">
        <is>
          <t>991003483849702656</t>
        </is>
      </c>
      <c r="AY936" t="inlineStr">
        <is>
          <t>2254944040002656</t>
        </is>
      </c>
      <c r="AZ936" t="inlineStr">
        <is>
          <t>BOOK</t>
        </is>
      </c>
      <c r="BB936" t="inlineStr">
        <is>
          <t>9783515076074</t>
        </is>
      </c>
      <c r="BC936" t="inlineStr">
        <is>
          <t>32285004325634</t>
        </is>
      </c>
      <c r="BD936" t="inlineStr">
        <is>
          <t>893874793</t>
        </is>
      </c>
    </row>
    <row r="937">
      <c r="A937" t="inlineStr">
        <is>
          <t>No</t>
        </is>
      </c>
      <c r="B937" t="inlineStr">
        <is>
          <t>DF82 .R63 1997</t>
        </is>
      </c>
      <c r="C937" t="inlineStr">
        <is>
          <t>0                      DF 0082000R  63          1997</t>
        </is>
      </c>
      <c r="D937" t="inlineStr">
        <is>
          <t>The first democracies : early popular government outside Athens / Eric W. Robinson.</t>
        </is>
      </c>
      <c r="F937" t="inlineStr">
        <is>
          <t>No</t>
        </is>
      </c>
      <c r="G937" t="inlineStr">
        <is>
          <t>1</t>
        </is>
      </c>
      <c r="H937" t="inlineStr">
        <is>
          <t>No</t>
        </is>
      </c>
      <c r="I937" t="inlineStr">
        <is>
          <t>No</t>
        </is>
      </c>
      <c r="J937" t="inlineStr">
        <is>
          <t>0</t>
        </is>
      </c>
      <c r="K937" t="inlineStr">
        <is>
          <t>Robinson, Eric W.</t>
        </is>
      </c>
      <c r="L937" t="inlineStr">
        <is>
          <t>Stuttgart : F. Steiner, 1997.</t>
        </is>
      </c>
      <c r="M937" t="inlineStr">
        <is>
          <t>1997</t>
        </is>
      </c>
      <c r="O937" t="inlineStr">
        <is>
          <t>eng</t>
        </is>
      </c>
      <c r="P937" t="inlineStr">
        <is>
          <t xml:space="preserve">gw </t>
        </is>
      </c>
      <c r="Q937" t="inlineStr">
        <is>
          <t>Historia. Einzelschriften ; Heft 107</t>
        </is>
      </c>
      <c r="R937" t="inlineStr">
        <is>
          <t xml:space="preserve">DF </t>
        </is>
      </c>
      <c r="S937" t="n">
        <v>1</v>
      </c>
      <c r="T937" t="n">
        <v>1</v>
      </c>
      <c r="U937" t="inlineStr">
        <is>
          <t>2000-11-01</t>
        </is>
      </c>
      <c r="V937" t="inlineStr">
        <is>
          <t>2000-11-01</t>
        </is>
      </c>
      <c r="W937" t="inlineStr">
        <is>
          <t>2000-11-01</t>
        </is>
      </c>
      <c r="X937" t="inlineStr">
        <is>
          <t>2000-11-01</t>
        </is>
      </c>
      <c r="Y937" t="n">
        <v>186</v>
      </c>
      <c r="Z937" t="n">
        <v>100</v>
      </c>
      <c r="AA937" t="n">
        <v>101</v>
      </c>
      <c r="AB937" t="n">
        <v>2</v>
      </c>
      <c r="AC937" t="n">
        <v>2</v>
      </c>
      <c r="AD937" t="n">
        <v>5</v>
      </c>
      <c r="AE937" t="n">
        <v>5</v>
      </c>
      <c r="AF937" t="n">
        <v>1</v>
      </c>
      <c r="AG937" t="n">
        <v>1</v>
      </c>
      <c r="AH937" t="n">
        <v>0</v>
      </c>
      <c r="AI937" t="n">
        <v>0</v>
      </c>
      <c r="AJ937" t="n">
        <v>4</v>
      </c>
      <c r="AK937" t="n">
        <v>4</v>
      </c>
      <c r="AL937" t="n">
        <v>1</v>
      </c>
      <c r="AM937" t="n">
        <v>1</v>
      </c>
      <c r="AN937" t="n">
        <v>0</v>
      </c>
      <c r="AO937" t="n">
        <v>0</v>
      </c>
      <c r="AP937" t="inlineStr">
        <is>
          <t>No</t>
        </is>
      </c>
      <c r="AQ937" t="inlineStr">
        <is>
          <t>Yes</t>
        </is>
      </c>
      <c r="AR937">
        <f>HYPERLINK("http://catalog.hathitrust.org/Record/003142689","HathiTrust Record")</f>
        <v/>
      </c>
      <c r="AS937">
        <f>HYPERLINK("https://creighton-primo.hosted.exlibrisgroup.com/primo-explore/search?tab=default_tab&amp;search_scope=EVERYTHING&amp;vid=01CRU&amp;lang=en_US&amp;offset=0&amp;query=any,contains,991003256349702656","Catalog Record")</f>
        <v/>
      </c>
      <c r="AT937">
        <f>HYPERLINK("http://www.worldcat.org/oclc/36739791","WorldCat Record")</f>
        <v/>
      </c>
      <c r="AU937" t="inlineStr">
        <is>
          <t>308524816:eng</t>
        </is>
      </c>
      <c r="AV937" t="inlineStr">
        <is>
          <t>36739791</t>
        </is>
      </c>
      <c r="AW937" t="inlineStr">
        <is>
          <t>991003256349702656</t>
        </is>
      </c>
      <c r="AX937" t="inlineStr">
        <is>
          <t>991003256349702656</t>
        </is>
      </c>
      <c r="AY937" t="inlineStr">
        <is>
          <t>2254746740002656</t>
        </is>
      </c>
      <c r="AZ937" t="inlineStr">
        <is>
          <t>BOOK</t>
        </is>
      </c>
      <c r="BB937" t="inlineStr">
        <is>
          <t>9783515069519</t>
        </is>
      </c>
      <c r="BC937" t="inlineStr">
        <is>
          <t>32285004262225</t>
        </is>
      </c>
      <c r="BD937" t="inlineStr">
        <is>
          <t>893774564</t>
        </is>
      </c>
    </row>
    <row r="938">
      <c r="A938" t="inlineStr">
        <is>
          <t>No</t>
        </is>
      </c>
      <c r="B938" t="inlineStr">
        <is>
          <t>DF82 .W47 1986</t>
        </is>
      </c>
      <c r="C938" t="inlineStr">
        <is>
          <t>0                      DF 0082000W  47          1986</t>
        </is>
      </c>
      <c r="D938" t="inlineStr">
        <is>
          <t>The demes of Attica, 508/7-ca. 250 B.C. : a political and social study / by David Whitehead.</t>
        </is>
      </c>
      <c r="F938" t="inlineStr">
        <is>
          <t>No</t>
        </is>
      </c>
      <c r="G938" t="inlineStr">
        <is>
          <t>1</t>
        </is>
      </c>
      <c r="H938" t="inlineStr">
        <is>
          <t>No</t>
        </is>
      </c>
      <c r="I938" t="inlineStr">
        <is>
          <t>No</t>
        </is>
      </c>
      <c r="J938" t="inlineStr">
        <is>
          <t>0</t>
        </is>
      </c>
      <c r="K938" t="inlineStr">
        <is>
          <t>Whitehead, David, 1949-</t>
        </is>
      </c>
      <c r="L938" t="inlineStr">
        <is>
          <t>Princeton, N.J. : Princeton University Press, c1986.</t>
        </is>
      </c>
      <c r="M938" t="inlineStr">
        <is>
          <t>1985</t>
        </is>
      </c>
      <c r="O938" t="inlineStr">
        <is>
          <t>eng</t>
        </is>
      </c>
      <c r="P938" t="inlineStr">
        <is>
          <t>nju</t>
        </is>
      </c>
      <c r="R938" t="inlineStr">
        <is>
          <t xml:space="preserve">DF </t>
        </is>
      </c>
      <c r="S938" t="n">
        <v>17</v>
      </c>
      <c r="T938" t="n">
        <v>17</v>
      </c>
      <c r="U938" t="inlineStr">
        <is>
          <t>2007-12-14</t>
        </is>
      </c>
      <c r="V938" t="inlineStr">
        <is>
          <t>2007-12-14</t>
        </is>
      </c>
      <c r="W938" t="inlineStr">
        <is>
          <t>1991-02-14</t>
        </is>
      </c>
      <c r="X938" t="inlineStr">
        <is>
          <t>1991-02-14</t>
        </is>
      </c>
      <c r="Y938" t="n">
        <v>487</v>
      </c>
      <c r="Z938" t="n">
        <v>362</v>
      </c>
      <c r="AA938" t="n">
        <v>584</v>
      </c>
      <c r="AB938" t="n">
        <v>2</v>
      </c>
      <c r="AC938" t="n">
        <v>5</v>
      </c>
      <c r="AD938" t="n">
        <v>16</v>
      </c>
      <c r="AE938" t="n">
        <v>29</v>
      </c>
      <c r="AF938" t="n">
        <v>6</v>
      </c>
      <c r="AG938" t="n">
        <v>13</v>
      </c>
      <c r="AH938" t="n">
        <v>3</v>
      </c>
      <c r="AI938" t="n">
        <v>8</v>
      </c>
      <c r="AJ938" t="n">
        <v>13</v>
      </c>
      <c r="AK938" t="n">
        <v>16</v>
      </c>
      <c r="AL938" t="n">
        <v>1</v>
      </c>
      <c r="AM938" t="n">
        <v>3</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HYPERLINK("https://creighton-primo.hosted.exlibrisgroup.com/primo-explore/search?tab=default_tab&amp;search_scope=EVERYTHING&amp;vid=01CRU&amp;lang=en_US&amp;offset=0&amp;query=any,contains,991005405859702656","Catalog Record")</f>
        <v/>
      </c>
      <c r="AT938">
        <f>HYPERLINK("http://www.worldcat.org/oclc/12666302","WorldCat Record")</f>
        <v/>
      </c>
      <c r="AU938" t="inlineStr">
        <is>
          <t>836673332:eng</t>
        </is>
      </c>
      <c r="AV938" t="inlineStr">
        <is>
          <t>12666302</t>
        </is>
      </c>
      <c r="AW938" t="inlineStr">
        <is>
          <t>991005405859702656</t>
        </is>
      </c>
      <c r="AX938" t="inlineStr">
        <is>
          <t>991005405859702656</t>
        </is>
      </c>
      <c r="AY938" t="inlineStr">
        <is>
          <t>2265953410002656</t>
        </is>
      </c>
      <c r="AZ938" t="inlineStr">
        <is>
          <t>BOOK</t>
        </is>
      </c>
      <c r="BB938" t="inlineStr">
        <is>
          <t>9780691094120</t>
        </is>
      </c>
      <c r="BC938" t="inlineStr">
        <is>
          <t>32285000459023</t>
        </is>
      </c>
      <c r="BD938" t="inlineStr">
        <is>
          <t>893607336</t>
        </is>
      </c>
    </row>
    <row r="939">
      <c r="A939" t="inlineStr">
        <is>
          <t>No</t>
        </is>
      </c>
      <c r="B939" t="inlineStr">
        <is>
          <t>DF82 .Y47 1997</t>
        </is>
      </c>
      <c r="C939" t="inlineStr">
        <is>
          <t>0                      DF 0082000Y  47          1997</t>
        </is>
      </c>
      <c r="D939" t="inlineStr">
        <is>
          <t>Yet more studies in the ancient Greek polis / Thomas Heine Nielsen (ed.).</t>
        </is>
      </c>
      <c r="F939" t="inlineStr">
        <is>
          <t>No</t>
        </is>
      </c>
      <c r="G939" t="inlineStr">
        <is>
          <t>1</t>
        </is>
      </c>
      <c r="H939" t="inlineStr">
        <is>
          <t>No</t>
        </is>
      </c>
      <c r="I939" t="inlineStr">
        <is>
          <t>No</t>
        </is>
      </c>
      <c r="J939" t="inlineStr">
        <is>
          <t>0</t>
        </is>
      </c>
      <c r="L939" t="inlineStr">
        <is>
          <t>Stuttgart : F. Steiner, 1997.</t>
        </is>
      </c>
      <c r="M939" t="inlineStr">
        <is>
          <t>1997</t>
        </is>
      </c>
      <c r="O939" t="inlineStr">
        <is>
          <t>eng</t>
        </is>
      </c>
      <c r="P939" t="inlineStr">
        <is>
          <t xml:space="preserve">gw </t>
        </is>
      </c>
      <c r="Q939" t="inlineStr">
        <is>
          <t>Historia. Einzelschriften ; Heft 117</t>
        </is>
      </c>
      <c r="R939" t="inlineStr">
        <is>
          <t xml:space="preserve">DF </t>
        </is>
      </c>
      <c r="S939" t="n">
        <v>8</v>
      </c>
      <c r="T939" t="n">
        <v>8</v>
      </c>
      <c r="U939" t="inlineStr">
        <is>
          <t>2007-11-02</t>
        </is>
      </c>
      <c r="V939" t="inlineStr">
        <is>
          <t>2007-11-02</t>
        </is>
      </c>
      <c r="W939" t="inlineStr">
        <is>
          <t>1999-02-11</t>
        </is>
      </c>
      <c r="X939" t="inlineStr">
        <is>
          <t>1999-02-11</t>
        </is>
      </c>
      <c r="Y939" t="n">
        <v>159</v>
      </c>
      <c r="Z939" t="n">
        <v>88</v>
      </c>
      <c r="AA939" t="n">
        <v>89</v>
      </c>
      <c r="AB939" t="n">
        <v>2</v>
      </c>
      <c r="AC939" t="n">
        <v>2</v>
      </c>
      <c r="AD939" t="n">
        <v>5</v>
      </c>
      <c r="AE939" t="n">
        <v>5</v>
      </c>
      <c r="AF939" t="n">
        <v>0</v>
      </c>
      <c r="AG939" t="n">
        <v>0</v>
      </c>
      <c r="AH939" t="n">
        <v>1</v>
      </c>
      <c r="AI939" t="n">
        <v>1</v>
      </c>
      <c r="AJ939" t="n">
        <v>4</v>
      </c>
      <c r="AK939" t="n">
        <v>4</v>
      </c>
      <c r="AL939" t="n">
        <v>1</v>
      </c>
      <c r="AM939" t="n">
        <v>1</v>
      </c>
      <c r="AN939" t="n">
        <v>0</v>
      </c>
      <c r="AO939" t="n">
        <v>0</v>
      </c>
      <c r="AP939" t="inlineStr">
        <is>
          <t>No</t>
        </is>
      </c>
      <c r="AQ939" t="inlineStr">
        <is>
          <t>Yes</t>
        </is>
      </c>
      <c r="AR939">
        <f>HYPERLINK("http://catalog.hathitrust.org/Record/003241313","HathiTrust Record")</f>
        <v/>
      </c>
      <c r="AS939">
        <f>HYPERLINK("https://creighton-primo.hosted.exlibrisgroup.com/primo-explore/search?tab=default_tab&amp;search_scope=EVERYTHING&amp;vid=01CRU&amp;lang=en_US&amp;offset=0&amp;query=any,contains,991002902519702656","Catalog Record")</f>
        <v/>
      </c>
      <c r="AT939">
        <f>HYPERLINK("http://www.worldcat.org/oclc/38270930","WorldCat Record")</f>
        <v/>
      </c>
      <c r="AU939" t="inlineStr">
        <is>
          <t>41895383:eng</t>
        </is>
      </c>
      <c r="AV939" t="inlineStr">
        <is>
          <t>38270930</t>
        </is>
      </c>
      <c r="AW939" t="inlineStr">
        <is>
          <t>991002902519702656</t>
        </is>
      </c>
      <c r="AX939" t="inlineStr">
        <is>
          <t>991002902519702656</t>
        </is>
      </c>
      <c r="AY939" t="inlineStr">
        <is>
          <t>2258816260002656</t>
        </is>
      </c>
      <c r="AZ939" t="inlineStr">
        <is>
          <t>BOOK</t>
        </is>
      </c>
      <c r="BB939" t="inlineStr">
        <is>
          <t>9783515072229</t>
        </is>
      </c>
      <c r="BC939" t="inlineStr">
        <is>
          <t>32285003519492</t>
        </is>
      </c>
      <c r="BD939" t="inlineStr">
        <is>
          <t>893233581</t>
        </is>
      </c>
    </row>
    <row r="940">
      <c r="A940" t="inlineStr">
        <is>
          <t>No</t>
        </is>
      </c>
      <c r="B940" t="inlineStr">
        <is>
          <t>DF83 .M415 1939</t>
        </is>
      </c>
      <c r="C940" t="inlineStr">
        <is>
          <t>0                      DF 0083000M  415         1939</t>
        </is>
      </c>
      <c r="D940" t="inlineStr">
        <is>
          <t>The Athenian tribute lists / by Benjamin Dean Meritt, H. T. Wade-Gery, [and] Malcolm Francis McGregor.</t>
        </is>
      </c>
      <c r="E940" t="inlineStr">
        <is>
          <t>V.3</t>
        </is>
      </c>
      <c r="F940" t="inlineStr">
        <is>
          <t>Yes</t>
        </is>
      </c>
      <c r="G940" t="inlineStr">
        <is>
          <t>1</t>
        </is>
      </c>
      <c r="H940" t="inlineStr">
        <is>
          <t>No</t>
        </is>
      </c>
      <c r="I940" t="inlineStr">
        <is>
          <t>No</t>
        </is>
      </c>
      <c r="J940" t="inlineStr">
        <is>
          <t>0</t>
        </is>
      </c>
      <c r="K940" t="inlineStr">
        <is>
          <t>Meritt, Benjamin Dean, 1899-1989.</t>
        </is>
      </c>
      <c r="L940" t="inlineStr">
        <is>
          <t>Cambridge, Mass. : Harvard University Press : Princeton : American School of Classical Studies at Athens, 1939-1953.</t>
        </is>
      </c>
      <c r="M940" t="inlineStr">
        <is>
          <t>1939</t>
        </is>
      </c>
      <c r="O940" t="inlineStr">
        <is>
          <t>eng</t>
        </is>
      </c>
      <c r="P940" t="inlineStr">
        <is>
          <t>mau</t>
        </is>
      </c>
      <c r="R940" t="inlineStr">
        <is>
          <t xml:space="preserve">DF </t>
        </is>
      </c>
      <c r="S940" t="n">
        <v>2</v>
      </c>
      <c r="T940" t="n">
        <v>2</v>
      </c>
      <c r="U940" t="inlineStr">
        <is>
          <t>2006-05-10</t>
        </is>
      </c>
      <c r="V940" t="inlineStr">
        <is>
          <t>2006-05-10</t>
        </is>
      </c>
      <c r="W940" t="inlineStr">
        <is>
          <t>1999-02-10</t>
        </is>
      </c>
      <c r="X940" t="inlineStr">
        <is>
          <t>1999-02-10</t>
        </is>
      </c>
      <c r="Y940" t="n">
        <v>228</v>
      </c>
      <c r="Z940" t="n">
        <v>164</v>
      </c>
      <c r="AA940" t="n">
        <v>224</v>
      </c>
      <c r="AB940" t="n">
        <v>2</v>
      </c>
      <c r="AC940" t="n">
        <v>3</v>
      </c>
      <c r="AD940" t="n">
        <v>10</v>
      </c>
      <c r="AE940" t="n">
        <v>12</v>
      </c>
      <c r="AF940" t="n">
        <v>2</v>
      </c>
      <c r="AG940" t="n">
        <v>2</v>
      </c>
      <c r="AH940" t="n">
        <v>1</v>
      </c>
      <c r="AI940" t="n">
        <v>2</v>
      </c>
      <c r="AJ940" t="n">
        <v>9</v>
      </c>
      <c r="AK940" t="n">
        <v>10</v>
      </c>
      <c r="AL940" t="n">
        <v>1</v>
      </c>
      <c r="AM940" t="n">
        <v>2</v>
      </c>
      <c r="AN940" t="n">
        <v>0</v>
      </c>
      <c r="AO940" t="n">
        <v>0</v>
      </c>
      <c r="AP940" t="inlineStr">
        <is>
          <t>Yes</t>
        </is>
      </c>
      <c r="AQ940" t="inlineStr">
        <is>
          <t>No</t>
        </is>
      </c>
      <c r="AR940">
        <f>HYPERLINK("http://catalog.hathitrust.org/Record/000575968","HathiTrust Record")</f>
        <v/>
      </c>
      <c r="AS940">
        <f>HYPERLINK("https://creighton-primo.hosted.exlibrisgroup.com/primo-explore/search?tab=default_tab&amp;search_scope=EVERYTHING&amp;vid=01CRU&amp;lang=en_US&amp;offset=0&amp;query=any,contains,991004616409702656","Catalog Record")</f>
        <v/>
      </c>
      <c r="AT940">
        <f>HYPERLINK("http://www.worldcat.org/oclc/4260199","WorldCat Record")</f>
        <v/>
      </c>
      <c r="AU940" t="inlineStr">
        <is>
          <t>3771274866:eng</t>
        </is>
      </c>
      <c r="AV940" t="inlineStr">
        <is>
          <t>4260199</t>
        </is>
      </c>
      <c r="AW940" t="inlineStr">
        <is>
          <t>991004616409702656</t>
        </is>
      </c>
      <c r="AX940" t="inlineStr">
        <is>
          <t>991004616409702656</t>
        </is>
      </c>
      <c r="AY940" t="inlineStr">
        <is>
          <t>2255785010002656</t>
        </is>
      </c>
      <c r="AZ940" t="inlineStr">
        <is>
          <t>BOOK</t>
        </is>
      </c>
      <c r="BC940" t="inlineStr">
        <is>
          <t>32285003519021</t>
        </is>
      </c>
      <c r="BD940" t="inlineStr">
        <is>
          <t>893519851</t>
        </is>
      </c>
    </row>
    <row r="941">
      <c r="A941" t="inlineStr">
        <is>
          <t>No</t>
        </is>
      </c>
      <c r="B941" t="inlineStr">
        <is>
          <t>DF845.52 .C53 2006</t>
        </is>
      </c>
      <c r="C941" t="inlineStr">
        <is>
          <t>0                      DF 0845520C  53          2006</t>
        </is>
      </c>
      <c r="D941" t="inlineStr">
        <is>
          <t>Twice a stranger : the mass expulsions that forged modern Greece and Turkey / Bruce Clark.</t>
        </is>
      </c>
      <c r="F941" t="inlineStr">
        <is>
          <t>No</t>
        </is>
      </c>
      <c r="G941" t="inlineStr">
        <is>
          <t>1</t>
        </is>
      </c>
      <c r="H941" t="inlineStr">
        <is>
          <t>No</t>
        </is>
      </c>
      <c r="I941" t="inlineStr">
        <is>
          <t>No</t>
        </is>
      </c>
      <c r="J941" t="inlineStr">
        <is>
          <t>0</t>
        </is>
      </c>
      <c r="K941" t="inlineStr">
        <is>
          <t>Clark, Bruce, 1958-</t>
        </is>
      </c>
      <c r="L941" t="inlineStr">
        <is>
          <t>Cambridge, Mass. : Harvard University Press, 2006.</t>
        </is>
      </c>
      <c r="M941" t="inlineStr">
        <is>
          <t>2006</t>
        </is>
      </c>
      <c r="O941" t="inlineStr">
        <is>
          <t>eng</t>
        </is>
      </c>
      <c r="P941" t="inlineStr">
        <is>
          <t>mau</t>
        </is>
      </c>
      <c r="R941" t="inlineStr">
        <is>
          <t xml:space="preserve">DF </t>
        </is>
      </c>
      <c r="S941" t="n">
        <v>2</v>
      </c>
      <c r="T941" t="n">
        <v>2</v>
      </c>
      <c r="U941" t="inlineStr">
        <is>
          <t>2008-05-29</t>
        </is>
      </c>
      <c r="V941" t="inlineStr">
        <is>
          <t>2008-05-29</t>
        </is>
      </c>
      <c r="W941" t="inlineStr">
        <is>
          <t>2006-10-17</t>
        </is>
      </c>
      <c r="X941" t="inlineStr">
        <is>
          <t>2006-10-17</t>
        </is>
      </c>
      <c r="Y941" t="n">
        <v>584</v>
      </c>
      <c r="Z941" t="n">
        <v>513</v>
      </c>
      <c r="AA941" t="n">
        <v>572</v>
      </c>
      <c r="AB941" t="n">
        <v>6</v>
      </c>
      <c r="AC941" t="n">
        <v>6</v>
      </c>
      <c r="AD941" t="n">
        <v>25</v>
      </c>
      <c r="AE941" t="n">
        <v>26</v>
      </c>
      <c r="AF941" t="n">
        <v>8</v>
      </c>
      <c r="AG941" t="n">
        <v>8</v>
      </c>
      <c r="AH941" t="n">
        <v>7</v>
      </c>
      <c r="AI941" t="n">
        <v>8</v>
      </c>
      <c r="AJ941" t="n">
        <v>11</v>
      </c>
      <c r="AK941" t="n">
        <v>12</v>
      </c>
      <c r="AL941" t="n">
        <v>5</v>
      </c>
      <c r="AM941" t="n">
        <v>5</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HYPERLINK("https://creighton-primo.hosted.exlibrisgroup.com/primo-explore/search?tab=default_tab&amp;search_scope=EVERYTHING&amp;vid=01CRU&amp;lang=en_US&amp;offset=0&amp;query=any,contains,991004937029702656","Catalog Record")</f>
        <v/>
      </c>
      <c r="AT941">
        <f>HYPERLINK("http://www.worldcat.org/oclc/67361508","WorldCat Record")</f>
        <v/>
      </c>
      <c r="AU941" t="inlineStr">
        <is>
          <t>50011685:eng</t>
        </is>
      </c>
      <c r="AV941" t="inlineStr">
        <is>
          <t>67361508</t>
        </is>
      </c>
      <c r="AW941" t="inlineStr">
        <is>
          <t>991004937029702656</t>
        </is>
      </c>
      <c r="AX941" t="inlineStr">
        <is>
          <t>991004937029702656</t>
        </is>
      </c>
      <c r="AY941" t="inlineStr">
        <is>
          <t>2266416550002656</t>
        </is>
      </c>
      <c r="AZ941" t="inlineStr">
        <is>
          <t>BOOK</t>
        </is>
      </c>
      <c r="BB941" t="inlineStr">
        <is>
          <t>9780674023680</t>
        </is>
      </c>
      <c r="BC941" t="inlineStr">
        <is>
          <t>32285005230775</t>
        </is>
      </c>
      <c r="BD941" t="inlineStr">
        <is>
          <t>893230020</t>
        </is>
      </c>
    </row>
    <row r="942">
      <c r="A942" t="inlineStr">
        <is>
          <t>No</t>
        </is>
      </c>
      <c r="B942" t="inlineStr">
        <is>
          <t>DF849 .M325 1980</t>
        </is>
      </c>
      <c r="C942" t="inlineStr">
        <is>
          <t>0                      DF 0849000M  325         1980</t>
        </is>
      </c>
      <c r="D942" t="inlineStr">
        <is>
          <t>Ambassador MacVeagh reports : Greece, 1933-1947 / edited by John O. Iatrides.</t>
        </is>
      </c>
      <c r="F942" t="inlineStr">
        <is>
          <t>No</t>
        </is>
      </c>
      <c r="G942" t="inlineStr">
        <is>
          <t>1</t>
        </is>
      </c>
      <c r="H942" t="inlineStr">
        <is>
          <t>No</t>
        </is>
      </c>
      <c r="I942" t="inlineStr">
        <is>
          <t>No</t>
        </is>
      </c>
      <c r="J942" t="inlineStr">
        <is>
          <t>0</t>
        </is>
      </c>
      <c r="K942" t="inlineStr">
        <is>
          <t>MacVeagh, Lincoln, 1890-1972.</t>
        </is>
      </c>
      <c r="L942" t="inlineStr">
        <is>
          <t>Princeton, N.J. : Princeton University Press, c1980.</t>
        </is>
      </c>
      <c r="M942" t="inlineStr">
        <is>
          <t>1980</t>
        </is>
      </c>
      <c r="O942" t="inlineStr">
        <is>
          <t>eng</t>
        </is>
      </c>
      <c r="P942" t="inlineStr">
        <is>
          <t>nju</t>
        </is>
      </c>
      <c r="R942" t="inlineStr">
        <is>
          <t xml:space="preserve">DF </t>
        </is>
      </c>
      <c r="S942" t="n">
        <v>2</v>
      </c>
      <c r="T942" t="n">
        <v>2</v>
      </c>
      <c r="U942" t="inlineStr">
        <is>
          <t>1993-11-30</t>
        </is>
      </c>
      <c r="V942" t="inlineStr">
        <is>
          <t>1993-11-30</t>
        </is>
      </c>
      <c r="W942" t="inlineStr">
        <is>
          <t>1991-02-21</t>
        </is>
      </c>
      <c r="X942" t="inlineStr">
        <is>
          <t>1991-02-21</t>
        </is>
      </c>
      <c r="Y942" t="n">
        <v>378</v>
      </c>
      <c r="Z942" t="n">
        <v>295</v>
      </c>
      <c r="AA942" t="n">
        <v>605</v>
      </c>
      <c r="AB942" t="n">
        <v>3</v>
      </c>
      <c r="AC942" t="n">
        <v>5</v>
      </c>
      <c r="AD942" t="n">
        <v>18</v>
      </c>
      <c r="AE942" t="n">
        <v>30</v>
      </c>
      <c r="AF942" t="n">
        <v>4</v>
      </c>
      <c r="AG942" t="n">
        <v>12</v>
      </c>
      <c r="AH942" t="n">
        <v>6</v>
      </c>
      <c r="AI942" t="n">
        <v>9</v>
      </c>
      <c r="AJ942" t="n">
        <v>12</v>
      </c>
      <c r="AK942" t="n">
        <v>16</v>
      </c>
      <c r="AL942" t="n">
        <v>2</v>
      </c>
      <c r="AM942" t="n">
        <v>3</v>
      </c>
      <c r="AN942" t="n">
        <v>0</v>
      </c>
      <c r="AO942" t="n">
        <v>0</v>
      </c>
      <c r="AP942" t="inlineStr">
        <is>
          <t>No</t>
        </is>
      </c>
      <c r="AQ942" t="inlineStr">
        <is>
          <t>Yes</t>
        </is>
      </c>
      <c r="AR942">
        <f>HYPERLINK("http://catalog.hathitrust.org/Record/000744608","HathiTrust Record")</f>
        <v/>
      </c>
      <c r="AS942">
        <f>HYPERLINK("https://creighton-primo.hosted.exlibrisgroup.com/primo-explore/search?tab=default_tab&amp;search_scope=EVERYTHING&amp;vid=01CRU&amp;lang=en_US&amp;offset=0&amp;query=any,contains,991004817089702656","Catalog Record")</f>
        <v/>
      </c>
      <c r="AT942">
        <f>HYPERLINK("http://www.worldcat.org/oclc/5310806","WorldCat Record")</f>
        <v/>
      </c>
      <c r="AU942" t="inlineStr">
        <is>
          <t>796634322:eng</t>
        </is>
      </c>
      <c r="AV942" t="inlineStr">
        <is>
          <t>5310806</t>
        </is>
      </c>
      <c r="AW942" t="inlineStr">
        <is>
          <t>991004817089702656</t>
        </is>
      </c>
      <c r="AX942" t="inlineStr">
        <is>
          <t>991004817089702656</t>
        </is>
      </c>
      <c r="AY942" t="inlineStr">
        <is>
          <t>2264428550002656</t>
        </is>
      </c>
      <c r="AZ942" t="inlineStr">
        <is>
          <t>BOOK</t>
        </is>
      </c>
      <c r="BB942" t="inlineStr">
        <is>
          <t>9780691052922</t>
        </is>
      </c>
      <c r="BC942" t="inlineStr">
        <is>
          <t>32285000520733</t>
        </is>
      </c>
      <c r="BD942" t="inlineStr">
        <is>
          <t>893795305</t>
        </is>
      </c>
    </row>
    <row r="943">
      <c r="A943" t="inlineStr">
        <is>
          <t>No</t>
        </is>
      </c>
      <c r="B943" t="inlineStr">
        <is>
          <t>DF849.52 .G47 2004</t>
        </is>
      </c>
      <c r="C943" t="inlineStr">
        <is>
          <t>0                      DF 0849520G  47          2004</t>
        </is>
      </c>
      <c r="D943" t="inlineStr">
        <is>
          <t>Red acropolis, black terror : the Greek Civil War and the origins of Soviet-American rivalry, 1943-1949 / André Gerolymatos.</t>
        </is>
      </c>
      <c r="F943" t="inlineStr">
        <is>
          <t>No</t>
        </is>
      </c>
      <c r="G943" t="inlineStr">
        <is>
          <t>1</t>
        </is>
      </c>
      <c r="H943" t="inlineStr">
        <is>
          <t>No</t>
        </is>
      </c>
      <c r="I943" t="inlineStr">
        <is>
          <t>No</t>
        </is>
      </c>
      <c r="J943" t="inlineStr">
        <is>
          <t>0</t>
        </is>
      </c>
      <c r="K943" t="inlineStr">
        <is>
          <t>Gerolymatos, André.</t>
        </is>
      </c>
      <c r="L943" t="inlineStr">
        <is>
          <t>New York : Basic Books, c2004.</t>
        </is>
      </c>
      <c r="M943" t="inlineStr">
        <is>
          <t>2004</t>
        </is>
      </c>
      <c r="O943" t="inlineStr">
        <is>
          <t>eng</t>
        </is>
      </c>
      <c r="P943" t="inlineStr">
        <is>
          <t>nyu</t>
        </is>
      </c>
      <c r="R943" t="inlineStr">
        <is>
          <t xml:space="preserve">DF </t>
        </is>
      </c>
      <c r="S943" t="n">
        <v>5</v>
      </c>
      <c r="T943" t="n">
        <v>5</v>
      </c>
      <c r="U943" t="inlineStr">
        <is>
          <t>2009-11-23</t>
        </is>
      </c>
      <c r="V943" t="inlineStr">
        <is>
          <t>2009-11-23</t>
        </is>
      </c>
      <c r="W943" t="inlineStr">
        <is>
          <t>2004-11-15</t>
        </is>
      </c>
      <c r="X943" t="inlineStr">
        <is>
          <t>2004-11-15</t>
        </is>
      </c>
      <c r="Y943" t="n">
        <v>461</v>
      </c>
      <c r="Z943" t="n">
        <v>396</v>
      </c>
      <c r="AA943" t="n">
        <v>403</v>
      </c>
      <c r="AB943" t="n">
        <v>3</v>
      </c>
      <c r="AC943" t="n">
        <v>3</v>
      </c>
      <c r="AD943" t="n">
        <v>22</v>
      </c>
      <c r="AE943" t="n">
        <v>22</v>
      </c>
      <c r="AF943" t="n">
        <v>11</v>
      </c>
      <c r="AG943" t="n">
        <v>11</v>
      </c>
      <c r="AH943" t="n">
        <v>5</v>
      </c>
      <c r="AI943" t="n">
        <v>5</v>
      </c>
      <c r="AJ943" t="n">
        <v>10</v>
      </c>
      <c r="AK943" t="n">
        <v>10</v>
      </c>
      <c r="AL943" t="n">
        <v>2</v>
      </c>
      <c r="AM943" t="n">
        <v>2</v>
      </c>
      <c r="AN943" t="n">
        <v>0</v>
      </c>
      <c r="AO943" t="n">
        <v>0</v>
      </c>
      <c r="AP943" t="inlineStr">
        <is>
          <t>No</t>
        </is>
      </c>
      <c r="AQ943" t="inlineStr">
        <is>
          <t>Yes</t>
        </is>
      </c>
      <c r="AR943">
        <f>HYPERLINK("http://catalog.hathitrust.org/Record/004730368","HathiTrust Record")</f>
        <v/>
      </c>
      <c r="AS943">
        <f>HYPERLINK("https://creighton-primo.hosted.exlibrisgroup.com/primo-explore/search?tab=default_tab&amp;search_scope=EVERYTHING&amp;vid=01CRU&amp;lang=en_US&amp;offset=0&amp;query=any,contains,991004405349702656","Catalog Record")</f>
        <v/>
      </c>
      <c r="AT943">
        <f>HYPERLINK("http://www.worldcat.org/oclc/54865498","WorldCat Record")</f>
        <v/>
      </c>
      <c r="AU943" t="inlineStr">
        <is>
          <t>891343064:eng</t>
        </is>
      </c>
      <c r="AV943" t="inlineStr">
        <is>
          <t>54865498</t>
        </is>
      </c>
      <c r="AW943" t="inlineStr">
        <is>
          <t>991004405349702656</t>
        </is>
      </c>
      <c r="AX943" t="inlineStr">
        <is>
          <t>991004405349702656</t>
        </is>
      </c>
      <c r="AY943" t="inlineStr">
        <is>
          <t>2258553100002656</t>
        </is>
      </c>
      <c r="AZ943" t="inlineStr">
        <is>
          <t>BOOK</t>
        </is>
      </c>
      <c r="BB943" t="inlineStr">
        <is>
          <t>9780465027439</t>
        </is>
      </c>
      <c r="BC943" t="inlineStr">
        <is>
          <t>32285005010292</t>
        </is>
      </c>
      <c r="BD943" t="inlineStr">
        <is>
          <t>893446186</t>
        </is>
      </c>
    </row>
    <row r="944">
      <c r="A944" t="inlineStr">
        <is>
          <t>No</t>
        </is>
      </c>
      <c r="B944" t="inlineStr">
        <is>
          <t>DF85 .J6</t>
        </is>
      </c>
      <c r="C944" t="inlineStr">
        <is>
          <t>0                      DF 0085000J  6</t>
        </is>
      </c>
      <c r="D944" t="inlineStr">
        <is>
          <t>The cities of the eastern Roman provinces, by A. H. M. Jones.</t>
        </is>
      </c>
      <c r="F944" t="inlineStr">
        <is>
          <t>No</t>
        </is>
      </c>
      <c r="G944" t="inlineStr">
        <is>
          <t>1</t>
        </is>
      </c>
      <c r="H944" t="inlineStr">
        <is>
          <t>No</t>
        </is>
      </c>
      <c r="I944" t="inlineStr">
        <is>
          <t>No</t>
        </is>
      </c>
      <c r="J944" t="inlineStr">
        <is>
          <t>0</t>
        </is>
      </c>
      <c r="K944" t="inlineStr">
        <is>
          <t>Jones, A. H. M. (Arnold Hugh Martin), 1904-1970.</t>
        </is>
      </c>
      <c r="L944" t="inlineStr">
        <is>
          <t>Oxford, The Clarendon press, 1937.</t>
        </is>
      </c>
      <c r="M944" t="inlineStr">
        <is>
          <t>1937</t>
        </is>
      </c>
      <c r="O944" t="inlineStr">
        <is>
          <t>eng</t>
        </is>
      </c>
      <c r="P944" t="inlineStr">
        <is>
          <t xml:space="preserve">xx </t>
        </is>
      </c>
      <c r="R944" t="inlineStr">
        <is>
          <t xml:space="preserve">DF </t>
        </is>
      </c>
      <c r="S944" t="n">
        <v>2</v>
      </c>
      <c r="T944" t="n">
        <v>2</v>
      </c>
      <c r="U944" t="inlineStr">
        <is>
          <t>2007-03-31</t>
        </is>
      </c>
      <c r="V944" t="inlineStr">
        <is>
          <t>2007-03-31</t>
        </is>
      </c>
      <c r="W944" t="inlineStr">
        <is>
          <t>1997-01-28</t>
        </is>
      </c>
      <c r="X944" t="inlineStr">
        <is>
          <t>1997-01-28</t>
        </is>
      </c>
      <c r="Y944" t="n">
        <v>217</v>
      </c>
      <c r="Z944" t="n">
        <v>153</v>
      </c>
      <c r="AA944" t="n">
        <v>1063</v>
      </c>
      <c r="AB944" t="n">
        <v>2</v>
      </c>
      <c r="AC944" t="n">
        <v>8</v>
      </c>
      <c r="AD944" t="n">
        <v>10</v>
      </c>
      <c r="AE944" t="n">
        <v>40</v>
      </c>
      <c r="AF944" t="n">
        <v>1</v>
      </c>
      <c r="AG944" t="n">
        <v>14</v>
      </c>
      <c r="AH944" t="n">
        <v>3</v>
      </c>
      <c r="AI944" t="n">
        <v>8</v>
      </c>
      <c r="AJ944" t="n">
        <v>6</v>
      </c>
      <c r="AK944" t="n">
        <v>21</v>
      </c>
      <c r="AL944" t="n">
        <v>1</v>
      </c>
      <c r="AM944" t="n">
        <v>7</v>
      </c>
      <c r="AN944" t="n">
        <v>0</v>
      </c>
      <c r="AO944" t="n">
        <v>0</v>
      </c>
      <c r="AP944" t="inlineStr">
        <is>
          <t>No</t>
        </is>
      </c>
      <c r="AQ944" t="inlineStr">
        <is>
          <t>Yes</t>
        </is>
      </c>
      <c r="AR944">
        <f>HYPERLINK("http://catalog.hathitrust.org/Record/000654356","HathiTrust Record")</f>
        <v/>
      </c>
      <c r="AS944">
        <f>HYPERLINK("https://creighton-primo.hosted.exlibrisgroup.com/primo-explore/search?tab=default_tab&amp;search_scope=EVERYTHING&amp;vid=01CRU&amp;lang=en_US&amp;offset=0&amp;query=any,contains,991004230329702656","Catalog Record")</f>
        <v/>
      </c>
      <c r="AT944">
        <f>HYPERLINK("http://www.worldcat.org/oclc/2744990","WorldCat Record")</f>
        <v/>
      </c>
      <c r="AU944" t="inlineStr">
        <is>
          <t>1325186:eng</t>
        </is>
      </c>
      <c r="AV944" t="inlineStr">
        <is>
          <t>2744990</t>
        </is>
      </c>
      <c r="AW944" t="inlineStr">
        <is>
          <t>991004230329702656</t>
        </is>
      </c>
      <c r="AX944" t="inlineStr">
        <is>
          <t>991004230329702656</t>
        </is>
      </c>
      <c r="AY944" t="inlineStr">
        <is>
          <t>2260667080002656</t>
        </is>
      </c>
      <c r="AZ944" t="inlineStr">
        <is>
          <t>BOOK</t>
        </is>
      </c>
      <c r="BC944" t="inlineStr">
        <is>
          <t>32285002417318</t>
        </is>
      </c>
      <c r="BD944" t="inlineStr">
        <is>
          <t>893506583</t>
        </is>
      </c>
    </row>
    <row r="945">
      <c r="A945" t="inlineStr">
        <is>
          <t>No</t>
        </is>
      </c>
      <c r="B945" t="inlineStr">
        <is>
          <t>DF85 .J615 1971</t>
        </is>
      </c>
      <c r="C945" t="inlineStr">
        <is>
          <t>0                      DF 0085000J  615         1971</t>
        </is>
      </c>
      <c r="D945" t="inlineStr">
        <is>
          <t>The Greek city from Alexander to Justinian, by A. H. M. Jones.</t>
        </is>
      </c>
      <c r="F945" t="inlineStr">
        <is>
          <t>No</t>
        </is>
      </c>
      <c r="G945" t="inlineStr">
        <is>
          <t>1</t>
        </is>
      </c>
      <c r="H945" t="inlineStr">
        <is>
          <t>No</t>
        </is>
      </c>
      <c r="I945" t="inlineStr">
        <is>
          <t>No</t>
        </is>
      </c>
      <c r="J945" t="inlineStr">
        <is>
          <t>0</t>
        </is>
      </c>
      <c r="K945" t="inlineStr">
        <is>
          <t>Jones, A. H. M. (Arnold Hugh Martin), 1904-1970.</t>
        </is>
      </c>
      <c r="L945" t="inlineStr">
        <is>
          <t>Oxford, The Clarendon press [1971]</t>
        </is>
      </c>
      <c r="M945" t="inlineStr">
        <is>
          <t>1971</t>
        </is>
      </c>
      <c r="O945" t="inlineStr">
        <is>
          <t>eng</t>
        </is>
      </c>
      <c r="P945" t="inlineStr">
        <is>
          <t>enk</t>
        </is>
      </c>
      <c r="R945" t="inlineStr">
        <is>
          <t xml:space="preserve">DF </t>
        </is>
      </c>
      <c r="S945" t="n">
        <v>3</v>
      </c>
      <c r="T945" t="n">
        <v>3</v>
      </c>
      <c r="U945" t="inlineStr">
        <is>
          <t>2004-02-13</t>
        </is>
      </c>
      <c r="V945" t="inlineStr">
        <is>
          <t>2004-02-13</t>
        </is>
      </c>
      <c r="W945" t="inlineStr">
        <is>
          <t>1996-05-29</t>
        </is>
      </c>
      <c r="X945" t="inlineStr">
        <is>
          <t>1996-05-29</t>
        </is>
      </c>
      <c r="Y945" t="n">
        <v>57</v>
      </c>
      <c r="Z945" t="n">
        <v>47</v>
      </c>
      <c r="AA945" t="n">
        <v>714</v>
      </c>
      <c r="AB945" t="n">
        <v>2</v>
      </c>
      <c r="AC945" t="n">
        <v>4</v>
      </c>
      <c r="AD945" t="n">
        <v>2</v>
      </c>
      <c r="AE945" t="n">
        <v>33</v>
      </c>
      <c r="AF945" t="n">
        <v>2</v>
      </c>
      <c r="AG945" t="n">
        <v>12</v>
      </c>
      <c r="AH945" t="n">
        <v>0</v>
      </c>
      <c r="AI945" t="n">
        <v>8</v>
      </c>
      <c r="AJ945" t="n">
        <v>0</v>
      </c>
      <c r="AK945" t="n">
        <v>18</v>
      </c>
      <c r="AL945" t="n">
        <v>0</v>
      </c>
      <c r="AM945" t="n">
        <v>2</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HYPERLINK("https://creighton-primo.hosted.exlibrisgroup.com/primo-explore/search?tab=default_tab&amp;search_scope=EVERYTHING&amp;vid=01CRU&amp;lang=en_US&amp;offset=0&amp;query=any,contains,991003576909702656","Catalog Record")</f>
        <v/>
      </c>
      <c r="AT945">
        <f>HYPERLINK("http://www.worldcat.org/oclc/1156156","WorldCat Record")</f>
        <v/>
      </c>
      <c r="AU945" t="inlineStr">
        <is>
          <t>2088534:eng</t>
        </is>
      </c>
      <c r="AV945" t="inlineStr">
        <is>
          <t>1156156</t>
        </is>
      </c>
      <c r="AW945" t="inlineStr">
        <is>
          <t>991003576909702656</t>
        </is>
      </c>
      <c r="AX945" t="inlineStr">
        <is>
          <t>991003576909702656</t>
        </is>
      </c>
      <c r="AY945" t="inlineStr">
        <is>
          <t>2262847800002656</t>
        </is>
      </c>
      <c r="AZ945" t="inlineStr">
        <is>
          <t>BOOK</t>
        </is>
      </c>
      <c r="BC945" t="inlineStr">
        <is>
          <t>32285002164456</t>
        </is>
      </c>
      <c r="BD945" t="inlineStr">
        <is>
          <t>893887621</t>
        </is>
      </c>
    </row>
    <row r="946">
      <c r="A946" t="inlineStr">
        <is>
          <t>No</t>
        </is>
      </c>
      <c r="B946" t="inlineStr">
        <is>
          <t>DF854 .G723 1999</t>
        </is>
      </c>
      <c r="C946" t="inlineStr">
        <is>
          <t>0                      DF 0854000G  723         1999</t>
        </is>
      </c>
      <c r="D946" t="inlineStr">
        <is>
          <t>Greece and the new Balkans : challenges and opportunities / edited by Van Coufoudakis, Harry J. Psomiades, Andre Gerolymatos.</t>
        </is>
      </c>
      <c r="F946" t="inlineStr">
        <is>
          <t>No</t>
        </is>
      </c>
      <c r="G946" t="inlineStr">
        <is>
          <t>1</t>
        </is>
      </c>
      <c r="H946" t="inlineStr">
        <is>
          <t>No</t>
        </is>
      </c>
      <c r="I946" t="inlineStr">
        <is>
          <t>No</t>
        </is>
      </c>
      <c r="J946" t="inlineStr">
        <is>
          <t>0</t>
        </is>
      </c>
      <c r="L946" t="inlineStr">
        <is>
          <t>New York, NY : Pella Pub. Co., 1999.</t>
        </is>
      </c>
      <c r="M946" t="inlineStr">
        <is>
          <t>1999</t>
        </is>
      </c>
      <c r="O946" t="inlineStr">
        <is>
          <t>eng</t>
        </is>
      </c>
      <c r="P946" t="inlineStr">
        <is>
          <t>nyu</t>
        </is>
      </c>
      <c r="Q946" t="inlineStr">
        <is>
          <t>Modern Greek research series ; 7</t>
        </is>
      </c>
      <c r="R946" t="inlineStr">
        <is>
          <t xml:space="preserve">DF </t>
        </is>
      </c>
      <c r="S946" t="n">
        <v>1</v>
      </c>
      <c r="T946" t="n">
        <v>1</v>
      </c>
      <c r="U946" t="inlineStr">
        <is>
          <t>2007-12-13</t>
        </is>
      </c>
      <c r="V946" t="inlineStr">
        <is>
          <t>2007-12-13</t>
        </is>
      </c>
      <c r="W946" t="inlineStr">
        <is>
          <t>2000-03-20</t>
        </is>
      </c>
      <c r="X946" t="inlineStr">
        <is>
          <t>2000-03-20</t>
        </is>
      </c>
      <c r="Y946" t="n">
        <v>161</v>
      </c>
      <c r="Z946" t="n">
        <v>123</v>
      </c>
      <c r="AA946" t="n">
        <v>125</v>
      </c>
      <c r="AB946" t="n">
        <v>1</v>
      </c>
      <c r="AC946" t="n">
        <v>1</v>
      </c>
      <c r="AD946" t="n">
        <v>5</v>
      </c>
      <c r="AE946" t="n">
        <v>5</v>
      </c>
      <c r="AF946" t="n">
        <v>2</v>
      </c>
      <c r="AG946" t="n">
        <v>2</v>
      </c>
      <c r="AH946" t="n">
        <v>2</v>
      </c>
      <c r="AI946" t="n">
        <v>2</v>
      </c>
      <c r="AJ946" t="n">
        <v>4</v>
      </c>
      <c r="AK946" t="n">
        <v>4</v>
      </c>
      <c r="AL946" t="n">
        <v>0</v>
      </c>
      <c r="AM946" t="n">
        <v>0</v>
      </c>
      <c r="AN946" t="n">
        <v>0</v>
      </c>
      <c r="AO946" t="n">
        <v>0</v>
      </c>
      <c r="AP946" t="inlineStr">
        <is>
          <t>No</t>
        </is>
      </c>
      <c r="AQ946" t="inlineStr">
        <is>
          <t>Yes</t>
        </is>
      </c>
      <c r="AR946">
        <f>HYPERLINK("http://catalog.hathitrust.org/Record/004053324","HathiTrust Record")</f>
        <v/>
      </c>
      <c r="AS946">
        <f>HYPERLINK("https://creighton-primo.hosted.exlibrisgroup.com/primo-explore/search?tab=default_tab&amp;search_scope=EVERYTHING&amp;vid=01CRU&amp;lang=en_US&amp;offset=0&amp;query=any,contains,991003035889702656","Catalog Record")</f>
        <v/>
      </c>
      <c r="AT946">
        <f>HYPERLINK("http://www.worldcat.org/oclc/41662694","WorldCat Record")</f>
        <v/>
      </c>
      <c r="AU946" t="inlineStr">
        <is>
          <t>369489448:eng</t>
        </is>
      </c>
      <c r="AV946" t="inlineStr">
        <is>
          <t>41662694</t>
        </is>
      </c>
      <c r="AW946" t="inlineStr">
        <is>
          <t>991003035889702656</t>
        </is>
      </c>
      <c r="AX946" t="inlineStr">
        <is>
          <t>991003035889702656</t>
        </is>
      </c>
      <c r="AY946" t="inlineStr">
        <is>
          <t>2255226520002656</t>
        </is>
      </c>
      <c r="AZ946" t="inlineStr">
        <is>
          <t>BOOK</t>
        </is>
      </c>
      <c r="BB946" t="inlineStr">
        <is>
          <t>9780918618726</t>
        </is>
      </c>
      <c r="BC946" t="inlineStr">
        <is>
          <t>32285003672390</t>
        </is>
      </c>
      <c r="BD946" t="inlineStr">
        <is>
          <t>893786902</t>
        </is>
      </c>
    </row>
    <row r="947">
      <c r="A947" t="inlineStr">
        <is>
          <t>No</t>
        </is>
      </c>
      <c r="B947" t="inlineStr">
        <is>
          <t>DF87 .B65</t>
        </is>
      </c>
      <c r="C947" t="inlineStr">
        <is>
          <t>0                      DF 0087000B  65</t>
        </is>
      </c>
      <c r="D947" t="inlineStr">
        <is>
          <t>Lawyers and litigants in ancient Athens; the genesis of the legal profession, by Robert J. Bonner ...</t>
        </is>
      </c>
      <c r="F947" t="inlineStr">
        <is>
          <t>No</t>
        </is>
      </c>
      <c r="G947" t="inlineStr">
        <is>
          <t>1</t>
        </is>
      </c>
      <c r="H947" t="inlineStr">
        <is>
          <t>No</t>
        </is>
      </c>
      <c r="I947" t="inlineStr">
        <is>
          <t>No</t>
        </is>
      </c>
      <c r="J947" t="inlineStr">
        <is>
          <t>0</t>
        </is>
      </c>
      <c r="K947" t="inlineStr">
        <is>
          <t>Bonner, Robert Johnson, 1868-1946.</t>
        </is>
      </c>
      <c r="L947" t="inlineStr">
        <is>
          <t>Chicago, Ill., The University of Chicago Press [1927]</t>
        </is>
      </c>
      <c r="M947" t="inlineStr">
        <is>
          <t>1927</t>
        </is>
      </c>
      <c r="O947" t="inlineStr">
        <is>
          <t>eng</t>
        </is>
      </c>
      <c r="P947" t="inlineStr">
        <is>
          <t>ilu</t>
        </is>
      </c>
      <c r="R947" t="inlineStr">
        <is>
          <t xml:space="preserve">DF </t>
        </is>
      </c>
      <c r="S947" t="n">
        <v>1</v>
      </c>
      <c r="T947" t="n">
        <v>1</v>
      </c>
      <c r="U947" t="inlineStr">
        <is>
          <t>2005-05-04</t>
        </is>
      </c>
      <c r="V947" t="inlineStr">
        <is>
          <t>2005-05-04</t>
        </is>
      </c>
      <c r="W947" t="inlineStr">
        <is>
          <t>1997-01-28</t>
        </is>
      </c>
      <c r="X947" t="inlineStr">
        <is>
          <t>1997-01-28</t>
        </is>
      </c>
      <c r="Y947" t="n">
        <v>318</v>
      </c>
      <c r="Z947" t="n">
        <v>275</v>
      </c>
      <c r="AA947" t="n">
        <v>839</v>
      </c>
      <c r="AB947" t="n">
        <v>3</v>
      </c>
      <c r="AC947" t="n">
        <v>4</v>
      </c>
      <c r="AD947" t="n">
        <v>19</v>
      </c>
      <c r="AE947" t="n">
        <v>52</v>
      </c>
      <c r="AF947" t="n">
        <v>1</v>
      </c>
      <c r="AG947" t="n">
        <v>12</v>
      </c>
      <c r="AH947" t="n">
        <v>4</v>
      </c>
      <c r="AI947" t="n">
        <v>7</v>
      </c>
      <c r="AJ947" t="n">
        <v>7</v>
      </c>
      <c r="AK947" t="n">
        <v>18</v>
      </c>
      <c r="AL947" t="n">
        <v>1</v>
      </c>
      <c r="AM947" t="n">
        <v>2</v>
      </c>
      <c r="AN947" t="n">
        <v>9</v>
      </c>
      <c r="AO947" t="n">
        <v>22</v>
      </c>
      <c r="AP947" t="inlineStr">
        <is>
          <t>No</t>
        </is>
      </c>
      <c r="AQ947" t="inlineStr">
        <is>
          <t>No</t>
        </is>
      </c>
      <c r="AS947">
        <f>HYPERLINK("https://creighton-primo.hosted.exlibrisgroup.com/primo-explore/search?tab=default_tab&amp;search_scope=EVERYTHING&amp;vid=01CRU&amp;lang=en_US&amp;offset=0&amp;query=any,contains,991003317359702656","Catalog Record")</f>
        <v/>
      </c>
      <c r="AT947">
        <f>HYPERLINK("http://www.worldcat.org/oclc/842808","WorldCat Record")</f>
        <v/>
      </c>
      <c r="AU947" t="inlineStr">
        <is>
          <t>1125954:eng</t>
        </is>
      </c>
      <c r="AV947" t="inlineStr">
        <is>
          <t>842808</t>
        </is>
      </c>
      <c r="AW947" t="inlineStr">
        <is>
          <t>991003317359702656</t>
        </is>
      </c>
      <c r="AX947" t="inlineStr">
        <is>
          <t>991003317359702656</t>
        </is>
      </c>
      <c r="AY947" t="inlineStr">
        <is>
          <t>2265552610002656</t>
        </is>
      </c>
      <c r="AZ947" t="inlineStr">
        <is>
          <t>BOOK</t>
        </is>
      </c>
      <c r="BC947" t="inlineStr">
        <is>
          <t>32285002417326</t>
        </is>
      </c>
      <c r="BD947" t="inlineStr">
        <is>
          <t>893881042</t>
        </is>
      </c>
    </row>
    <row r="948">
      <c r="A948" t="inlineStr">
        <is>
          <t>No</t>
        </is>
      </c>
      <c r="B948" t="inlineStr">
        <is>
          <t>DF87.O44 A8 1950</t>
        </is>
      </c>
      <c r="C948" t="inlineStr">
        <is>
          <t>0                      DF 0087000O  44                 A  8           1950</t>
        </is>
      </c>
      <c r="D948" t="inlineStr">
        <is>
          <t>The Athenian expounders of the sacred and ancestral law.</t>
        </is>
      </c>
      <c r="F948" t="inlineStr">
        <is>
          <t>No</t>
        </is>
      </c>
      <c r="G948" t="inlineStr">
        <is>
          <t>1</t>
        </is>
      </c>
      <c r="H948" t="inlineStr">
        <is>
          <t>No</t>
        </is>
      </c>
      <c r="I948" t="inlineStr">
        <is>
          <t>No</t>
        </is>
      </c>
      <c r="J948" t="inlineStr">
        <is>
          <t>0</t>
        </is>
      </c>
      <c r="K948" t="inlineStr">
        <is>
          <t>Oliver, James H. (James Henry), 1905-1981.</t>
        </is>
      </c>
      <c r="L948" t="inlineStr">
        <is>
          <t>Baltimore : Johns Hopkins Press, 1950.</t>
        </is>
      </c>
      <c r="M948" t="inlineStr">
        <is>
          <t>1950</t>
        </is>
      </c>
      <c r="O948" t="inlineStr">
        <is>
          <t>eng</t>
        </is>
      </c>
      <c r="P948" t="inlineStr">
        <is>
          <t xml:space="preserve">xx </t>
        </is>
      </c>
      <c r="R948" t="inlineStr">
        <is>
          <t xml:space="preserve">DF </t>
        </is>
      </c>
      <c r="S948" t="n">
        <v>4</v>
      </c>
      <c r="T948" t="n">
        <v>4</v>
      </c>
      <c r="U948" t="inlineStr">
        <is>
          <t>2005-05-04</t>
        </is>
      </c>
      <c r="V948" t="inlineStr">
        <is>
          <t>2005-05-04</t>
        </is>
      </c>
      <c r="W948" t="inlineStr">
        <is>
          <t>1999-07-26</t>
        </is>
      </c>
      <c r="X948" t="inlineStr">
        <is>
          <t>1999-07-26</t>
        </is>
      </c>
      <c r="Y948" t="n">
        <v>235</v>
      </c>
      <c r="Z948" t="n">
        <v>172</v>
      </c>
      <c r="AA948" t="n">
        <v>181</v>
      </c>
      <c r="AB948" t="n">
        <v>2</v>
      </c>
      <c r="AC948" t="n">
        <v>2</v>
      </c>
      <c r="AD948" t="n">
        <v>8</v>
      </c>
      <c r="AE948" t="n">
        <v>8</v>
      </c>
      <c r="AF948" t="n">
        <v>0</v>
      </c>
      <c r="AG948" t="n">
        <v>0</v>
      </c>
      <c r="AH948" t="n">
        <v>3</v>
      </c>
      <c r="AI948" t="n">
        <v>3</v>
      </c>
      <c r="AJ948" t="n">
        <v>6</v>
      </c>
      <c r="AK948" t="n">
        <v>6</v>
      </c>
      <c r="AL948" t="n">
        <v>1</v>
      </c>
      <c r="AM948" t="n">
        <v>1</v>
      </c>
      <c r="AN948" t="n">
        <v>0</v>
      </c>
      <c r="AO948" t="n">
        <v>0</v>
      </c>
      <c r="AP948" t="inlineStr">
        <is>
          <t>No</t>
        </is>
      </c>
      <c r="AQ948" t="inlineStr">
        <is>
          <t>Yes</t>
        </is>
      </c>
      <c r="AR948">
        <f>HYPERLINK("http://catalog.hathitrust.org/Record/000570468","HathiTrust Record")</f>
        <v/>
      </c>
      <c r="AS948">
        <f>HYPERLINK("https://creighton-primo.hosted.exlibrisgroup.com/primo-explore/search?tab=default_tab&amp;search_scope=EVERYTHING&amp;vid=01CRU&amp;lang=en_US&amp;offset=0&amp;query=any,contains,991004350189702656","Catalog Record")</f>
        <v/>
      </c>
      <c r="AT948">
        <f>HYPERLINK("http://www.worldcat.org/oclc/3118060","WorldCat Record")</f>
        <v/>
      </c>
      <c r="AU948" t="inlineStr">
        <is>
          <t>104129083:eng</t>
        </is>
      </c>
      <c r="AV948" t="inlineStr">
        <is>
          <t>3118060</t>
        </is>
      </c>
      <c r="AW948" t="inlineStr">
        <is>
          <t>991004350189702656</t>
        </is>
      </c>
      <c r="AX948" t="inlineStr">
        <is>
          <t>991004350189702656</t>
        </is>
      </c>
      <c r="AY948" t="inlineStr">
        <is>
          <t>2267138500002656</t>
        </is>
      </c>
      <c r="AZ948" t="inlineStr">
        <is>
          <t>BOOK</t>
        </is>
      </c>
      <c r="BC948" t="inlineStr">
        <is>
          <t>32285003579108</t>
        </is>
      </c>
      <c r="BD948" t="inlineStr">
        <is>
          <t>893235377</t>
        </is>
      </c>
    </row>
    <row r="949">
      <c r="A949" t="inlineStr">
        <is>
          <t>No</t>
        </is>
      </c>
      <c r="B949" t="inlineStr">
        <is>
          <t>DF895 .D87 1978</t>
        </is>
      </c>
      <c r="C949" t="inlineStr">
        <is>
          <t>0                      DF 0895000D  87          1978</t>
        </is>
      </c>
      <c r="D949" t="inlineStr">
        <is>
          <t>The Greek Islands / Lawrence Durrell.</t>
        </is>
      </c>
      <c r="F949" t="inlineStr">
        <is>
          <t>No</t>
        </is>
      </c>
      <c r="G949" t="inlineStr">
        <is>
          <t>1</t>
        </is>
      </c>
      <c r="H949" t="inlineStr">
        <is>
          <t>No</t>
        </is>
      </c>
      <c r="I949" t="inlineStr">
        <is>
          <t>No</t>
        </is>
      </c>
      <c r="J949" t="inlineStr">
        <is>
          <t>0</t>
        </is>
      </c>
      <c r="K949" t="inlineStr">
        <is>
          <t>Durrell, Lawrence.</t>
        </is>
      </c>
      <c r="L949" t="inlineStr">
        <is>
          <t>New York : Viking Press, c1978.</t>
        </is>
      </c>
      <c r="M949" t="inlineStr">
        <is>
          <t>1978</t>
        </is>
      </c>
      <c r="O949" t="inlineStr">
        <is>
          <t>eng</t>
        </is>
      </c>
      <c r="P949" t="inlineStr">
        <is>
          <t>nyu</t>
        </is>
      </c>
      <c r="Q949" t="inlineStr">
        <is>
          <t>A Studio book</t>
        </is>
      </c>
      <c r="R949" t="inlineStr">
        <is>
          <t xml:space="preserve">DF </t>
        </is>
      </c>
      <c r="S949" t="n">
        <v>2</v>
      </c>
      <c r="T949" t="n">
        <v>2</v>
      </c>
      <c r="U949" t="inlineStr">
        <is>
          <t>1996-12-04</t>
        </is>
      </c>
      <c r="V949" t="inlineStr">
        <is>
          <t>1996-12-04</t>
        </is>
      </c>
      <c r="W949" t="inlineStr">
        <is>
          <t>1990-05-08</t>
        </is>
      </c>
      <c r="X949" t="inlineStr">
        <is>
          <t>1990-05-08</t>
        </is>
      </c>
      <c r="Y949" t="n">
        <v>889</v>
      </c>
      <c r="Z949" t="n">
        <v>842</v>
      </c>
      <c r="AA949" t="n">
        <v>973</v>
      </c>
      <c r="AB949" t="n">
        <v>5</v>
      </c>
      <c r="AC949" t="n">
        <v>6</v>
      </c>
      <c r="AD949" t="n">
        <v>18</v>
      </c>
      <c r="AE949" t="n">
        <v>20</v>
      </c>
      <c r="AF949" t="n">
        <v>6</v>
      </c>
      <c r="AG949" t="n">
        <v>6</v>
      </c>
      <c r="AH949" t="n">
        <v>6</v>
      </c>
      <c r="AI949" t="n">
        <v>6</v>
      </c>
      <c r="AJ949" t="n">
        <v>6</v>
      </c>
      <c r="AK949" t="n">
        <v>7</v>
      </c>
      <c r="AL949" t="n">
        <v>3</v>
      </c>
      <c r="AM949" t="n">
        <v>4</v>
      </c>
      <c r="AN949" t="n">
        <v>0</v>
      </c>
      <c r="AO949" t="n">
        <v>0</v>
      </c>
      <c r="AP949" t="inlineStr">
        <is>
          <t>No</t>
        </is>
      </c>
      <c r="AQ949" t="inlineStr">
        <is>
          <t>Yes</t>
        </is>
      </c>
      <c r="AR949">
        <f>HYPERLINK("http://catalog.hathitrust.org/Record/000752855","HathiTrust Record")</f>
        <v/>
      </c>
      <c r="AS949">
        <f>HYPERLINK("https://creighton-primo.hosted.exlibrisgroup.com/primo-explore/search?tab=default_tab&amp;search_scope=EVERYTHING&amp;vid=01CRU&amp;lang=en_US&amp;offset=0&amp;query=any,contains,991004437589702656","Catalog Record")</f>
        <v/>
      </c>
      <c r="AT949">
        <f>HYPERLINK("http://www.worldcat.org/oclc/3447194","WorldCat Record")</f>
        <v/>
      </c>
      <c r="AU949" t="inlineStr">
        <is>
          <t>412856:eng</t>
        </is>
      </c>
      <c r="AV949" t="inlineStr">
        <is>
          <t>3447194</t>
        </is>
      </c>
      <c r="AW949" t="inlineStr">
        <is>
          <t>991004437589702656</t>
        </is>
      </c>
      <c r="AX949" t="inlineStr">
        <is>
          <t>991004437589702656</t>
        </is>
      </c>
      <c r="AY949" t="inlineStr">
        <is>
          <t>2268711520002656</t>
        </is>
      </c>
      <c r="AZ949" t="inlineStr">
        <is>
          <t>BOOK</t>
        </is>
      </c>
      <c r="BB949" t="inlineStr">
        <is>
          <t>9780670352968</t>
        </is>
      </c>
      <c r="BC949" t="inlineStr">
        <is>
          <t>32285000146455</t>
        </is>
      </c>
      <c r="BD949" t="inlineStr">
        <is>
          <t>893526097</t>
        </is>
      </c>
    </row>
    <row r="950">
      <c r="A950" t="inlineStr">
        <is>
          <t>No</t>
        </is>
      </c>
      <c r="B950" t="inlineStr">
        <is>
          <t>DF901.C82 C74 2000</t>
        </is>
      </c>
      <c r="C950" t="inlineStr">
        <is>
          <t>0                      DF 0901000C  82                 C  74          2000</t>
        </is>
      </c>
      <c r="D950" t="inlineStr">
        <is>
          <t>Cretan quests : British explorers, excavators and historians / edited by Davina Huxley.</t>
        </is>
      </c>
      <c r="F950" t="inlineStr">
        <is>
          <t>No</t>
        </is>
      </c>
      <c r="G950" t="inlineStr">
        <is>
          <t>1</t>
        </is>
      </c>
      <c r="H950" t="inlineStr">
        <is>
          <t>No</t>
        </is>
      </c>
      <c r="I950" t="inlineStr">
        <is>
          <t>No</t>
        </is>
      </c>
      <c r="J950" t="inlineStr">
        <is>
          <t>0</t>
        </is>
      </c>
      <c r="L950" t="inlineStr">
        <is>
          <t>London : British School at Athens, 2000.</t>
        </is>
      </c>
      <c r="M950" t="inlineStr">
        <is>
          <t>2000</t>
        </is>
      </c>
      <c r="O950" t="inlineStr">
        <is>
          <t>eng</t>
        </is>
      </c>
      <c r="P950" t="inlineStr">
        <is>
          <t>enk</t>
        </is>
      </c>
      <c r="R950" t="inlineStr">
        <is>
          <t xml:space="preserve">DF </t>
        </is>
      </c>
      <c r="S950" t="n">
        <v>2</v>
      </c>
      <c r="T950" t="n">
        <v>2</v>
      </c>
      <c r="U950" t="inlineStr">
        <is>
          <t>2006-01-16</t>
        </is>
      </c>
      <c r="V950" t="inlineStr">
        <is>
          <t>2006-01-16</t>
        </is>
      </c>
      <c r="W950" t="inlineStr">
        <is>
          <t>2006-01-16</t>
        </is>
      </c>
      <c r="X950" t="inlineStr">
        <is>
          <t>2006-01-16</t>
        </is>
      </c>
      <c r="Y950" t="n">
        <v>87</v>
      </c>
      <c r="Z950" t="n">
        <v>35</v>
      </c>
      <c r="AA950" t="n">
        <v>96</v>
      </c>
      <c r="AB950" t="n">
        <v>1</v>
      </c>
      <c r="AC950" t="n">
        <v>1</v>
      </c>
      <c r="AD950" t="n">
        <v>1</v>
      </c>
      <c r="AE950" t="n">
        <v>1</v>
      </c>
      <c r="AF950" t="n">
        <v>0</v>
      </c>
      <c r="AG950" t="n">
        <v>0</v>
      </c>
      <c r="AH950" t="n">
        <v>1</v>
      </c>
      <c r="AI950" t="n">
        <v>1</v>
      </c>
      <c r="AJ950" t="n">
        <v>1</v>
      </c>
      <c r="AK950" t="n">
        <v>1</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HYPERLINK("https://creighton-primo.hosted.exlibrisgroup.com/primo-explore/search?tab=default_tab&amp;search_scope=EVERYTHING&amp;vid=01CRU&amp;lang=en_US&amp;offset=0&amp;query=any,contains,991004691449702656","Catalog Record")</f>
        <v/>
      </c>
      <c r="AT950">
        <f>HYPERLINK("http://www.worldcat.org/oclc/49887383","WorldCat Record")</f>
        <v/>
      </c>
      <c r="AU950" t="inlineStr">
        <is>
          <t>837020338:eng</t>
        </is>
      </c>
      <c r="AV950" t="inlineStr">
        <is>
          <t>49887383</t>
        </is>
      </c>
      <c r="AW950" t="inlineStr">
        <is>
          <t>991004691449702656</t>
        </is>
      </c>
      <c r="AX950" t="inlineStr">
        <is>
          <t>991004691449702656</t>
        </is>
      </c>
      <c r="AY950" t="inlineStr">
        <is>
          <t>2271832630002656</t>
        </is>
      </c>
      <c r="AZ950" t="inlineStr">
        <is>
          <t>BOOK</t>
        </is>
      </c>
      <c r="BB950" t="inlineStr">
        <is>
          <t>9780904887372</t>
        </is>
      </c>
      <c r="BC950" t="inlineStr">
        <is>
          <t>32285005155147</t>
        </is>
      </c>
      <c r="BD950" t="inlineStr">
        <is>
          <t>893600124</t>
        </is>
      </c>
    </row>
    <row r="951">
      <c r="A951" t="inlineStr">
        <is>
          <t>No</t>
        </is>
      </c>
      <c r="B951" t="inlineStr">
        <is>
          <t>DF91 .D4 1981</t>
        </is>
      </c>
      <c r="C951" t="inlineStr">
        <is>
          <t>0                      DF 0091000D  4           1981</t>
        </is>
      </c>
      <c r="D951" t="inlineStr">
        <is>
          <t>The class struggle in the ancient Greek world : from the archaic age to the Arab conquests / G.E.M. de Ste. Croix.</t>
        </is>
      </c>
      <c r="F951" t="inlineStr">
        <is>
          <t>No</t>
        </is>
      </c>
      <c r="G951" t="inlineStr">
        <is>
          <t>1</t>
        </is>
      </c>
      <c r="H951" t="inlineStr">
        <is>
          <t>No</t>
        </is>
      </c>
      <c r="I951" t="inlineStr">
        <is>
          <t>No</t>
        </is>
      </c>
      <c r="J951" t="inlineStr">
        <is>
          <t>0</t>
        </is>
      </c>
      <c r="K951" t="inlineStr">
        <is>
          <t>De Ste. Croix, G. E. M. (Geoffrey Ernest Maurice)</t>
        </is>
      </c>
      <c r="L951" t="inlineStr">
        <is>
          <t>Ithaca, N.Y. : Cornell University Press, 1981.</t>
        </is>
      </c>
      <c r="M951" t="inlineStr">
        <is>
          <t>1981</t>
        </is>
      </c>
      <c r="O951" t="inlineStr">
        <is>
          <t>eng</t>
        </is>
      </c>
      <c r="P951" t="inlineStr">
        <is>
          <t>nyu</t>
        </is>
      </c>
      <c r="R951" t="inlineStr">
        <is>
          <t xml:space="preserve">DF </t>
        </is>
      </c>
      <c r="S951" t="n">
        <v>11</v>
      </c>
      <c r="T951" t="n">
        <v>11</v>
      </c>
      <c r="U951" t="inlineStr">
        <is>
          <t>2009-10-16</t>
        </is>
      </c>
      <c r="V951" t="inlineStr">
        <is>
          <t>2009-10-16</t>
        </is>
      </c>
      <c r="W951" t="inlineStr">
        <is>
          <t>1990-06-18</t>
        </is>
      </c>
      <c r="X951" t="inlineStr">
        <is>
          <t>1990-06-18</t>
        </is>
      </c>
      <c r="Y951" t="n">
        <v>595</v>
      </c>
      <c r="Z951" t="n">
        <v>512</v>
      </c>
      <c r="AA951" t="n">
        <v>637</v>
      </c>
      <c r="AB951" t="n">
        <v>3</v>
      </c>
      <c r="AC951" t="n">
        <v>4</v>
      </c>
      <c r="AD951" t="n">
        <v>30</v>
      </c>
      <c r="AE951" t="n">
        <v>37</v>
      </c>
      <c r="AF951" t="n">
        <v>14</v>
      </c>
      <c r="AG951" t="n">
        <v>16</v>
      </c>
      <c r="AH951" t="n">
        <v>6</v>
      </c>
      <c r="AI951" t="n">
        <v>9</v>
      </c>
      <c r="AJ951" t="n">
        <v>19</v>
      </c>
      <c r="AK951" t="n">
        <v>21</v>
      </c>
      <c r="AL951" t="n">
        <v>2</v>
      </c>
      <c r="AM951" t="n">
        <v>3</v>
      </c>
      <c r="AN951" t="n">
        <v>0</v>
      </c>
      <c r="AO951" t="n">
        <v>0</v>
      </c>
      <c r="AP951" t="inlineStr">
        <is>
          <t>No</t>
        </is>
      </c>
      <c r="AQ951" t="inlineStr">
        <is>
          <t>Yes</t>
        </is>
      </c>
      <c r="AR951">
        <f>HYPERLINK("http://catalog.hathitrust.org/Record/000336064","HathiTrust Record")</f>
        <v/>
      </c>
      <c r="AS951">
        <f>HYPERLINK("https://creighton-primo.hosted.exlibrisgroup.com/primo-explore/search?tab=default_tab&amp;search_scope=EVERYTHING&amp;vid=01CRU&amp;lang=en_US&amp;offset=0&amp;query=any,contains,991005215199702656","Catalog Record")</f>
        <v/>
      </c>
      <c r="AT951">
        <f>HYPERLINK("http://www.worldcat.org/oclc/8180271","WorldCat Record")</f>
        <v/>
      </c>
      <c r="AU951" t="inlineStr">
        <is>
          <t>30465757:eng</t>
        </is>
      </c>
      <c r="AV951" t="inlineStr">
        <is>
          <t>8180271</t>
        </is>
      </c>
      <c r="AW951" t="inlineStr">
        <is>
          <t>991005215199702656</t>
        </is>
      </c>
      <c r="AX951" t="inlineStr">
        <is>
          <t>991005215199702656</t>
        </is>
      </c>
      <c r="AY951" t="inlineStr">
        <is>
          <t>2267711260002656</t>
        </is>
      </c>
      <c r="AZ951" t="inlineStr">
        <is>
          <t>BOOK</t>
        </is>
      </c>
      <c r="BB951" t="inlineStr">
        <is>
          <t>9780801414428</t>
        </is>
      </c>
      <c r="BC951" t="inlineStr">
        <is>
          <t>32285000198027</t>
        </is>
      </c>
      <c r="BD951" t="inlineStr">
        <is>
          <t>893230385</t>
        </is>
      </c>
    </row>
    <row r="952">
      <c r="A952" t="inlineStr">
        <is>
          <t>No</t>
        </is>
      </c>
      <c r="B952" t="inlineStr">
        <is>
          <t>DF91 .R6</t>
        </is>
      </c>
      <c r="C952" t="inlineStr">
        <is>
          <t>0                      DF 0091000R  6</t>
        </is>
      </c>
      <c r="D952" t="inlineStr">
        <is>
          <t>Everyday life in ancient Greece / by C. E. Robinson.</t>
        </is>
      </c>
      <c r="F952" t="inlineStr">
        <is>
          <t>No</t>
        </is>
      </c>
      <c r="G952" t="inlineStr">
        <is>
          <t>1</t>
        </is>
      </c>
      <c r="H952" t="inlineStr">
        <is>
          <t>No</t>
        </is>
      </c>
      <c r="I952" t="inlineStr">
        <is>
          <t>No</t>
        </is>
      </c>
      <c r="J952" t="inlineStr">
        <is>
          <t>0</t>
        </is>
      </c>
      <c r="K952" t="inlineStr">
        <is>
          <t>Robinson, Cyril E. (Cyril Edward), 1884-1981.</t>
        </is>
      </c>
      <c r="L952" t="inlineStr">
        <is>
          <t>Oxford : The Clarendon press, 1933.</t>
        </is>
      </c>
      <c r="M952" t="inlineStr">
        <is>
          <t>1933</t>
        </is>
      </c>
      <c r="O952" t="inlineStr">
        <is>
          <t>eng</t>
        </is>
      </c>
      <c r="P952" t="inlineStr">
        <is>
          <t>enk</t>
        </is>
      </c>
      <c r="R952" t="inlineStr">
        <is>
          <t xml:space="preserve">DF </t>
        </is>
      </c>
      <c r="S952" t="n">
        <v>6</v>
      </c>
      <c r="T952" t="n">
        <v>6</v>
      </c>
      <c r="U952" t="inlineStr">
        <is>
          <t>2008-04-15</t>
        </is>
      </c>
      <c r="V952" t="inlineStr">
        <is>
          <t>2008-04-15</t>
        </is>
      </c>
      <c r="W952" t="inlineStr">
        <is>
          <t>1992-12-23</t>
        </is>
      </c>
      <c r="X952" t="inlineStr">
        <is>
          <t>1992-12-23</t>
        </is>
      </c>
      <c r="Y952" t="n">
        <v>574</v>
      </c>
      <c r="Z952" t="n">
        <v>499</v>
      </c>
      <c r="AA952" t="n">
        <v>997</v>
      </c>
      <c r="AB952" t="n">
        <v>8</v>
      </c>
      <c r="AC952" t="n">
        <v>10</v>
      </c>
      <c r="AD952" t="n">
        <v>22</v>
      </c>
      <c r="AE952" t="n">
        <v>37</v>
      </c>
      <c r="AF952" t="n">
        <v>6</v>
      </c>
      <c r="AG952" t="n">
        <v>15</v>
      </c>
      <c r="AH952" t="n">
        <v>4</v>
      </c>
      <c r="AI952" t="n">
        <v>7</v>
      </c>
      <c r="AJ952" t="n">
        <v>9</v>
      </c>
      <c r="AK952" t="n">
        <v>15</v>
      </c>
      <c r="AL952" t="n">
        <v>6</v>
      </c>
      <c r="AM952" t="n">
        <v>8</v>
      </c>
      <c r="AN952" t="n">
        <v>0</v>
      </c>
      <c r="AO952" t="n">
        <v>0</v>
      </c>
      <c r="AP952" t="inlineStr">
        <is>
          <t>No</t>
        </is>
      </c>
      <c r="AQ952" t="inlineStr">
        <is>
          <t>Yes</t>
        </is>
      </c>
      <c r="AR952">
        <f>HYPERLINK("http://catalog.hathitrust.org/Record/000609043","HathiTrust Record")</f>
        <v/>
      </c>
      <c r="AS952">
        <f>HYPERLINK("https://creighton-primo.hosted.exlibrisgroup.com/primo-explore/search?tab=default_tab&amp;search_scope=EVERYTHING&amp;vid=01CRU&amp;lang=en_US&amp;offset=0&amp;query=any,contains,991004591319702656","Catalog Record")</f>
        <v/>
      </c>
      <c r="AT952">
        <f>HYPERLINK("http://www.worldcat.org/oclc/4123083","WorldCat Record")</f>
        <v/>
      </c>
      <c r="AU952" t="inlineStr">
        <is>
          <t>480749059:eng</t>
        </is>
      </c>
      <c r="AV952" t="inlineStr">
        <is>
          <t>4123083</t>
        </is>
      </c>
      <c r="AW952" t="inlineStr">
        <is>
          <t>991004591319702656</t>
        </is>
      </c>
      <c r="AX952" t="inlineStr">
        <is>
          <t>991004591319702656</t>
        </is>
      </c>
      <c r="AY952" t="inlineStr">
        <is>
          <t>2254707300002656</t>
        </is>
      </c>
      <c r="AZ952" t="inlineStr">
        <is>
          <t>BOOK</t>
        </is>
      </c>
      <c r="BC952" t="inlineStr">
        <is>
          <t>32285001404689</t>
        </is>
      </c>
      <c r="BD952" t="inlineStr">
        <is>
          <t>893500759</t>
        </is>
      </c>
    </row>
    <row r="953">
      <c r="A953" t="inlineStr">
        <is>
          <t>No</t>
        </is>
      </c>
      <c r="B953" t="inlineStr">
        <is>
          <t>DF91 .S65 1999</t>
        </is>
      </c>
      <c r="C953" t="inlineStr">
        <is>
          <t>0                      DF 0091000S  65          1999</t>
        </is>
      </c>
      <c r="D953" t="inlineStr">
        <is>
          <t>Ancient Berezan : the architecture, history and culture of the first Greek colony in the northern Black Sea / by S.L. Solovyov ; edited by John Boardman, Gocha R. Tsetskhladze.</t>
        </is>
      </c>
      <c r="F953" t="inlineStr">
        <is>
          <t>No</t>
        </is>
      </c>
      <c r="G953" t="inlineStr">
        <is>
          <t>1</t>
        </is>
      </c>
      <c r="H953" t="inlineStr">
        <is>
          <t>No</t>
        </is>
      </c>
      <c r="I953" t="inlineStr">
        <is>
          <t>No</t>
        </is>
      </c>
      <c r="J953" t="inlineStr">
        <is>
          <t>0</t>
        </is>
      </c>
      <c r="K953" t="inlineStr">
        <is>
          <t>Solovyov, S. L. (Sergei L.)</t>
        </is>
      </c>
      <c r="L953" t="inlineStr">
        <is>
          <t>Leiden ; Boston ; Koln : Brill, 1999.</t>
        </is>
      </c>
      <c r="M953" t="inlineStr">
        <is>
          <t>1999</t>
        </is>
      </c>
      <c r="O953" t="inlineStr">
        <is>
          <t>eng</t>
        </is>
      </c>
      <c r="P953" t="inlineStr">
        <is>
          <t xml:space="preserve">ne </t>
        </is>
      </c>
      <c r="Q953" t="inlineStr">
        <is>
          <t>Colloquia Pontica, 1389-8477 ; v. 4</t>
        </is>
      </c>
      <c r="R953" t="inlineStr">
        <is>
          <t xml:space="preserve">DF </t>
        </is>
      </c>
      <c r="S953" t="n">
        <v>1</v>
      </c>
      <c r="T953" t="n">
        <v>1</v>
      </c>
      <c r="U953" t="inlineStr">
        <is>
          <t>2000-10-18</t>
        </is>
      </c>
      <c r="V953" t="inlineStr">
        <is>
          <t>2000-10-18</t>
        </is>
      </c>
      <c r="W953" t="inlineStr">
        <is>
          <t>2000-10-18</t>
        </is>
      </c>
      <c r="X953" t="inlineStr">
        <is>
          <t>2000-10-18</t>
        </is>
      </c>
      <c r="Y953" t="n">
        <v>182</v>
      </c>
      <c r="Z953" t="n">
        <v>122</v>
      </c>
      <c r="AA953" t="n">
        <v>123</v>
      </c>
      <c r="AB953" t="n">
        <v>2</v>
      </c>
      <c r="AC953" t="n">
        <v>2</v>
      </c>
      <c r="AD953" t="n">
        <v>5</v>
      </c>
      <c r="AE953" t="n">
        <v>5</v>
      </c>
      <c r="AF953" t="n">
        <v>0</v>
      </c>
      <c r="AG953" t="n">
        <v>0</v>
      </c>
      <c r="AH953" t="n">
        <v>2</v>
      </c>
      <c r="AI953" t="n">
        <v>2</v>
      </c>
      <c r="AJ953" t="n">
        <v>3</v>
      </c>
      <c r="AK953" t="n">
        <v>3</v>
      </c>
      <c r="AL953" t="n">
        <v>1</v>
      </c>
      <c r="AM953" t="n">
        <v>1</v>
      </c>
      <c r="AN953" t="n">
        <v>0</v>
      </c>
      <c r="AO953" t="n">
        <v>0</v>
      </c>
      <c r="AP953" t="inlineStr">
        <is>
          <t>No</t>
        </is>
      </c>
      <c r="AQ953" t="inlineStr">
        <is>
          <t>Yes</t>
        </is>
      </c>
      <c r="AR953">
        <f>HYPERLINK("http://catalog.hathitrust.org/Record/004054387","HathiTrust Record")</f>
        <v/>
      </c>
      <c r="AS953">
        <f>HYPERLINK("https://creighton-primo.hosted.exlibrisgroup.com/primo-explore/search?tab=default_tab&amp;search_scope=EVERYTHING&amp;vid=01CRU&amp;lang=en_US&amp;offset=0&amp;query=any,contains,991003256769702656","Catalog Record")</f>
        <v/>
      </c>
      <c r="AT953">
        <f>HYPERLINK("http://www.worldcat.org/oclc/42463209","WorldCat Record")</f>
        <v/>
      </c>
      <c r="AU953" t="inlineStr">
        <is>
          <t>27772874:eng</t>
        </is>
      </c>
      <c r="AV953" t="inlineStr">
        <is>
          <t>42463209</t>
        </is>
      </c>
      <c r="AW953" t="inlineStr">
        <is>
          <t>991003256769702656</t>
        </is>
      </c>
      <c r="AX953" t="inlineStr">
        <is>
          <t>991003256769702656</t>
        </is>
      </c>
      <c r="AY953" t="inlineStr">
        <is>
          <t>2263190320002656</t>
        </is>
      </c>
      <c r="AZ953" t="inlineStr">
        <is>
          <t>BOOK</t>
        </is>
      </c>
      <c r="BB953" t="inlineStr">
        <is>
          <t>9789004115699</t>
        </is>
      </c>
      <c r="BC953" t="inlineStr">
        <is>
          <t>32285003768727</t>
        </is>
      </c>
      <c r="BD953" t="inlineStr">
        <is>
          <t>893518300</t>
        </is>
      </c>
    </row>
    <row r="954">
      <c r="A954" t="inlineStr">
        <is>
          <t>No</t>
        </is>
      </c>
      <c r="B954" t="inlineStr">
        <is>
          <t>DF91 .W42 1969</t>
        </is>
      </c>
      <c r="C954" t="inlineStr">
        <is>
          <t>0                      DF 0091000W  42          1969</t>
        </is>
      </c>
      <c r="D954" t="inlineStr">
        <is>
          <t>Life in classical Athens / [by] T.B.L. Webster; drawings by Eva Wilson.</t>
        </is>
      </c>
      <c r="F954" t="inlineStr">
        <is>
          <t>No</t>
        </is>
      </c>
      <c r="G954" t="inlineStr">
        <is>
          <t>1</t>
        </is>
      </c>
      <c r="H954" t="inlineStr">
        <is>
          <t>No</t>
        </is>
      </c>
      <c r="I954" t="inlineStr">
        <is>
          <t>No</t>
        </is>
      </c>
      <c r="J954" t="inlineStr">
        <is>
          <t>0</t>
        </is>
      </c>
      <c r="K954" t="inlineStr">
        <is>
          <t>Webster, T. B. L. (Thomas Bertram Lonsdale), 1905-1974.</t>
        </is>
      </c>
      <c r="L954" t="inlineStr">
        <is>
          <t>New York : Capricorn Books, [1969]</t>
        </is>
      </c>
      <c r="M954" t="inlineStr">
        <is>
          <t>1969</t>
        </is>
      </c>
      <c r="O954" t="inlineStr">
        <is>
          <t>eng</t>
        </is>
      </c>
      <c r="P954" t="inlineStr">
        <is>
          <t>nyu</t>
        </is>
      </c>
      <c r="R954" t="inlineStr">
        <is>
          <t xml:space="preserve">DF </t>
        </is>
      </c>
      <c r="S954" t="n">
        <v>1</v>
      </c>
      <c r="T954" t="n">
        <v>1</v>
      </c>
      <c r="U954" t="inlineStr">
        <is>
          <t>1994-06-03</t>
        </is>
      </c>
      <c r="V954" t="inlineStr">
        <is>
          <t>1994-06-03</t>
        </is>
      </c>
      <c r="W954" t="inlineStr">
        <is>
          <t>1992-11-30</t>
        </is>
      </c>
      <c r="X954" t="inlineStr">
        <is>
          <t>1992-11-30</t>
        </is>
      </c>
      <c r="Y954" t="n">
        <v>119</v>
      </c>
      <c r="Z954" t="n">
        <v>113</v>
      </c>
      <c r="AA954" t="n">
        <v>151</v>
      </c>
      <c r="AB954" t="n">
        <v>1</v>
      </c>
      <c r="AC954" t="n">
        <v>3</v>
      </c>
      <c r="AD954" t="n">
        <v>4</v>
      </c>
      <c r="AE954" t="n">
        <v>6</v>
      </c>
      <c r="AF954" t="n">
        <v>2</v>
      </c>
      <c r="AG954" t="n">
        <v>2</v>
      </c>
      <c r="AH954" t="n">
        <v>2</v>
      </c>
      <c r="AI954" t="n">
        <v>2</v>
      </c>
      <c r="AJ954" t="n">
        <v>3</v>
      </c>
      <c r="AK954" t="n">
        <v>3</v>
      </c>
      <c r="AL954" t="n">
        <v>0</v>
      </c>
      <c r="AM954" t="n">
        <v>2</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HYPERLINK("https://creighton-primo.hosted.exlibrisgroup.com/primo-explore/search?tab=default_tab&amp;search_scope=EVERYTHING&amp;vid=01CRU&amp;lang=en_US&amp;offset=0&amp;query=any,contains,991003630379702656","Catalog Record")</f>
        <v/>
      </c>
      <c r="AT954">
        <f>HYPERLINK("http://www.worldcat.org/oclc/1222297","WorldCat Record")</f>
        <v/>
      </c>
      <c r="AU954" t="inlineStr">
        <is>
          <t>3863674129:eng</t>
        </is>
      </c>
      <c r="AV954" t="inlineStr">
        <is>
          <t>1222297</t>
        </is>
      </c>
      <c r="AW954" t="inlineStr">
        <is>
          <t>991003630379702656</t>
        </is>
      </c>
      <c r="AX954" t="inlineStr">
        <is>
          <t>991003630379702656</t>
        </is>
      </c>
      <c r="AY954" t="inlineStr">
        <is>
          <t>2265144940002656</t>
        </is>
      </c>
      <c r="AZ954" t="inlineStr">
        <is>
          <t>BOOK</t>
        </is>
      </c>
      <c r="BC954" t="inlineStr">
        <is>
          <t>32285001410504</t>
        </is>
      </c>
      <c r="BD954" t="inlineStr">
        <is>
          <t>893787562</t>
        </is>
      </c>
    </row>
    <row r="955">
      <c r="A955" t="inlineStr">
        <is>
          <t>No</t>
        </is>
      </c>
      <c r="B955" t="inlineStr">
        <is>
          <t>DF920 .S26 2004</t>
        </is>
      </c>
      <c r="C955" t="inlineStr">
        <is>
          <t>0                      DF 0920000S  26          2004</t>
        </is>
      </c>
      <c r="D955" t="inlineStr">
        <is>
          <t>Facing Athens : encounters with the modern city / George Sarrinikolaou.</t>
        </is>
      </c>
      <c r="F955" t="inlineStr">
        <is>
          <t>No</t>
        </is>
      </c>
      <c r="G955" t="inlineStr">
        <is>
          <t>1</t>
        </is>
      </c>
      <c r="H955" t="inlineStr">
        <is>
          <t>No</t>
        </is>
      </c>
      <c r="I955" t="inlineStr">
        <is>
          <t>No</t>
        </is>
      </c>
      <c r="J955" t="inlineStr">
        <is>
          <t>0</t>
        </is>
      </c>
      <c r="K955" t="inlineStr">
        <is>
          <t>Sarrinikolaou, George, 1970-</t>
        </is>
      </c>
      <c r="L955" t="inlineStr">
        <is>
          <t>New York : North Point Press, 2004.</t>
        </is>
      </c>
      <c r="M955" t="inlineStr">
        <is>
          <t>2004</t>
        </is>
      </c>
      <c r="N955" t="inlineStr">
        <is>
          <t>1st ed.</t>
        </is>
      </c>
      <c r="O955" t="inlineStr">
        <is>
          <t>eng</t>
        </is>
      </c>
      <c r="P955" t="inlineStr">
        <is>
          <t>nyu</t>
        </is>
      </c>
      <c r="R955" t="inlineStr">
        <is>
          <t xml:space="preserve">DF </t>
        </is>
      </c>
      <c r="S955" t="n">
        <v>2</v>
      </c>
      <c r="T955" t="n">
        <v>2</v>
      </c>
      <c r="U955" t="inlineStr">
        <is>
          <t>2005-02-01</t>
        </is>
      </c>
      <c r="V955" t="inlineStr">
        <is>
          <t>2005-02-01</t>
        </is>
      </c>
      <c r="W955" t="inlineStr">
        <is>
          <t>2005-02-01</t>
        </is>
      </c>
      <c r="X955" t="inlineStr">
        <is>
          <t>2005-02-01</t>
        </is>
      </c>
      <c r="Y955" t="n">
        <v>242</v>
      </c>
      <c r="Z955" t="n">
        <v>223</v>
      </c>
      <c r="AA955" t="n">
        <v>228</v>
      </c>
      <c r="AB955" t="n">
        <v>2</v>
      </c>
      <c r="AC955" t="n">
        <v>2</v>
      </c>
      <c r="AD955" t="n">
        <v>8</v>
      </c>
      <c r="AE955" t="n">
        <v>8</v>
      </c>
      <c r="AF955" t="n">
        <v>3</v>
      </c>
      <c r="AG955" t="n">
        <v>3</v>
      </c>
      <c r="AH955" t="n">
        <v>3</v>
      </c>
      <c r="AI955" t="n">
        <v>3</v>
      </c>
      <c r="AJ955" t="n">
        <v>5</v>
      </c>
      <c r="AK955" t="n">
        <v>5</v>
      </c>
      <c r="AL955" t="n">
        <v>1</v>
      </c>
      <c r="AM955" t="n">
        <v>1</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HYPERLINK("https://creighton-primo.hosted.exlibrisgroup.com/primo-explore/search?tab=default_tab&amp;search_scope=EVERYTHING&amp;vid=01CRU&amp;lang=en_US&amp;offset=0&amp;query=any,contains,991004304719702656","Catalog Record")</f>
        <v/>
      </c>
      <c r="AT955">
        <f>HYPERLINK("http://www.worldcat.org/oclc/52980551","WorldCat Record")</f>
        <v/>
      </c>
      <c r="AU955" t="inlineStr">
        <is>
          <t>728672:eng</t>
        </is>
      </c>
      <c r="AV955" t="inlineStr">
        <is>
          <t>52980551</t>
        </is>
      </c>
      <c r="AW955" t="inlineStr">
        <is>
          <t>991004304719702656</t>
        </is>
      </c>
      <c r="AX955" t="inlineStr">
        <is>
          <t>991004304719702656</t>
        </is>
      </c>
      <c r="AY955" t="inlineStr">
        <is>
          <t>2268649610002656</t>
        </is>
      </c>
      <c r="AZ955" t="inlineStr">
        <is>
          <t>BOOK</t>
        </is>
      </c>
      <c r="BB955" t="inlineStr">
        <is>
          <t>9780865476998</t>
        </is>
      </c>
      <c r="BC955" t="inlineStr">
        <is>
          <t>32285005024202</t>
        </is>
      </c>
      <c r="BD955" t="inlineStr">
        <is>
          <t>893500389</t>
        </is>
      </c>
    </row>
    <row r="956">
      <c r="A956" t="inlineStr">
        <is>
          <t>No</t>
        </is>
      </c>
      <c r="B956" t="inlineStr">
        <is>
          <t>DF93 .S5313 1990</t>
        </is>
      </c>
      <c r="C956" t="inlineStr">
        <is>
          <t>0                      DF 0093000S  5313        1990</t>
        </is>
      </c>
      <c r="D956" t="inlineStr">
        <is>
          <t>Greek virginity / Giulia Sissa ; translated by Arthur Goldhammer.</t>
        </is>
      </c>
      <c r="F956" t="inlineStr">
        <is>
          <t>No</t>
        </is>
      </c>
      <c r="G956" t="inlineStr">
        <is>
          <t>1</t>
        </is>
      </c>
      <c r="H956" t="inlineStr">
        <is>
          <t>No</t>
        </is>
      </c>
      <c r="I956" t="inlineStr">
        <is>
          <t>No</t>
        </is>
      </c>
      <c r="J956" t="inlineStr">
        <is>
          <t>0</t>
        </is>
      </c>
      <c r="K956" t="inlineStr">
        <is>
          <t>Sissa, Giulia, 1954-</t>
        </is>
      </c>
      <c r="L956" t="inlineStr">
        <is>
          <t>Cambridge, Mass. : Harvard University Press, 1990.</t>
        </is>
      </c>
      <c r="M956" t="inlineStr">
        <is>
          <t>1990</t>
        </is>
      </c>
      <c r="O956" t="inlineStr">
        <is>
          <t>eng</t>
        </is>
      </c>
      <c r="P956" t="inlineStr">
        <is>
          <t>mau</t>
        </is>
      </c>
      <c r="Q956" t="inlineStr">
        <is>
          <t>Revealing antiquity ; 3</t>
        </is>
      </c>
      <c r="R956" t="inlineStr">
        <is>
          <t xml:space="preserve">DF </t>
        </is>
      </c>
      <c r="S956" t="n">
        <v>4</v>
      </c>
      <c r="T956" t="n">
        <v>4</v>
      </c>
      <c r="U956" t="inlineStr">
        <is>
          <t>1995-11-02</t>
        </is>
      </c>
      <c r="V956" t="inlineStr">
        <is>
          <t>1995-11-02</t>
        </is>
      </c>
      <c r="W956" t="inlineStr">
        <is>
          <t>1991-12-15</t>
        </is>
      </c>
      <c r="X956" t="inlineStr">
        <is>
          <t>1991-12-15</t>
        </is>
      </c>
      <c r="Y956" t="n">
        <v>595</v>
      </c>
      <c r="Z956" t="n">
        <v>470</v>
      </c>
      <c r="AA956" t="n">
        <v>472</v>
      </c>
      <c r="AB956" t="n">
        <v>5</v>
      </c>
      <c r="AC956" t="n">
        <v>5</v>
      </c>
      <c r="AD956" t="n">
        <v>36</v>
      </c>
      <c r="AE956" t="n">
        <v>36</v>
      </c>
      <c r="AF956" t="n">
        <v>14</v>
      </c>
      <c r="AG956" t="n">
        <v>14</v>
      </c>
      <c r="AH956" t="n">
        <v>8</v>
      </c>
      <c r="AI956" t="n">
        <v>8</v>
      </c>
      <c r="AJ956" t="n">
        <v>19</v>
      </c>
      <c r="AK956" t="n">
        <v>19</v>
      </c>
      <c r="AL956" t="n">
        <v>4</v>
      </c>
      <c r="AM956" t="n">
        <v>4</v>
      </c>
      <c r="AN956" t="n">
        <v>0</v>
      </c>
      <c r="AO956" t="n">
        <v>0</v>
      </c>
      <c r="AP956" t="inlineStr">
        <is>
          <t>No</t>
        </is>
      </c>
      <c r="AQ956" t="inlineStr">
        <is>
          <t>Yes</t>
        </is>
      </c>
      <c r="AR956">
        <f>HYPERLINK("http://catalog.hathitrust.org/Record/001842947","HathiTrust Record")</f>
        <v/>
      </c>
      <c r="AS956">
        <f>HYPERLINK("https://creighton-primo.hosted.exlibrisgroup.com/primo-explore/search?tab=default_tab&amp;search_scope=EVERYTHING&amp;vid=01CRU&amp;lang=en_US&amp;offset=0&amp;query=any,contains,991001529799702656","Catalog Record")</f>
        <v/>
      </c>
      <c r="AT956">
        <f>HYPERLINK("http://www.worldcat.org/oclc/20016461","WorldCat Record")</f>
        <v/>
      </c>
      <c r="AU956" t="inlineStr">
        <is>
          <t>499591823:eng</t>
        </is>
      </c>
      <c r="AV956" t="inlineStr">
        <is>
          <t>20016461</t>
        </is>
      </c>
      <c r="AW956" t="inlineStr">
        <is>
          <t>991001529799702656</t>
        </is>
      </c>
      <c r="AX956" t="inlineStr">
        <is>
          <t>991001529799702656</t>
        </is>
      </c>
      <c r="AY956" t="inlineStr">
        <is>
          <t>2261656480002656</t>
        </is>
      </c>
      <c r="AZ956" t="inlineStr">
        <is>
          <t>BOOK</t>
        </is>
      </c>
      <c r="BB956" t="inlineStr">
        <is>
          <t>9780674363205</t>
        </is>
      </c>
      <c r="BC956" t="inlineStr">
        <is>
          <t>32285000860444</t>
        </is>
      </c>
      <c r="BD956" t="inlineStr">
        <is>
          <t>893315835</t>
        </is>
      </c>
    </row>
    <row r="957">
      <c r="A957" t="inlineStr">
        <is>
          <t>No</t>
        </is>
      </c>
      <c r="B957" t="inlineStr">
        <is>
          <t>DF93 .S55 1971</t>
        </is>
      </c>
      <c r="C957" t="inlineStr">
        <is>
          <t>0                      DF 0093000S  55          1971</t>
        </is>
      </c>
      <c r="D957" t="inlineStr">
        <is>
          <t>The glory of Hera : Greek mythology and the Greek family / by Philip E. Slater.</t>
        </is>
      </c>
      <c r="F957" t="inlineStr">
        <is>
          <t>No</t>
        </is>
      </c>
      <c r="G957" t="inlineStr">
        <is>
          <t>1</t>
        </is>
      </c>
      <c r="H957" t="inlineStr">
        <is>
          <t>No</t>
        </is>
      </c>
      <c r="I957" t="inlineStr">
        <is>
          <t>No</t>
        </is>
      </c>
      <c r="J957" t="inlineStr">
        <is>
          <t>0</t>
        </is>
      </c>
      <c r="K957" t="inlineStr">
        <is>
          <t>Slater, Philip E. (Philip Elliot), 1927-2013.</t>
        </is>
      </c>
      <c r="L957" t="inlineStr">
        <is>
          <t>Boston : Beacon Press, 1971.</t>
        </is>
      </c>
      <c r="M957" t="inlineStr">
        <is>
          <t>1971</t>
        </is>
      </c>
      <c r="O957" t="inlineStr">
        <is>
          <t>eng</t>
        </is>
      </c>
      <c r="P957" t="inlineStr">
        <is>
          <t>mau</t>
        </is>
      </c>
      <c r="Q957" t="inlineStr">
        <is>
          <t>Beacon paperback</t>
        </is>
      </c>
      <c r="R957" t="inlineStr">
        <is>
          <t xml:space="preserve">DF </t>
        </is>
      </c>
      <c r="S957" t="n">
        <v>2</v>
      </c>
      <c r="T957" t="n">
        <v>2</v>
      </c>
      <c r="U957" t="inlineStr">
        <is>
          <t>1999-04-07</t>
        </is>
      </c>
      <c r="V957" t="inlineStr">
        <is>
          <t>1999-04-07</t>
        </is>
      </c>
      <c r="W957" t="inlineStr">
        <is>
          <t>1992-04-28</t>
        </is>
      </c>
      <c r="X957" t="inlineStr">
        <is>
          <t>1992-04-28</t>
        </is>
      </c>
      <c r="Y957" t="n">
        <v>213</v>
      </c>
      <c r="Z957" t="n">
        <v>179</v>
      </c>
      <c r="AA957" t="n">
        <v>1058</v>
      </c>
      <c r="AB957" t="n">
        <v>1</v>
      </c>
      <c r="AC957" t="n">
        <v>5</v>
      </c>
      <c r="AD957" t="n">
        <v>6</v>
      </c>
      <c r="AE957" t="n">
        <v>43</v>
      </c>
      <c r="AF957" t="n">
        <v>3</v>
      </c>
      <c r="AG957" t="n">
        <v>20</v>
      </c>
      <c r="AH957" t="n">
        <v>1</v>
      </c>
      <c r="AI957" t="n">
        <v>10</v>
      </c>
      <c r="AJ957" t="n">
        <v>2</v>
      </c>
      <c r="AK957" t="n">
        <v>22</v>
      </c>
      <c r="AL957" t="n">
        <v>0</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HYPERLINK("https://creighton-primo.hosted.exlibrisgroup.com/primo-explore/search?tab=default_tab&amp;search_scope=EVERYTHING&amp;vid=01CRU&amp;lang=en_US&amp;offset=0&amp;query=any,contains,991003900229702656","Catalog Record")</f>
        <v/>
      </c>
      <c r="AT957">
        <f>HYPERLINK("http://www.worldcat.org/oclc/1821462","WorldCat Record")</f>
        <v/>
      </c>
      <c r="AU957" t="inlineStr">
        <is>
          <t>364567131:eng</t>
        </is>
      </c>
      <c r="AV957" t="inlineStr">
        <is>
          <t>1821462</t>
        </is>
      </c>
      <c r="AW957" t="inlineStr">
        <is>
          <t>991003900229702656</t>
        </is>
      </c>
      <c r="AX957" t="inlineStr">
        <is>
          <t>991003900229702656</t>
        </is>
      </c>
      <c r="AY957" t="inlineStr">
        <is>
          <t>2255828090002656</t>
        </is>
      </c>
      <c r="AZ957" t="inlineStr">
        <is>
          <t>BOOK</t>
        </is>
      </c>
      <c r="BB957" t="inlineStr">
        <is>
          <t>9780807057957</t>
        </is>
      </c>
      <c r="BC957" t="inlineStr">
        <is>
          <t>32285001088615</t>
        </is>
      </c>
      <c r="BD957" t="inlineStr">
        <is>
          <t>893337101</t>
        </is>
      </c>
    </row>
    <row r="958">
      <c r="A958" t="inlineStr">
        <is>
          <t>No</t>
        </is>
      </c>
      <c r="B958" t="inlineStr">
        <is>
          <t>DF951.R4 H47 1991</t>
        </is>
      </c>
      <c r="C958" t="inlineStr">
        <is>
          <t>0                      DF 0951000R  4                  H  47          1991</t>
        </is>
      </c>
      <c r="D958" t="inlineStr">
        <is>
          <t>A place in history : social and monumental time in a Cretan town / Michael Herzfeld.</t>
        </is>
      </c>
      <c r="F958" t="inlineStr">
        <is>
          <t>No</t>
        </is>
      </c>
      <c r="G958" t="inlineStr">
        <is>
          <t>1</t>
        </is>
      </c>
      <c r="H958" t="inlineStr">
        <is>
          <t>No</t>
        </is>
      </c>
      <c r="I958" t="inlineStr">
        <is>
          <t>No</t>
        </is>
      </c>
      <c r="J958" t="inlineStr">
        <is>
          <t>0</t>
        </is>
      </c>
      <c r="K958" t="inlineStr">
        <is>
          <t>Herzfeld, Michael, 1947-</t>
        </is>
      </c>
      <c r="L958" t="inlineStr">
        <is>
          <t>Princeton, N.J. : Princeton University Press, c1991.</t>
        </is>
      </c>
      <c r="M958" t="inlineStr">
        <is>
          <t>1991</t>
        </is>
      </c>
      <c r="O958" t="inlineStr">
        <is>
          <t>eng</t>
        </is>
      </c>
      <c r="P958" t="inlineStr">
        <is>
          <t>nju</t>
        </is>
      </c>
      <c r="Q958" t="inlineStr">
        <is>
          <t>Princeton modern Greek studies</t>
        </is>
      </c>
      <c r="R958" t="inlineStr">
        <is>
          <t xml:space="preserve">DF </t>
        </is>
      </c>
      <c r="S958" t="n">
        <v>1</v>
      </c>
      <c r="T958" t="n">
        <v>1</v>
      </c>
      <c r="U958" t="inlineStr">
        <is>
          <t>2008-03-26</t>
        </is>
      </c>
      <c r="V958" t="inlineStr">
        <is>
          <t>2008-03-26</t>
        </is>
      </c>
      <c r="W958" t="inlineStr">
        <is>
          <t>2008-03-26</t>
        </is>
      </c>
      <c r="X958" t="inlineStr">
        <is>
          <t>2008-03-26</t>
        </is>
      </c>
      <c r="Y958" t="n">
        <v>345</v>
      </c>
      <c r="Z958" t="n">
        <v>235</v>
      </c>
      <c r="AA958" t="n">
        <v>541</v>
      </c>
      <c r="AB958" t="n">
        <v>2</v>
      </c>
      <c r="AC958" t="n">
        <v>5</v>
      </c>
      <c r="AD958" t="n">
        <v>9</v>
      </c>
      <c r="AE958" t="n">
        <v>30</v>
      </c>
      <c r="AF958" t="n">
        <v>2</v>
      </c>
      <c r="AG958" t="n">
        <v>9</v>
      </c>
      <c r="AH958" t="n">
        <v>4</v>
      </c>
      <c r="AI958" t="n">
        <v>10</v>
      </c>
      <c r="AJ958" t="n">
        <v>6</v>
      </c>
      <c r="AK958" t="n">
        <v>16</v>
      </c>
      <c r="AL958" t="n">
        <v>1</v>
      </c>
      <c r="AM958" t="n">
        <v>4</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HYPERLINK("https://creighton-primo.hosted.exlibrisgroup.com/primo-explore/search?tab=default_tab&amp;search_scope=EVERYTHING&amp;vid=01CRU&amp;lang=en_US&amp;offset=0&amp;query=any,contains,991005197999702656","Catalog Record")</f>
        <v/>
      </c>
      <c r="AT958">
        <f>HYPERLINK("http://www.worldcat.org/oclc/22983574","WorldCat Record")</f>
        <v/>
      </c>
      <c r="AU958" t="inlineStr">
        <is>
          <t>891802:eng</t>
        </is>
      </c>
      <c r="AV958" t="inlineStr">
        <is>
          <t>22983574</t>
        </is>
      </c>
      <c r="AW958" t="inlineStr">
        <is>
          <t>991005197999702656</t>
        </is>
      </c>
      <c r="AX958" t="inlineStr">
        <is>
          <t>991005197999702656</t>
        </is>
      </c>
      <c r="AY958" t="inlineStr">
        <is>
          <t>2255776360002656</t>
        </is>
      </c>
      <c r="AZ958" t="inlineStr">
        <is>
          <t>BOOK</t>
        </is>
      </c>
      <c r="BB958" t="inlineStr">
        <is>
          <t>9780691028552</t>
        </is>
      </c>
      <c r="BC958" t="inlineStr">
        <is>
          <t>32285005399075</t>
        </is>
      </c>
      <c r="BD958" t="inlineStr">
        <is>
          <t>893248528</t>
        </is>
      </c>
    </row>
    <row r="959">
      <c r="A959" t="inlineStr">
        <is>
          <t>No</t>
        </is>
      </c>
      <c r="B959" t="inlineStr">
        <is>
          <t>DF951.T45 M39 2005</t>
        </is>
      </c>
      <c r="C959" t="inlineStr">
        <is>
          <t>0                      DF 0951000T  45                 M  39          2005</t>
        </is>
      </c>
      <c r="D959" t="inlineStr">
        <is>
          <t>Salonica, city of ghosts : Christians, Muslims, and Jews, 1430-1950 / Mark Mazower.</t>
        </is>
      </c>
      <c r="F959" t="inlineStr">
        <is>
          <t>No</t>
        </is>
      </c>
      <c r="G959" t="inlineStr">
        <is>
          <t>1</t>
        </is>
      </c>
      <c r="H959" t="inlineStr">
        <is>
          <t>No</t>
        </is>
      </c>
      <c r="I959" t="inlineStr">
        <is>
          <t>No</t>
        </is>
      </c>
      <c r="J959" t="inlineStr">
        <is>
          <t>0</t>
        </is>
      </c>
      <c r="K959" t="inlineStr">
        <is>
          <t>Mazower, Mark.</t>
        </is>
      </c>
      <c r="L959" t="inlineStr">
        <is>
          <t>New York : Alfred A. Knopf, 2005.</t>
        </is>
      </c>
      <c r="M959" t="inlineStr">
        <is>
          <t>2005</t>
        </is>
      </c>
      <c r="N959" t="inlineStr">
        <is>
          <t>1st American ed.</t>
        </is>
      </c>
      <c r="O959" t="inlineStr">
        <is>
          <t>eng</t>
        </is>
      </c>
      <c r="P959" t="inlineStr">
        <is>
          <t>nyu</t>
        </is>
      </c>
      <c r="R959" t="inlineStr">
        <is>
          <t xml:space="preserve">DF </t>
        </is>
      </c>
      <c r="S959" t="n">
        <v>4</v>
      </c>
      <c r="T959" t="n">
        <v>4</v>
      </c>
      <c r="U959" t="inlineStr">
        <is>
          <t>2008-05-29</t>
        </is>
      </c>
      <c r="V959" t="inlineStr">
        <is>
          <t>2008-05-29</t>
        </is>
      </c>
      <c r="W959" t="inlineStr">
        <is>
          <t>2005-07-06</t>
        </is>
      </c>
      <c r="X959" t="inlineStr">
        <is>
          <t>2005-07-06</t>
        </is>
      </c>
      <c r="Y959" t="n">
        <v>721</v>
      </c>
      <c r="Z959" t="n">
        <v>662</v>
      </c>
      <c r="AA959" t="n">
        <v>821</v>
      </c>
      <c r="AB959" t="n">
        <v>7</v>
      </c>
      <c r="AC959" t="n">
        <v>8</v>
      </c>
      <c r="AD959" t="n">
        <v>26</v>
      </c>
      <c r="AE959" t="n">
        <v>34</v>
      </c>
      <c r="AF959" t="n">
        <v>8</v>
      </c>
      <c r="AG959" t="n">
        <v>12</v>
      </c>
      <c r="AH959" t="n">
        <v>5</v>
      </c>
      <c r="AI959" t="n">
        <v>8</v>
      </c>
      <c r="AJ959" t="n">
        <v>14</v>
      </c>
      <c r="AK959" t="n">
        <v>18</v>
      </c>
      <c r="AL959" t="n">
        <v>5</v>
      </c>
      <c r="AM959" t="n">
        <v>5</v>
      </c>
      <c r="AN959" t="n">
        <v>0</v>
      </c>
      <c r="AO959" t="n">
        <v>0</v>
      </c>
      <c r="AP959" t="inlineStr">
        <is>
          <t>No</t>
        </is>
      </c>
      <c r="AQ959" t="inlineStr">
        <is>
          <t>Yes</t>
        </is>
      </c>
      <c r="AR959">
        <f>HYPERLINK("http://catalog.hathitrust.org/Record/004982557","HathiTrust Record")</f>
        <v/>
      </c>
      <c r="AS959">
        <f>HYPERLINK("https://creighton-primo.hosted.exlibrisgroup.com/primo-explore/search?tab=default_tab&amp;search_scope=EVERYTHING&amp;vid=01CRU&amp;lang=en_US&amp;offset=0&amp;query=any,contains,991004582519702656","Catalog Record")</f>
        <v/>
      </c>
      <c r="AT959">
        <f>HYPERLINK("http://www.worldcat.org/oclc/56108793","WorldCat Record")</f>
        <v/>
      </c>
      <c r="AU959" t="inlineStr">
        <is>
          <t>32814:eng</t>
        </is>
      </c>
      <c r="AV959" t="inlineStr">
        <is>
          <t>56108793</t>
        </is>
      </c>
      <c r="AW959" t="inlineStr">
        <is>
          <t>991004582519702656</t>
        </is>
      </c>
      <c r="AX959" t="inlineStr">
        <is>
          <t>991004582519702656</t>
        </is>
      </c>
      <c r="AY959" t="inlineStr">
        <is>
          <t>2261779870002656</t>
        </is>
      </c>
      <c r="AZ959" t="inlineStr">
        <is>
          <t>BOOK</t>
        </is>
      </c>
      <c r="BB959" t="inlineStr">
        <is>
          <t>9780375412981</t>
        </is>
      </c>
      <c r="BC959" t="inlineStr">
        <is>
          <t>32285005095152</t>
        </is>
      </c>
      <c r="BD959" t="inlineStr">
        <is>
          <t>893442776</t>
        </is>
      </c>
    </row>
    <row r="960">
      <c r="A960" t="inlineStr">
        <is>
          <t>No</t>
        </is>
      </c>
      <c r="B960" t="inlineStr">
        <is>
          <t>DF99 .N48 1999</t>
        </is>
      </c>
      <c r="C960" t="inlineStr">
        <is>
          <t>0                      DF 0099000N  48          1999</t>
        </is>
      </c>
      <c r="D960" t="inlineStr">
        <is>
          <t>House and society in the ancient Greek world / Lisa C. Nevett.</t>
        </is>
      </c>
      <c r="F960" t="inlineStr">
        <is>
          <t>No</t>
        </is>
      </c>
      <c r="G960" t="inlineStr">
        <is>
          <t>1</t>
        </is>
      </c>
      <c r="H960" t="inlineStr">
        <is>
          <t>No</t>
        </is>
      </c>
      <c r="I960" t="inlineStr">
        <is>
          <t>No</t>
        </is>
      </c>
      <c r="J960" t="inlineStr">
        <is>
          <t>0</t>
        </is>
      </c>
      <c r="K960" t="inlineStr">
        <is>
          <t>Nevett, Lisa C.</t>
        </is>
      </c>
      <c r="L960" t="inlineStr">
        <is>
          <t>Cambridge ; New York : Cambridge University Press, 1999.</t>
        </is>
      </c>
      <c r="M960" t="inlineStr">
        <is>
          <t>1999</t>
        </is>
      </c>
      <c r="O960" t="inlineStr">
        <is>
          <t>eng</t>
        </is>
      </c>
      <c r="P960" t="inlineStr">
        <is>
          <t>enk</t>
        </is>
      </c>
      <c r="Q960" t="inlineStr">
        <is>
          <t>New studies in archaeology</t>
        </is>
      </c>
      <c r="R960" t="inlineStr">
        <is>
          <t xml:space="preserve">DF </t>
        </is>
      </c>
      <c r="S960" t="n">
        <v>7</v>
      </c>
      <c r="T960" t="n">
        <v>7</v>
      </c>
      <c r="U960" t="inlineStr">
        <is>
          <t>2009-10-16</t>
        </is>
      </c>
      <c r="V960" t="inlineStr">
        <is>
          <t>2009-10-16</t>
        </is>
      </c>
      <c r="W960" t="inlineStr">
        <is>
          <t>2001-02-28</t>
        </is>
      </c>
      <c r="X960" t="inlineStr">
        <is>
          <t>2001-02-28</t>
        </is>
      </c>
      <c r="Y960" t="n">
        <v>495</v>
      </c>
      <c r="Z960" t="n">
        <v>352</v>
      </c>
      <c r="AA960" t="n">
        <v>388</v>
      </c>
      <c r="AB960" t="n">
        <v>3</v>
      </c>
      <c r="AC960" t="n">
        <v>3</v>
      </c>
      <c r="AD960" t="n">
        <v>21</v>
      </c>
      <c r="AE960" t="n">
        <v>23</v>
      </c>
      <c r="AF960" t="n">
        <v>8</v>
      </c>
      <c r="AG960" t="n">
        <v>10</v>
      </c>
      <c r="AH960" t="n">
        <v>6</v>
      </c>
      <c r="AI960" t="n">
        <v>6</v>
      </c>
      <c r="AJ960" t="n">
        <v>13</v>
      </c>
      <c r="AK960" t="n">
        <v>13</v>
      </c>
      <c r="AL960" t="n">
        <v>2</v>
      </c>
      <c r="AM960" t="n">
        <v>2</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HYPERLINK("https://creighton-primo.hosted.exlibrisgroup.com/primo-explore/search?tab=default_tab&amp;search_scope=EVERYTHING&amp;vid=01CRU&amp;lang=en_US&amp;offset=0&amp;query=any,contains,991003496649702656","Catalog Record")</f>
        <v/>
      </c>
      <c r="AT960">
        <f>HYPERLINK("http://www.worldcat.org/oclc/39625152","WorldCat Record")</f>
        <v/>
      </c>
      <c r="AU960" t="inlineStr">
        <is>
          <t>2661755:eng</t>
        </is>
      </c>
      <c r="AV960" t="inlineStr">
        <is>
          <t>39625152</t>
        </is>
      </c>
      <c r="AW960" t="inlineStr">
        <is>
          <t>991003496649702656</t>
        </is>
      </c>
      <c r="AX960" t="inlineStr">
        <is>
          <t>991003496649702656</t>
        </is>
      </c>
      <c r="AY960" t="inlineStr">
        <is>
          <t>2261946900002656</t>
        </is>
      </c>
      <c r="AZ960" t="inlineStr">
        <is>
          <t>BOOK</t>
        </is>
      </c>
      <c r="BB960" t="inlineStr">
        <is>
          <t>9780052164394</t>
        </is>
      </c>
      <c r="BC960" t="inlineStr">
        <is>
          <t>32285004298435</t>
        </is>
      </c>
      <c r="BD960" t="inlineStr">
        <is>
          <t>893428852</t>
        </is>
      </c>
    </row>
    <row r="961">
      <c r="A961" t="inlineStr">
        <is>
          <t>No</t>
        </is>
      </c>
      <c r="B961" t="inlineStr">
        <is>
          <t>DF99 .R49 1964</t>
        </is>
      </c>
      <c r="C961" t="inlineStr">
        <is>
          <t>0                      DF 0099000R  49          1964</t>
        </is>
      </c>
      <c r="D961" t="inlineStr">
        <is>
          <t>Ancient Greek houses; their history and development from the Neolithic period to the Hellenistic age.</t>
        </is>
      </c>
      <c r="F961" t="inlineStr">
        <is>
          <t>No</t>
        </is>
      </c>
      <c r="G961" t="inlineStr">
        <is>
          <t>1</t>
        </is>
      </c>
      <c r="H961" t="inlineStr">
        <is>
          <t>No</t>
        </is>
      </c>
      <c r="I961" t="inlineStr">
        <is>
          <t>No</t>
        </is>
      </c>
      <c r="J961" t="inlineStr">
        <is>
          <t>0</t>
        </is>
      </c>
      <c r="K961" t="inlineStr">
        <is>
          <t>Rider, Bertha Carr.</t>
        </is>
      </c>
      <c r="L961" t="inlineStr">
        <is>
          <t>Chicago, Argonaut, 1964.</t>
        </is>
      </c>
      <c r="M961" t="inlineStr">
        <is>
          <t>1964</t>
        </is>
      </c>
      <c r="N961" t="inlineStr">
        <is>
          <t>[1st American ed.]</t>
        </is>
      </c>
      <c r="O961" t="inlineStr">
        <is>
          <t>eng</t>
        </is>
      </c>
      <c r="P961" t="inlineStr">
        <is>
          <t>ilu</t>
        </is>
      </c>
      <c r="Q961" t="inlineStr">
        <is>
          <t>Argonaut library of antiquities</t>
        </is>
      </c>
      <c r="R961" t="inlineStr">
        <is>
          <t xml:space="preserve">DF </t>
        </is>
      </c>
      <c r="S961" t="n">
        <v>1</v>
      </c>
      <c r="T961" t="n">
        <v>1</v>
      </c>
      <c r="U961" t="inlineStr">
        <is>
          <t>2009-03-05</t>
        </is>
      </c>
      <c r="V961" t="inlineStr">
        <is>
          <t>2009-03-05</t>
        </is>
      </c>
      <c r="W961" t="inlineStr">
        <is>
          <t>1997-01-28</t>
        </is>
      </c>
      <c r="X961" t="inlineStr">
        <is>
          <t>1997-01-28</t>
        </is>
      </c>
      <c r="Y961" t="n">
        <v>584</v>
      </c>
      <c r="Z961" t="n">
        <v>516</v>
      </c>
      <c r="AA961" t="n">
        <v>518</v>
      </c>
      <c r="AB961" t="n">
        <v>2</v>
      </c>
      <c r="AC961" t="n">
        <v>2</v>
      </c>
      <c r="AD961" t="n">
        <v>25</v>
      </c>
      <c r="AE961" t="n">
        <v>25</v>
      </c>
      <c r="AF961" t="n">
        <v>13</v>
      </c>
      <c r="AG961" t="n">
        <v>13</v>
      </c>
      <c r="AH961" t="n">
        <v>5</v>
      </c>
      <c r="AI961" t="n">
        <v>5</v>
      </c>
      <c r="AJ961" t="n">
        <v>10</v>
      </c>
      <c r="AK961" t="n">
        <v>10</v>
      </c>
      <c r="AL961" t="n">
        <v>1</v>
      </c>
      <c r="AM961" t="n">
        <v>1</v>
      </c>
      <c r="AN961" t="n">
        <v>0</v>
      </c>
      <c r="AO961" t="n">
        <v>0</v>
      </c>
      <c r="AP961" t="inlineStr">
        <is>
          <t>No</t>
        </is>
      </c>
      <c r="AQ961" t="inlineStr">
        <is>
          <t>Yes</t>
        </is>
      </c>
      <c r="AR961">
        <f>HYPERLINK("http://catalog.hathitrust.org/Record/000573027","HathiTrust Record")</f>
        <v/>
      </c>
      <c r="AS961">
        <f>HYPERLINK("https://creighton-primo.hosted.exlibrisgroup.com/primo-explore/search?tab=default_tab&amp;search_scope=EVERYTHING&amp;vid=01CRU&amp;lang=en_US&amp;offset=0&amp;query=any,contains,991002709729702656","Catalog Record")</f>
        <v/>
      </c>
      <c r="AT961">
        <f>HYPERLINK("http://www.worldcat.org/oclc/408695","WorldCat Record")</f>
        <v/>
      </c>
      <c r="AU961" t="inlineStr">
        <is>
          <t>3753420203:eng</t>
        </is>
      </c>
      <c r="AV961" t="inlineStr">
        <is>
          <t>408695</t>
        </is>
      </c>
      <c r="AW961" t="inlineStr">
        <is>
          <t>991002709729702656</t>
        </is>
      </c>
      <c r="AX961" t="inlineStr">
        <is>
          <t>991002709729702656</t>
        </is>
      </c>
      <c r="AY961" t="inlineStr">
        <is>
          <t>2264129210002656</t>
        </is>
      </c>
      <c r="AZ961" t="inlineStr">
        <is>
          <t>BOOK</t>
        </is>
      </c>
      <c r="BC961" t="inlineStr">
        <is>
          <t>32285002417342</t>
        </is>
      </c>
      <c r="BD961" t="inlineStr">
        <is>
          <t>893335625</t>
        </is>
      </c>
    </row>
    <row r="962">
      <c r="A962" t="inlineStr">
        <is>
          <t>No</t>
        </is>
      </c>
      <c r="B962" t="inlineStr">
        <is>
          <t>DF99 .R5</t>
        </is>
      </c>
      <c r="C962" t="inlineStr">
        <is>
          <t>0                      DF 0099000R  5</t>
        </is>
      </c>
      <c r="D962" t="inlineStr">
        <is>
          <t>The Greek house; its history and development from the Neolithic Period to the Hellenistic Age, by Bertha Carr Rider ...</t>
        </is>
      </c>
      <c r="F962" t="inlineStr">
        <is>
          <t>No</t>
        </is>
      </c>
      <c r="G962" t="inlineStr">
        <is>
          <t>1</t>
        </is>
      </c>
      <c r="H962" t="inlineStr">
        <is>
          <t>No</t>
        </is>
      </c>
      <c r="I962" t="inlineStr">
        <is>
          <t>No</t>
        </is>
      </c>
      <c r="J962" t="inlineStr">
        <is>
          <t>0</t>
        </is>
      </c>
      <c r="K962" t="inlineStr">
        <is>
          <t>Rider, Bertha Carr.</t>
        </is>
      </c>
      <c r="L962" t="inlineStr">
        <is>
          <t>Cambridge [Eng.] University Press, 1916.</t>
        </is>
      </c>
      <c r="M962" t="inlineStr">
        <is>
          <t>1916</t>
        </is>
      </c>
      <c r="O962" t="inlineStr">
        <is>
          <t>eng</t>
        </is>
      </c>
      <c r="P962" t="inlineStr">
        <is>
          <t>enk</t>
        </is>
      </c>
      <c r="R962" t="inlineStr">
        <is>
          <t xml:space="preserve">DF </t>
        </is>
      </c>
      <c r="S962" t="n">
        <v>3</v>
      </c>
      <c r="T962" t="n">
        <v>3</v>
      </c>
      <c r="U962" t="inlineStr">
        <is>
          <t>1998-11-20</t>
        </is>
      </c>
      <c r="V962" t="inlineStr">
        <is>
          <t>1998-11-20</t>
        </is>
      </c>
      <c r="W962" t="inlineStr">
        <is>
          <t>1997-01-28</t>
        </is>
      </c>
      <c r="X962" t="inlineStr">
        <is>
          <t>1997-01-28</t>
        </is>
      </c>
      <c r="Y962" t="n">
        <v>282</v>
      </c>
      <c r="Z962" t="n">
        <v>228</v>
      </c>
      <c r="AA962" t="n">
        <v>354</v>
      </c>
      <c r="AB962" t="n">
        <v>2</v>
      </c>
      <c r="AC962" t="n">
        <v>2</v>
      </c>
      <c r="AD962" t="n">
        <v>7</v>
      </c>
      <c r="AE962" t="n">
        <v>16</v>
      </c>
      <c r="AF962" t="n">
        <v>3</v>
      </c>
      <c r="AG962" t="n">
        <v>6</v>
      </c>
      <c r="AH962" t="n">
        <v>1</v>
      </c>
      <c r="AI962" t="n">
        <v>6</v>
      </c>
      <c r="AJ962" t="n">
        <v>4</v>
      </c>
      <c r="AK962" t="n">
        <v>7</v>
      </c>
      <c r="AL962" t="n">
        <v>1</v>
      </c>
      <c r="AM962" t="n">
        <v>1</v>
      </c>
      <c r="AN962" t="n">
        <v>0</v>
      </c>
      <c r="AO962" t="n">
        <v>1</v>
      </c>
      <c r="AP962" t="inlineStr">
        <is>
          <t>Yes</t>
        </is>
      </c>
      <c r="AQ962" t="inlineStr">
        <is>
          <t>No</t>
        </is>
      </c>
      <c r="AR962">
        <f>HYPERLINK("http://catalog.hathitrust.org/Record/000609044","HathiTrust Record")</f>
        <v/>
      </c>
      <c r="AS962">
        <f>HYPERLINK("https://creighton-primo.hosted.exlibrisgroup.com/primo-explore/search?tab=default_tab&amp;search_scope=EVERYTHING&amp;vid=01CRU&amp;lang=en_US&amp;offset=0&amp;query=any,contains,991003762619702656","Catalog Record")</f>
        <v/>
      </c>
      <c r="AT962">
        <f>HYPERLINK("http://www.worldcat.org/oclc/1452460","WorldCat Record")</f>
        <v/>
      </c>
      <c r="AU962" t="inlineStr">
        <is>
          <t>2254445:eng</t>
        </is>
      </c>
      <c r="AV962" t="inlineStr">
        <is>
          <t>1452460</t>
        </is>
      </c>
      <c r="AW962" t="inlineStr">
        <is>
          <t>991003762619702656</t>
        </is>
      </c>
      <c r="AX962" t="inlineStr">
        <is>
          <t>991003762619702656</t>
        </is>
      </c>
      <c r="AY962" t="inlineStr">
        <is>
          <t>2257882680002656</t>
        </is>
      </c>
      <c r="AZ962" t="inlineStr">
        <is>
          <t>BOOK</t>
        </is>
      </c>
      <c r="BC962" t="inlineStr">
        <is>
          <t>32285002417359</t>
        </is>
      </c>
      <c r="BD962" t="inlineStr">
        <is>
          <t>893349101</t>
        </is>
      </c>
    </row>
    <row r="963">
      <c r="A963" t="inlineStr">
        <is>
          <t>No</t>
        </is>
      </c>
      <c r="B963" t="inlineStr">
        <is>
          <t>DG101 .R65 2006</t>
        </is>
      </c>
      <c r="C963" t="inlineStr">
        <is>
          <t>0                      DG 0101000R  65          2006</t>
        </is>
      </c>
      <c r="D963" t="inlineStr">
        <is>
          <t>Dining posture in ancient Rome : bodies, values, and status / Matthew B. Roller.</t>
        </is>
      </c>
      <c r="F963" t="inlineStr">
        <is>
          <t>No</t>
        </is>
      </c>
      <c r="G963" t="inlineStr">
        <is>
          <t>1</t>
        </is>
      </c>
      <c r="H963" t="inlineStr">
        <is>
          <t>No</t>
        </is>
      </c>
      <c r="I963" t="inlineStr">
        <is>
          <t>No</t>
        </is>
      </c>
      <c r="J963" t="inlineStr">
        <is>
          <t>0</t>
        </is>
      </c>
      <c r="K963" t="inlineStr">
        <is>
          <t>Roller, Matthew B., 1966-</t>
        </is>
      </c>
      <c r="L963" t="inlineStr">
        <is>
          <t>Princeton, N.J. : Princeton University Press, c2006.</t>
        </is>
      </c>
      <c r="M963" t="inlineStr">
        <is>
          <t>2006</t>
        </is>
      </c>
      <c r="O963" t="inlineStr">
        <is>
          <t>eng</t>
        </is>
      </c>
      <c r="P963" t="inlineStr">
        <is>
          <t>nju</t>
        </is>
      </c>
      <c r="R963" t="inlineStr">
        <is>
          <t xml:space="preserve">DG </t>
        </is>
      </c>
      <c r="S963" t="n">
        <v>2</v>
      </c>
      <c r="T963" t="n">
        <v>2</v>
      </c>
      <c r="U963" t="inlineStr">
        <is>
          <t>2010-09-15</t>
        </is>
      </c>
      <c r="V963" t="inlineStr">
        <is>
          <t>2010-09-15</t>
        </is>
      </c>
      <c r="W963" t="inlineStr">
        <is>
          <t>2006-12-12</t>
        </is>
      </c>
      <c r="X963" t="inlineStr">
        <is>
          <t>2006-12-12</t>
        </is>
      </c>
      <c r="Y963" t="n">
        <v>363</v>
      </c>
      <c r="Z963" t="n">
        <v>268</v>
      </c>
      <c r="AA963" t="n">
        <v>497</v>
      </c>
      <c r="AB963" t="n">
        <v>3</v>
      </c>
      <c r="AC963" t="n">
        <v>3</v>
      </c>
      <c r="AD963" t="n">
        <v>15</v>
      </c>
      <c r="AE963" t="n">
        <v>25</v>
      </c>
      <c r="AF963" t="n">
        <v>4</v>
      </c>
      <c r="AG963" t="n">
        <v>12</v>
      </c>
      <c r="AH963" t="n">
        <v>4</v>
      </c>
      <c r="AI963" t="n">
        <v>7</v>
      </c>
      <c r="AJ963" t="n">
        <v>10</v>
      </c>
      <c r="AK963" t="n">
        <v>14</v>
      </c>
      <c r="AL963" t="n">
        <v>2</v>
      </c>
      <c r="AM963" t="n">
        <v>2</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HYPERLINK("https://creighton-primo.hosted.exlibrisgroup.com/primo-explore/search?tab=default_tab&amp;search_scope=EVERYTHING&amp;vid=01CRU&amp;lang=en_US&amp;offset=0&amp;query=any,contains,991004965729702656","Catalog Record")</f>
        <v/>
      </c>
      <c r="AT963">
        <f>HYPERLINK("http://www.worldcat.org/oclc/62084307","WorldCat Record")</f>
        <v/>
      </c>
      <c r="AU963" t="inlineStr">
        <is>
          <t>140778478:eng</t>
        </is>
      </c>
      <c r="AV963" t="inlineStr">
        <is>
          <t>62084307</t>
        </is>
      </c>
      <c r="AW963" t="inlineStr">
        <is>
          <t>991004965729702656</t>
        </is>
      </c>
      <c r="AX963" t="inlineStr">
        <is>
          <t>991004965729702656</t>
        </is>
      </c>
      <c r="AY963" t="inlineStr">
        <is>
          <t>2269220790002656</t>
        </is>
      </c>
      <c r="AZ963" t="inlineStr">
        <is>
          <t>BOOK</t>
        </is>
      </c>
      <c r="BB963" t="inlineStr">
        <is>
          <t>9780691124575</t>
        </is>
      </c>
      <c r="BC963" t="inlineStr">
        <is>
          <t>32285005266423</t>
        </is>
      </c>
      <c r="BD963" t="inlineStr">
        <is>
          <t>893353622</t>
        </is>
      </c>
    </row>
    <row r="964">
      <c r="A964" t="inlineStr">
        <is>
          <t>No</t>
        </is>
      </c>
      <c r="B964" t="inlineStr">
        <is>
          <t>DG121 .A8 1987</t>
        </is>
      </c>
      <c r="C964" t="inlineStr">
        <is>
          <t>0                      DG 0121000A  8           1987</t>
        </is>
      </c>
      <c r="D964" t="inlineStr">
        <is>
          <t>The deification of abstract ideas in Roman literature and inscriptions / by Harold L. Axtell.</t>
        </is>
      </c>
      <c r="F964" t="inlineStr">
        <is>
          <t>No</t>
        </is>
      </c>
      <c r="G964" t="inlineStr">
        <is>
          <t>1</t>
        </is>
      </c>
      <c r="H964" t="inlineStr">
        <is>
          <t>No</t>
        </is>
      </c>
      <c r="I964" t="inlineStr">
        <is>
          <t>No</t>
        </is>
      </c>
      <c r="J964" t="inlineStr">
        <is>
          <t>0</t>
        </is>
      </c>
      <c r="K964" t="inlineStr">
        <is>
          <t>Axtell, Harold L. (Harold Lucius), 1876-</t>
        </is>
      </c>
      <c r="L964" t="inlineStr">
        <is>
          <t>New Rochelle, N.Y. : Caratzas Pub.Co., 1987.</t>
        </is>
      </c>
      <c r="M964" t="inlineStr">
        <is>
          <t>1987</t>
        </is>
      </c>
      <c r="O964" t="inlineStr">
        <is>
          <t>eng</t>
        </is>
      </c>
      <c r="P964" t="inlineStr">
        <is>
          <t>nyu</t>
        </is>
      </c>
      <c r="R964" t="inlineStr">
        <is>
          <t xml:space="preserve">DG </t>
        </is>
      </c>
      <c r="S964" t="n">
        <v>1</v>
      </c>
      <c r="T964" t="n">
        <v>1</v>
      </c>
      <c r="U964" t="inlineStr">
        <is>
          <t>2006-06-15</t>
        </is>
      </c>
      <c r="V964" t="inlineStr">
        <is>
          <t>2006-06-15</t>
        </is>
      </c>
      <c r="W964" t="inlineStr">
        <is>
          <t>1991-03-27</t>
        </is>
      </c>
      <c r="X964" t="inlineStr">
        <is>
          <t>1991-03-27</t>
        </is>
      </c>
      <c r="Y964" t="n">
        <v>69</v>
      </c>
      <c r="Z964" t="n">
        <v>63</v>
      </c>
      <c r="AA964" t="n">
        <v>140</v>
      </c>
      <c r="AB964" t="n">
        <v>2</v>
      </c>
      <c r="AC964" t="n">
        <v>2</v>
      </c>
      <c r="AD964" t="n">
        <v>4</v>
      </c>
      <c r="AE964" t="n">
        <v>7</v>
      </c>
      <c r="AF964" t="n">
        <v>0</v>
      </c>
      <c r="AG964" t="n">
        <v>0</v>
      </c>
      <c r="AH964" t="n">
        <v>1</v>
      </c>
      <c r="AI964" t="n">
        <v>3</v>
      </c>
      <c r="AJ964" t="n">
        <v>2</v>
      </c>
      <c r="AK964" t="n">
        <v>4</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HYPERLINK("https://creighton-primo.hosted.exlibrisgroup.com/primo-explore/search?tab=default_tab&amp;search_scope=EVERYTHING&amp;vid=01CRU&amp;lang=en_US&amp;offset=0&amp;query=any,contains,991001035149702656","Catalog Record")</f>
        <v/>
      </c>
      <c r="AT964">
        <f>HYPERLINK("http://www.worldcat.org/oclc/15547412","WorldCat Record")</f>
        <v/>
      </c>
      <c r="AU964" t="inlineStr">
        <is>
          <t>10774816:eng</t>
        </is>
      </c>
      <c r="AV964" t="inlineStr">
        <is>
          <t>15547412</t>
        </is>
      </c>
      <c r="AW964" t="inlineStr">
        <is>
          <t>991001035149702656</t>
        </is>
      </c>
      <c r="AX964" t="inlineStr">
        <is>
          <t>991001035149702656</t>
        </is>
      </c>
      <c r="AY964" t="inlineStr">
        <is>
          <t>2258338510002656</t>
        </is>
      </c>
      <c r="AZ964" t="inlineStr">
        <is>
          <t>BOOK</t>
        </is>
      </c>
      <c r="BC964" t="inlineStr">
        <is>
          <t>32285000521285</t>
        </is>
      </c>
      <c r="BD964" t="inlineStr">
        <is>
          <t>893884981</t>
        </is>
      </c>
    </row>
    <row r="965">
      <c r="A965" t="inlineStr">
        <is>
          <t>No</t>
        </is>
      </c>
      <c r="B965" t="inlineStr">
        <is>
          <t>DG124 .M33</t>
        </is>
      </c>
      <c r="C965" t="inlineStr">
        <is>
          <t>0                      DG 0124000M  33</t>
        </is>
      </c>
      <c r="D965" t="inlineStr">
        <is>
          <t>Art and ceremony in late antiquity / Sabine G. MacCormack.</t>
        </is>
      </c>
      <c r="F965" t="inlineStr">
        <is>
          <t>No</t>
        </is>
      </c>
      <c r="G965" t="inlineStr">
        <is>
          <t>1</t>
        </is>
      </c>
      <c r="H965" t="inlineStr">
        <is>
          <t>No</t>
        </is>
      </c>
      <c r="I965" t="inlineStr">
        <is>
          <t>No</t>
        </is>
      </c>
      <c r="J965" t="inlineStr">
        <is>
          <t>0</t>
        </is>
      </c>
      <c r="K965" t="inlineStr">
        <is>
          <t>MacCormack, Sabine.</t>
        </is>
      </c>
      <c r="L965" t="inlineStr">
        <is>
          <t>Berkeley : University of California Press, c1981.</t>
        </is>
      </c>
      <c r="M965" t="inlineStr">
        <is>
          <t>1981</t>
        </is>
      </c>
      <c r="O965" t="inlineStr">
        <is>
          <t>eng</t>
        </is>
      </c>
      <c r="P965" t="inlineStr">
        <is>
          <t>cau</t>
        </is>
      </c>
      <c r="Q965" t="inlineStr">
        <is>
          <t>The Transformation of the classical heritage ; 1</t>
        </is>
      </c>
      <c r="R965" t="inlineStr">
        <is>
          <t xml:space="preserve">DG </t>
        </is>
      </c>
      <c r="S965" t="n">
        <v>2</v>
      </c>
      <c r="T965" t="n">
        <v>2</v>
      </c>
      <c r="U965" t="inlineStr">
        <is>
          <t>2003-04-23</t>
        </is>
      </c>
      <c r="V965" t="inlineStr">
        <is>
          <t>2003-04-23</t>
        </is>
      </c>
      <c r="W965" t="inlineStr">
        <is>
          <t>1991-03-27</t>
        </is>
      </c>
      <c r="X965" t="inlineStr">
        <is>
          <t>1991-03-27</t>
        </is>
      </c>
      <c r="Y965" t="n">
        <v>653</v>
      </c>
      <c r="Z965" t="n">
        <v>506</v>
      </c>
      <c r="AA965" t="n">
        <v>655</v>
      </c>
      <c r="AB965" t="n">
        <v>4</v>
      </c>
      <c r="AC965" t="n">
        <v>5</v>
      </c>
      <c r="AD965" t="n">
        <v>28</v>
      </c>
      <c r="AE965" t="n">
        <v>36</v>
      </c>
      <c r="AF965" t="n">
        <v>10</v>
      </c>
      <c r="AG965" t="n">
        <v>14</v>
      </c>
      <c r="AH965" t="n">
        <v>10</v>
      </c>
      <c r="AI965" t="n">
        <v>10</v>
      </c>
      <c r="AJ965" t="n">
        <v>15</v>
      </c>
      <c r="AK965" t="n">
        <v>18</v>
      </c>
      <c r="AL965" t="n">
        <v>3</v>
      </c>
      <c r="AM965" t="n">
        <v>4</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HYPERLINK("https://creighton-primo.hosted.exlibrisgroup.com/primo-explore/search?tab=default_tab&amp;search_scope=EVERYTHING&amp;vid=01CRU&amp;lang=en_US&amp;offset=0&amp;query=any,contains,991005079839702656","Catalog Record")</f>
        <v/>
      </c>
      <c r="AT965">
        <f>HYPERLINK("http://www.worldcat.org/oclc/7170382","WorldCat Record")</f>
        <v/>
      </c>
      <c r="AU965" t="inlineStr">
        <is>
          <t>15688151:eng</t>
        </is>
      </c>
      <c r="AV965" t="inlineStr">
        <is>
          <t>7170382</t>
        </is>
      </c>
      <c r="AW965" t="inlineStr">
        <is>
          <t>991005079839702656</t>
        </is>
      </c>
      <c r="AX965" t="inlineStr">
        <is>
          <t>991005079839702656</t>
        </is>
      </c>
      <c r="AY965" t="inlineStr">
        <is>
          <t>2256632110002656</t>
        </is>
      </c>
      <c r="AZ965" t="inlineStr">
        <is>
          <t>BOOK</t>
        </is>
      </c>
      <c r="BB965" t="inlineStr">
        <is>
          <t>9780520037793</t>
        </is>
      </c>
      <c r="BC965" t="inlineStr">
        <is>
          <t>32285000521293</t>
        </is>
      </c>
      <c r="BD965" t="inlineStr">
        <is>
          <t>893713413</t>
        </is>
      </c>
    </row>
    <row r="966">
      <c r="A966" t="inlineStr">
        <is>
          <t>No</t>
        </is>
      </c>
      <c r="B966" t="inlineStr">
        <is>
          <t>DG124 .T3</t>
        </is>
      </c>
      <c r="C966" t="inlineStr">
        <is>
          <t>0                      DG 0124000T  3</t>
        </is>
      </c>
      <c r="D966" t="inlineStr">
        <is>
          <t>The divinity of the Roman emperor / by Lily Ross Taylor.</t>
        </is>
      </c>
      <c r="F966" t="inlineStr">
        <is>
          <t>No</t>
        </is>
      </c>
      <c r="G966" t="inlineStr">
        <is>
          <t>1</t>
        </is>
      </c>
      <c r="H966" t="inlineStr">
        <is>
          <t>No</t>
        </is>
      </c>
      <c r="I966" t="inlineStr">
        <is>
          <t>No</t>
        </is>
      </c>
      <c r="J966" t="inlineStr">
        <is>
          <t>0</t>
        </is>
      </c>
      <c r="K966" t="inlineStr">
        <is>
          <t>Taylor, Lily Ross, 1886-1969.</t>
        </is>
      </c>
      <c r="L966" t="inlineStr">
        <is>
          <t>Middletown, Conn. : American Philological Association, 1931.</t>
        </is>
      </c>
      <c r="M966" t="inlineStr">
        <is>
          <t>1931</t>
        </is>
      </c>
      <c r="O966" t="inlineStr">
        <is>
          <t>eng</t>
        </is>
      </c>
      <c r="P966" t="inlineStr">
        <is>
          <t>ctu</t>
        </is>
      </c>
      <c r="Q966" t="inlineStr">
        <is>
          <t>Philological monographs ; no. 1</t>
        </is>
      </c>
      <c r="R966" t="inlineStr">
        <is>
          <t xml:space="preserve">DG </t>
        </is>
      </c>
      <c r="S966" t="n">
        <v>6</v>
      </c>
      <c r="T966" t="n">
        <v>6</v>
      </c>
      <c r="U966" t="inlineStr">
        <is>
          <t>2010-04-08</t>
        </is>
      </c>
      <c r="V966" t="inlineStr">
        <is>
          <t>2010-04-08</t>
        </is>
      </c>
      <c r="W966" t="inlineStr">
        <is>
          <t>1991-12-09</t>
        </is>
      </c>
      <c r="X966" t="inlineStr">
        <is>
          <t>1991-12-09</t>
        </is>
      </c>
      <c r="Y966" t="n">
        <v>349</v>
      </c>
      <c r="Z966" t="n">
        <v>255</v>
      </c>
      <c r="AA966" t="n">
        <v>555</v>
      </c>
      <c r="AB966" t="n">
        <v>3</v>
      </c>
      <c r="AC966" t="n">
        <v>4</v>
      </c>
      <c r="AD966" t="n">
        <v>24</v>
      </c>
      <c r="AE966" t="n">
        <v>36</v>
      </c>
      <c r="AF966" t="n">
        <v>5</v>
      </c>
      <c r="AG966" t="n">
        <v>15</v>
      </c>
      <c r="AH966" t="n">
        <v>7</v>
      </c>
      <c r="AI966" t="n">
        <v>9</v>
      </c>
      <c r="AJ966" t="n">
        <v>18</v>
      </c>
      <c r="AK966" t="n">
        <v>22</v>
      </c>
      <c r="AL966" t="n">
        <v>1</v>
      </c>
      <c r="AM966" t="n">
        <v>2</v>
      </c>
      <c r="AN966" t="n">
        <v>0</v>
      </c>
      <c r="AO966" t="n">
        <v>0</v>
      </c>
      <c r="AP966" t="inlineStr">
        <is>
          <t>Yes</t>
        </is>
      </c>
      <c r="AQ966" t="inlineStr">
        <is>
          <t>No</t>
        </is>
      </c>
      <c r="AR966">
        <f>HYPERLINK("http://catalog.hathitrust.org/Record/000654820","HathiTrust Record")</f>
        <v/>
      </c>
      <c r="AS966">
        <f>HYPERLINK("https://creighton-primo.hosted.exlibrisgroup.com/primo-explore/search?tab=default_tab&amp;search_scope=EVERYTHING&amp;vid=01CRU&amp;lang=en_US&amp;offset=0&amp;query=any,contains,991003072349702656","Catalog Record")</f>
        <v/>
      </c>
      <c r="AT966">
        <f>HYPERLINK("http://www.worldcat.org/oclc/626598","WorldCat Record")</f>
        <v/>
      </c>
      <c r="AU966" t="inlineStr">
        <is>
          <t>1721088:eng</t>
        </is>
      </c>
      <c r="AV966" t="inlineStr">
        <is>
          <t>626598</t>
        </is>
      </c>
      <c r="AW966" t="inlineStr">
        <is>
          <t>991003072349702656</t>
        </is>
      </c>
      <c r="AX966" t="inlineStr">
        <is>
          <t>991003072349702656</t>
        </is>
      </c>
      <c r="AY966" t="inlineStr">
        <is>
          <t>2257337000002656</t>
        </is>
      </c>
      <c r="AZ966" t="inlineStr">
        <is>
          <t>BOOK</t>
        </is>
      </c>
      <c r="BC966" t="inlineStr">
        <is>
          <t>32285000849777</t>
        </is>
      </c>
      <c r="BD966" t="inlineStr">
        <is>
          <t>893416008</t>
        </is>
      </c>
    </row>
    <row r="967">
      <c r="A967" t="inlineStr">
        <is>
          <t>No</t>
        </is>
      </c>
      <c r="B967" t="inlineStr">
        <is>
          <t>DG13 .M3 1958</t>
        </is>
      </c>
      <c r="C967" t="inlineStr">
        <is>
          <t>0                      DG 0013000M  3           1958</t>
        </is>
      </c>
      <c r="D967" t="inlineStr">
        <is>
          <t>The Roman mind at work / Paul MacKendrick.</t>
        </is>
      </c>
      <c r="F967" t="inlineStr">
        <is>
          <t>No</t>
        </is>
      </c>
      <c r="G967" t="inlineStr">
        <is>
          <t>1</t>
        </is>
      </c>
      <c r="H967" t="inlineStr">
        <is>
          <t>No</t>
        </is>
      </c>
      <c r="I967" t="inlineStr">
        <is>
          <t>No</t>
        </is>
      </c>
      <c r="J967" t="inlineStr">
        <is>
          <t>0</t>
        </is>
      </c>
      <c r="K967" t="inlineStr">
        <is>
          <t>MacKendrick, Paul Lachlan, 1914-1998.</t>
        </is>
      </c>
      <c r="L967" t="inlineStr">
        <is>
          <t>Princeton, N.J. : Van Nostrand, c1958.</t>
        </is>
      </c>
      <c r="M967" t="inlineStr">
        <is>
          <t>1958</t>
        </is>
      </c>
      <c r="O967" t="inlineStr">
        <is>
          <t>eng</t>
        </is>
      </c>
      <c r="P967" t="inlineStr">
        <is>
          <t>nju</t>
        </is>
      </c>
      <c r="Q967" t="inlineStr">
        <is>
          <t>An Anvil original, no. 35</t>
        </is>
      </c>
      <c r="R967" t="inlineStr">
        <is>
          <t xml:space="preserve">DG </t>
        </is>
      </c>
      <c r="S967" t="n">
        <v>1</v>
      </c>
      <c r="T967" t="n">
        <v>1</v>
      </c>
      <c r="U967" t="inlineStr">
        <is>
          <t>2007-09-27</t>
        </is>
      </c>
      <c r="V967" t="inlineStr">
        <is>
          <t>2007-09-27</t>
        </is>
      </c>
      <c r="W967" t="inlineStr">
        <is>
          <t>1991-02-25</t>
        </is>
      </c>
      <c r="X967" t="inlineStr">
        <is>
          <t>1991-02-25</t>
        </is>
      </c>
      <c r="Y967" t="n">
        <v>551</v>
      </c>
      <c r="Z967" t="n">
        <v>476</v>
      </c>
      <c r="AA967" t="n">
        <v>552</v>
      </c>
      <c r="AB967" t="n">
        <v>4</v>
      </c>
      <c r="AC967" t="n">
        <v>4</v>
      </c>
      <c r="AD967" t="n">
        <v>21</v>
      </c>
      <c r="AE967" t="n">
        <v>21</v>
      </c>
      <c r="AF967" t="n">
        <v>6</v>
      </c>
      <c r="AG967" t="n">
        <v>6</v>
      </c>
      <c r="AH967" t="n">
        <v>5</v>
      </c>
      <c r="AI967" t="n">
        <v>5</v>
      </c>
      <c r="AJ967" t="n">
        <v>14</v>
      </c>
      <c r="AK967" t="n">
        <v>14</v>
      </c>
      <c r="AL967" t="n">
        <v>3</v>
      </c>
      <c r="AM967" t="n">
        <v>3</v>
      </c>
      <c r="AN967" t="n">
        <v>0</v>
      </c>
      <c r="AO967" t="n">
        <v>0</v>
      </c>
      <c r="AP967" t="inlineStr">
        <is>
          <t>No</t>
        </is>
      </c>
      <c r="AQ967" t="inlineStr">
        <is>
          <t>Yes</t>
        </is>
      </c>
      <c r="AR967">
        <f>HYPERLINK("http://catalog.hathitrust.org/Record/000610239","HathiTrust Record")</f>
        <v/>
      </c>
      <c r="AS967">
        <f>HYPERLINK("https://creighton-primo.hosted.exlibrisgroup.com/primo-explore/search?tab=default_tab&amp;search_scope=EVERYTHING&amp;vid=01CRU&amp;lang=en_US&amp;offset=0&amp;query=any,contains,991002705449702656","Catalog Record")</f>
        <v/>
      </c>
      <c r="AT967">
        <f>HYPERLINK("http://www.worldcat.org/oclc/406929","WorldCat Record")</f>
        <v/>
      </c>
      <c r="AU967" t="inlineStr">
        <is>
          <t>149616003:eng</t>
        </is>
      </c>
      <c r="AV967" t="inlineStr">
        <is>
          <t>406929</t>
        </is>
      </c>
      <c r="AW967" t="inlineStr">
        <is>
          <t>991002705449702656</t>
        </is>
      </c>
      <c r="AX967" t="inlineStr">
        <is>
          <t>991002705449702656</t>
        </is>
      </c>
      <c r="AY967" t="inlineStr">
        <is>
          <t>2261112330002656</t>
        </is>
      </c>
      <c r="AZ967" t="inlineStr">
        <is>
          <t>BOOK</t>
        </is>
      </c>
      <c r="BC967" t="inlineStr">
        <is>
          <t>32285000520758</t>
        </is>
      </c>
      <c r="BD967" t="inlineStr">
        <is>
          <t>893245534</t>
        </is>
      </c>
    </row>
    <row r="968">
      <c r="A968" t="inlineStr">
        <is>
          <t>No</t>
        </is>
      </c>
      <c r="B968" t="inlineStr">
        <is>
          <t>DG135 .W3 1982</t>
        </is>
      </c>
      <c r="C968" t="inlineStr">
        <is>
          <t>0                      DG 0135000W  3           1982</t>
        </is>
      </c>
      <c r="D968" t="inlineStr">
        <is>
          <t>Religion and statecraft among the Romans / Alan Wardman.</t>
        </is>
      </c>
      <c r="F968" t="inlineStr">
        <is>
          <t>No</t>
        </is>
      </c>
      <c r="G968" t="inlineStr">
        <is>
          <t>1</t>
        </is>
      </c>
      <c r="H968" t="inlineStr">
        <is>
          <t>No</t>
        </is>
      </c>
      <c r="I968" t="inlineStr">
        <is>
          <t>No</t>
        </is>
      </c>
      <c r="J968" t="inlineStr">
        <is>
          <t>0</t>
        </is>
      </c>
      <c r="K968" t="inlineStr">
        <is>
          <t>Wardman, Alan.</t>
        </is>
      </c>
      <c r="L968" t="inlineStr">
        <is>
          <t>Baltimore : Johns Hopkins University Press, 1982.</t>
        </is>
      </c>
      <c r="M968" t="inlineStr">
        <is>
          <t>1982</t>
        </is>
      </c>
      <c r="O968" t="inlineStr">
        <is>
          <t>eng</t>
        </is>
      </c>
      <c r="P968" t="inlineStr">
        <is>
          <t>mdu</t>
        </is>
      </c>
      <c r="R968" t="inlineStr">
        <is>
          <t xml:space="preserve">DG </t>
        </is>
      </c>
      <c r="S968" t="n">
        <v>7</v>
      </c>
      <c r="T968" t="n">
        <v>7</v>
      </c>
      <c r="U968" t="inlineStr">
        <is>
          <t>2010-04-08</t>
        </is>
      </c>
      <c r="V968" t="inlineStr">
        <is>
          <t>2010-04-08</t>
        </is>
      </c>
      <c r="W968" t="inlineStr">
        <is>
          <t>1990-06-20</t>
        </is>
      </c>
      <c r="X968" t="inlineStr">
        <is>
          <t>1990-06-20</t>
        </is>
      </c>
      <c r="Y968" t="n">
        <v>440</v>
      </c>
      <c r="Z968" t="n">
        <v>411</v>
      </c>
      <c r="AA968" t="n">
        <v>505</v>
      </c>
      <c r="AB968" t="n">
        <v>1</v>
      </c>
      <c r="AC968" t="n">
        <v>2</v>
      </c>
      <c r="AD968" t="n">
        <v>21</v>
      </c>
      <c r="AE968" t="n">
        <v>25</v>
      </c>
      <c r="AF968" t="n">
        <v>9</v>
      </c>
      <c r="AG968" t="n">
        <v>11</v>
      </c>
      <c r="AH968" t="n">
        <v>7</v>
      </c>
      <c r="AI968" t="n">
        <v>7</v>
      </c>
      <c r="AJ968" t="n">
        <v>14</v>
      </c>
      <c r="AK968" t="n">
        <v>15</v>
      </c>
      <c r="AL968" t="n">
        <v>0</v>
      </c>
      <c r="AM968" t="n">
        <v>1</v>
      </c>
      <c r="AN968" t="n">
        <v>1</v>
      </c>
      <c r="AO968" t="n">
        <v>1</v>
      </c>
      <c r="AP968" t="inlineStr">
        <is>
          <t>No</t>
        </is>
      </c>
      <c r="AQ968" t="inlineStr">
        <is>
          <t>Yes</t>
        </is>
      </c>
      <c r="AR968">
        <f>HYPERLINK("http://catalog.hathitrust.org/Record/000192375","HathiTrust Record")</f>
        <v/>
      </c>
      <c r="AS968">
        <f>HYPERLINK("https://creighton-primo.hosted.exlibrisgroup.com/primo-explore/search?tab=default_tab&amp;search_scope=EVERYTHING&amp;vid=01CRU&amp;lang=en_US&amp;offset=0&amp;query=any,contains,991000103349702656","Catalog Record")</f>
        <v/>
      </c>
      <c r="AT968">
        <f>HYPERLINK("http://www.worldcat.org/oclc/8962731","WorldCat Record")</f>
        <v/>
      </c>
      <c r="AU968" t="inlineStr">
        <is>
          <t>420834:eng</t>
        </is>
      </c>
      <c r="AV968" t="inlineStr">
        <is>
          <t>8962731</t>
        </is>
      </c>
      <c r="AW968" t="inlineStr">
        <is>
          <t>991000103349702656</t>
        </is>
      </c>
      <c r="AX968" t="inlineStr">
        <is>
          <t>991000103349702656</t>
        </is>
      </c>
      <c r="AY968" t="inlineStr">
        <is>
          <t>2256787320002656</t>
        </is>
      </c>
      <c r="AZ968" t="inlineStr">
        <is>
          <t>BOOK</t>
        </is>
      </c>
      <c r="BB968" t="inlineStr">
        <is>
          <t>9780801827709</t>
        </is>
      </c>
      <c r="BC968" t="inlineStr">
        <is>
          <t>32285000199959</t>
        </is>
      </c>
      <c r="BD968" t="inlineStr">
        <is>
          <t>893521403</t>
        </is>
      </c>
    </row>
    <row r="969">
      <c r="A969" t="inlineStr">
        <is>
          <t>No</t>
        </is>
      </c>
      <c r="B969" t="inlineStr">
        <is>
          <t>DG140 .G74 1992</t>
        </is>
      </c>
      <c r="C969" t="inlineStr">
        <is>
          <t>0                      DG 0140000G  74          1992</t>
        </is>
      </c>
      <c r="D969" t="inlineStr">
        <is>
          <t>Roman pottery / Kevin Greene.</t>
        </is>
      </c>
      <c r="F969" t="inlineStr">
        <is>
          <t>No</t>
        </is>
      </c>
      <c r="G969" t="inlineStr">
        <is>
          <t>1</t>
        </is>
      </c>
      <c r="H969" t="inlineStr">
        <is>
          <t>No</t>
        </is>
      </c>
      <c r="I969" t="inlineStr">
        <is>
          <t>No</t>
        </is>
      </c>
      <c r="J969" t="inlineStr">
        <is>
          <t>0</t>
        </is>
      </c>
      <c r="K969" t="inlineStr">
        <is>
          <t>Greene, Kevin.</t>
        </is>
      </c>
      <c r="L969" t="inlineStr">
        <is>
          <t>Berkeley : University of California Press ; [London] : British Museum, c1992.</t>
        </is>
      </c>
      <c r="M969" t="inlineStr">
        <is>
          <t>1992</t>
        </is>
      </c>
      <c r="O969" t="inlineStr">
        <is>
          <t>eng</t>
        </is>
      </c>
      <c r="P969" t="inlineStr">
        <is>
          <t>cau</t>
        </is>
      </c>
      <c r="Q969" t="inlineStr">
        <is>
          <t>Interpreting the past</t>
        </is>
      </c>
      <c r="R969" t="inlineStr">
        <is>
          <t xml:space="preserve">DG </t>
        </is>
      </c>
      <c r="S969" t="n">
        <v>1</v>
      </c>
      <c r="T969" t="n">
        <v>1</v>
      </c>
      <c r="U969" t="inlineStr">
        <is>
          <t>2005-12-09</t>
        </is>
      </c>
      <c r="V969" t="inlineStr">
        <is>
          <t>2005-12-09</t>
        </is>
      </c>
      <c r="W969" t="inlineStr">
        <is>
          <t>1993-11-15</t>
        </is>
      </c>
      <c r="X969" t="inlineStr">
        <is>
          <t>1993-11-15</t>
        </is>
      </c>
      <c r="Y969" t="n">
        <v>305</v>
      </c>
      <c r="Z969" t="n">
        <v>239</v>
      </c>
      <c r="AA969" t="n">
        <v>239</v>
      </c>
      <c r="AB969" t="n">
        <v>3</v>
      </c>
      <c r="AC969" t="n">
        <v>3</v>
      </c>
      <c r="AD969" t="n">
        <v>16</v>
      </c>
      <c r="AE969" t="n">
        <v>16</v>
      </c>
      <c r="AF969" t="n">
        <v>6</v>
      </c>
      <c r="AG969" t="n">
        <v>6</v>
      </c>
      <c r="AH969" t="n">
        <v>1</v>
      </c>
      <c r="AI969" t="n">
        <v>1</v>
      </c>
      <c r="AJ969" t="n">
        <v>11</v>
      </c>
      <c r="AK969" t="n">
        <v>11</v>
      </c>
      <c r="AL969" t="n">
        <v>2</v>
      </c>
      <c r="AM969" t="n">
        <v>2</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HYPERLINK("https://creighton-primo.hosted.exlibrisgroup.com/primo-explore/search?tab=default_tab&amp;search_scope=EVERYTHING&amp;vid=01CRU&amp;lang=en_US&amp;offset=0&amp;query=any,contains,991001985469702656","Catalog Record")</f>
        <v/>
      </c>
      <c r="AT969">
        <f>HYPERLINK("http://www.worldcat.org/oclc/25202766","WorldCat Record")</f>
        <v/>
      </c>
      <c r="AU969" t="inlineStr">
        <is>
          <t>9593917654:eng</t>
        </is>
      </c>
      <c r="AV969" t="inlineStr">
        <is>
          <t>25202766</t>
        </is>
      </c>
      <c r="AW969" t="inlineStr">
        <is>
          <t>991001985469702656</t>
        </is>
      </c>
      <c r="AX969" t="inlineStr">
        <is>
          <t>991001985469702656</t>
        </is>
      </c>
      <c r="AY969" t="inlineStr">
        <is>
          <t>2266229570002656</t>
        </is>
      </c>
      <c r="AZ969" t="inlineStr">
        <is>
          <t>BOOK</t>
        </is>
      </c>
      <c r="BB969" t="inlineStr">
        <is>
          <t>9780520080317</t>
        </is>
      </c>
      <c r="BC969" t="inlineStr">
        <is>
          <t>32285001811420</t>
        </is>
      </c>
      <c r="BD969" t="inlineStr">
        <is>
          <t>893703534</t>
        </is>
      </c>
    </row>
    <row r="970">
      <c r="A970" t="inlineStr">
        <is>
          <t>No</t>
        </is>
      </c>
      <c r="B970" t="inlineStr">
        <is>
          <t>DG203.5 .M8613 1999</t>
        </is>
      </c>
      <c r="C970" t="inlineStr">
        <is>
          <t>0                      DG 0203500M  8613        1999</t>
        </is>
      </c>
      <c r="D970" t="inlineStr">
        <is>
          <t>Roman aristocratic parties and families / Friedrich Münzer ; translated by Thérèse Ridley.</t>
        </is>
      </c>
      <c r="F970" t="inlineStr">
        <is>
          <t>No</t>
        </is>
      </c>
      <c r="G970" t="inlineStr">
        <is>
          <t>1</t>
        </is>
      </c>
      <c r="H970" t="inlineStr">
        <is>
          <t>No</t>
        </is>
      </c>
      <c r="I970" t="inlineStr">
        <is>
          <t>No</t>
        </is>
      </c>
      <c r="J970" t="inlineStr">
        <is>
          <t>0</t>
        </is>
      </c>
      <c r="K970" t="inlineStr">
        <is>
          <t>Münzer, Friedrich, 1868-1942.</t>
        </is>
      </c>
      <c r="L970" t="inlineStr">
        <is>
          <t>Baltimore : Johns Hopkins University Press, 1999.</t>
        </is>
      </c>
      <c r="M970" t="inlineStr">
        <is>
          <t>1999</t>
        </is>
      </c>
      <c r="O970" t="inlineStr">
        <is>
          <t>eng</t>
        </is>
      </c>
      <c r="P970" t="inlineStr">
        <is>
          <t>mdu</t>
        </is>
      </c>
      <c r="R970" t="inlineStr">
        <is>
          <t xml:space="preserve">DG </t>
        </is>
      </c>
      <c r="S970" t="n">
        <v>3</v>
      </c>
      <c r="T970" t="n">
        <v>3</v>
      </c>
      <c r="U970" t="inlineStr">
        <is>
          <t>2005-08-30</t>
        </is>
      </c>
      <c r="V970" t="inlineStr">
        <is>
          <t>2005-08-30</t>
        </is>
      </c>
      <c r="W970" t="inlineStr">
        <is>
          <t>2003-06-24</t>
        </is>
      </c>
      <c r="X970" t="inlineStr">
        <is>
          <t>2003-06-24</t>
        </is>
      </c>
      <c r="Y970" t="n">
        <v>314</v>
      </c>
      <c r="Z970" t="n">
        <v>227</v>
      </c>
      <c r="AA970" t="n">
        <v>229</v>
      </c>
      <c r="AB970" t="n">
        <v>3</v>
      </c>
      <c r="AC970" t="n">
        <v>3</v>
      </c>
      <c r="AD970" t="n">
        <v>13</v>
      </c>
      <c r="AE970" t="n">
        <v>13</v>
      </c>
      <c r="AF970" t="n">
        <v>3</v>
      </c>
      <c r="AG970" t="n">
        <v>3</v>
      </c>
      <c r="AH970" t="n">
        <v>5</v>
      </c>
      <c r="AI970" t="n">
        <v>5</v>
      </c>
      <c r="AJ970" t="n">
        <v>8</v>
      </c>
      <c r="AK970" t="n">
        <v>8</v>
      </c>
      <c r="AL970" t="n">
        <v>2</v>
      </c>
      <c r="AM970" t="n">
        <v>2</v>
      </c>
      <c r="AN970" t="n">
        <v>0</v>
      </c>
      <c r="AO970" t="n">
        <v>0</v>
      </c>
      <c r="AP970" t="inlineStr">
        <is>
          <t>No</t>
        </is>
      </c>
      <c r="AQ970" t="inlineStr">
        <is>
          <t>Yes</t>
        </is>
      </c>
      <c r="AR970">
        <f>HYPERLINK("http://catalog.hathitrust.org/Record/004039531","HathiTrust Record")</f>
        <v/>
      </c>
      <c r="AS970">
        <f>HYPERLINK("https://creighton-primo.hosted.exlibrisgroup.com/primo-explore/search?tab=default_tab&amp;search_scope=EVERYTHING&amp;vid=01CRU&amp;lang=en_US&amp;offset=0&amp;query=any,contains,991004074969702656","Catalog Record")</f>
        <v/>
      </c>
      <c r="AT970">
        <f>HYPERLINK("http://www.worldcat.org/oclc/39523398","WorldCat Record")</f>
        <v/>
      </c>
      <c r="AU970" t="inlineStr">
        <is>
          <t>2377950:eng</t>
        </is>
      </c>
      <c r="AV970" t="inlineStr">
        <is>
          <t>39523398</t>
        </is>
      </c>
      <c r="AW970" t="inlineStr">
        <is>
          <t>991004074969702656</t>
        </is>
      </c>
      <c r="AX970" t="inlineStr">
        <is>
          <t>991004074969702656</t>
        </is>
      </c>
      <c r="AY970" t="inlineStr">
        <is>
          <t>2262459410002656</t>
        </is>
      </c>
      <c r="AZ970" t="inlineStr">
        <is>
          <t>BOOK</t>
        </is>
      </c>
      <c r="BB970" t="inlineStr">
        <is>
          <t>9780801859908</t>
        </is>
      </c>
      <c r="BC970" t="inlineStr">
        <is>
          <t>32285004754494</t>
        </is>
      </c>
      <c r="BD970" t="inlineStr">
        <is>
          <t>893775575</t>
        </is>
      </c>
    </row>
    <row r="971">
      <c r="A971" t="inlineStr">
        <is>
          <t>No</t>
        </is>
      </c>
      <c r="B971" t="inlineStr">
        <is>
          <t>DG205 .S9</t>
        </is>
      </c>
      <c r="C971" t="inlineStr">
        <is>
          <t>0                      DG 0205000S  9</t>
        </is>
      </c>
      <c r="D971" t="inlineStr">
        <is>
          <t>The wonderful, wonderful book. Pictures by Ruth Hartshorn.</t>
        </is>
      </c>
      <c r="F971" t="inlineStr">
        <is>
          <t>No</t>
        </is>
      </c>
      <c r="G971" t="inlineStr">
        <is>
          <t>1</t>
        </is>
      </c>
      <c r="H971" t="inlineStr">
        <is>
          <t>No</t>
        </is>
      </c>
      <c r="I971" t="inlineStr">
        <is>
          <t>No</t>
        </is>
      </c>
      <c r="J971" t="inlineStr">
        <is>
          <t>0</t>
        </is>
      </c>
      <c r="K971" t="inlineStr">
        <is>
          <t>Litchfield, Ada Bassett.</t>
        </is>
      </c>
      <c r="L971" t="inlineStr">
        <is>
          <t>Austin, Tex., Steck-Vaughn Co. [1968]</t>
        </is>
      </c>
      <c r="M971" t="inlineStr">
        <is>
          <t>1968</t>
        </is>
      </c>
      <c r="O971" t="inlineStr">
        <is>
          <t>eng</t>
        </is>
      </c>
      <c r="P971" t="inlineStr">
        <is>
          <t>txu</t>
        </is>
      </c>
      <c r="R971" t="inlineStr">
        <is>
          <t xml:space="preserve">DG </t>
        </is>
      </c>
      <c r="S971" t="n">
        <v>1</v>
      </c>
      <c r="T971" t="n">
        <v>1</v>
      </c>
      <c r="U971" t="inlineStr">
        <is>
          <t>2000-07-18</t>
        </is>
      </c>
      <c r="V971" t="inlineStr">
        <is>
          <t>2000-07-18</t>
        </is>
      </c>
      <c r="W971" t="inlineStr">
        <is>
          <t>1997-02-03</t>
        </is>
      </c>
      <c r="X971" t="inlineStr">
        <is>
          <t>1997-02-03</t>
        </is>
      </c>
      <c r="Y971" t="n">
        <v>91</v>
      </c>
      <c r="Z971" t="n">
        <v>91</v>
      </c>
      <c r="AA971" t="n">
        <v>91</v>
      </c>
      <c r="AB971" t="n">
        <v>2</v>
      </c>
      <c r="AC971" t="n">
        <v>2</v>
      </c>
      <c r="AD971" t="n">
        <v>0</v>
      </c>
      <c r="AE971" t="n">
        <v>0</v>
      </c>
      <c r="AF971" t="n">
        <v>0</v>
      </c>
      <c r="AG971" t="n">
        <v>0</v>
      </c>
      <c r="AH971" t="n">
        <v>0</v>
      </c>
      <c r="AI971" t="n">
        <v>0</v>
      </c>
      <c r="AJ971" t="n">
        <v>0</v>
      </c>
      <c r="AK971" t="n">
        <v>0</v>
      </c>
      <c r="AL971" t="n">
        <v>0</v>
      </c>
      <c r="AM971" t="n">
        <v>0</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HYPERLINK("https://creighton-primo.hosted.exlibrisgroup.com/primo-explore/search?tab=default_tab&amp;search_scope=EVERYTHING&amp;vid=01CRU&amp;lang=en_US&amp;offset=0&amp;query=any,contains,991002769899702656","Catalog Record")</f>
        <v/>
      </c>
      <c r="AT971">
        <f>HYPERLINK("http://www.worldcat.org/oclc/436511","WorldCat Record")</f>
        <v/>
      </c>
      <c r="AU971" t="inlineStr">
        <is>
          <t>470817:eng</t>
        </is>
      </c>
      <c r="AV971" t="inlineStr">
        <is>
          <t>436511</t>
        </is>
      </c>
      <c r="AW971" t="inlineStr">
        <is>
          <t>991002769899702656</t>
        </is>
      </c>
      <c r="AX971" t="inlineStr">
        <is>
          <t>991002769899702656</t>
        </is>
      </c>
      <c r="AY971" t="inlineStr">
        <is>
          <t>2268886590002656</t>
        </is>
      </c>
      <c r="AZ971" t="inlineStr">
        <is>
          <t>BOOK</t>
        </is>
      </c>
      <c r="BC971" t="inlineStr">
        <is>
          <t>32285002419868</t>
        </is>
      </c>
      <c r="BD971" t="inlineStr">
        <is>
          <t>893780203</t>
        </is>
      </c>
    </row>
    <row r="972">
      <c r="A972" t="inlineStr">
        <is>
          <t>No</t>
        </is>
      </c>
      <c r="B972" t="inlineStr">
        <is>
          <t>DG205 .W57 1998</t>
        </is>
      </c>
      <c r="C972" t="inlineStr">
        <is>
          <t>0                      DG 0205000W  57          1998</t>
        </is>
      </c>
      <c r="D972" t="inlineStr">
        <is>
          <t>Roman drama and Roman history / T.P. Wiseman.</t>
        </is>
      </c>
      <c r="F972" t="inlineStr">
        <is>
          <t>No</t>
        </is>
      </c>
      <c r="G972" t="inlineStr">
        <is>
          <t>1</t>
        </is>
      </c>
      <c r="H972" t="inlineStr">
        <is>
          <t>No</t>
        </is>
      </c>
      <c r="I972" t="inlineStr">
        <is>
          <t>No</t>
        </is>
      </c>
      <c r="J972" t="inlineStr">
        <is>
          <t>0</t>
        </is>
      </c>
      <c r="K972" t="inlineStr">
        <is>
          <t>Wiseman, T. P. (Timothy Peter)</t>
        </is>
      </c>
      <c r="L972" t="inlineStr">
        <is>
          <t>Exeter, Devon, UK : University of Exeter Press, 1998.</t>
        </is>
      </c>
      <c r="M972" t="inlineStr">
        <is>
          <t>1998</t>
        </is>
      </c>
      <c r="O972" t="inlineStr">
        <is>
          <t>eng</t>
        </is>
      </c>
      <c r="P972" t="inlineStr">
        <is>
          <t>enk</t>
        </is>
      </c>
      <c r="Q972" t="inlineStr">
        <is>
          <t>Exeter studies in history</t>
        </is>
      </c>
      <c r="R972" t="inlineStr">
        <is>
          <t xml:space="preserve">DG </t>
        </is>
      </c>
      <c r="S972" t="n">
        <v>5</v>
      </c>
      <c r="T972" t="n">
        <v>5</v>
      </c>
      <c r="U972" t="inlineStr">
        <is>
          <t>2010-08-13</t>
        </is>
      </c>
      <c r="V972" t="inlineStr">
        <is>
          <t>2010-08-13</t>
        </is>
      </c>
      <c r="W972" t="inlineStr">
        <is>
          <t>1998-08-25</t>
        </is>
      </c>
      <c r="X972" t="inlineStr">
        <is>
          <t>1998-08-25</t>
        </is>
      </c>
      <c r="Y972" t="n">
        <v>279</v>
      </c>
      <c r="Z972" t="n">
        <v>180</v>
      </c>
      <c r="AA972" t="n">
        <v>181</v>
      </c>
      <c r="AB972" t="n">
        <v>3</v>
      </c>
      <c r="AC972" t="n">
        <v>3</v>
      </c>
      <c r="AD972" t="n">
        <v>9</v>
      </c>
      <c r="AE972" t="n">
        <v>9</v>
      </c>
      <c r="AF972" t="n">
        <v>3</v>
      </c>
      <c r="AG972" t="n">
        <v>3</v>
      </c>
      <c r="AH972" t="n">
        <v>3</v>
      </c>
      <c r="AI972" t="n">
        <v>3</v>
      </c>
      <c r="AJ972" t="n">
        <v>4</v>
      </c>
      <c r="AK972" t="n">
        <v>4</v>
      </c>
      <c r="AL972" t="n">
        <v>2</v>
      </c>
      <c r="AM972" t="n">
        <v>2</v>
      </c>
      <c r="AN972" t="n">
        <v>0</v>
      </c>
      <c r="AO972" t="n">
        <v>0</v>
      </c>
      <c r="AP972" t="inlineStr">
        <is>
          <t>No</t>
        </is>
      </c>
      <c r="AQ972" t="inlineStr">
        <is>
          <t>Yes</t>
        </is>
      </c>
      <c r="AR972">
        <f>HYPERLINK("http://catalog.hathitrust.org/Record/004030858","HathiTrust Record")</f>
        <v/>
      </c>
      <c r="AS972">
        <f>HYPERLINK("https://creighton-primo.hosted.exlibrisgroup.com/primo-explore/search?tab=default_tab&amp;search_scope=EVERYTHING&amp;vid=01CRU&amp;lang=en_US&amp;offset=0&amp;query=any,contains,991002949219702656","Catalog Record")</f>
        <v/>
      </c>
      <c r="AT972">
        <f>HYPERLINK("http://www.worldcat.org/oclc/39295863","WorldCat Record")</f>
        <v/>
      </c>
      <c r="AU972" t="inlineStr">
        <is>
          <t>637022:eng</t>
        </is>
      </c>
      <c r="AV972" t="inlineStr">
        <is>
          <t>39295863</t>
        </is>
      </c>
      <c r="AW972" t="inlineStr">
        <is>
          <t>991002949219702656</t>
        </is>
      </c>
      <c r="AX972" t="inlineStr">
        <is>
          <t>991002949219702656</t>
        </is>
      </c>
      <c r="AY972" t="inlineStr">
        <is>
          <t>2268541750002656</t>
        </is>
      </c>
      <c r="AZ972" t="inlineStr">
        <is>
          <t>BOOK</t>
        </is>
      </c>
      <c r="BB972" t="inlineStr">
        <is>
          <t>9780859895606</t>
        </is>
      </c>
      <c r="BC972" t="inlineStr">
        <is>
          <t>32285003461687</t>
        </is>
      </c>
      <c r="BD972" t="inlineStr">
        <is>
          <t>893227485</t>
        </is>
      </c>
    </row>
    <row r="973">
      <c r="A973" t="inlineStr">
        <is>
          <t>No</t>
        </is>
      </c>
      <c r="B973" t="inlineStr">
        <is>
          <t>DG206.G5 A3 1984</t>
        </is>
      </c>
      <c r="C973" t="inlineStr">
        <is>
          <t>0                      DG 0206000G  5                  A  3           1984</t>
        </is>
      </c>
      <c r="D973" t="inlineStr">
        <is>
          <t>Memoirs of my life / Edward Gibbon ; edited with an introduction by Betty Radice.</t>
        </is>
      </c>
      <c r="F973" t="inlineStr">
        <is>
          <t>No</t>
        </is>
      </c>
      <c r="G973" t="inlineStr">
        <is>
          <t>1</t>
        </is>
      </c>
      <c r="H973" t="inlineStr">
        <is>
          <t>No</t>
        </is>
      </c>
      <c r="I973" t="inlineStr">
        <is>
          <t>No</t>
        </is>
      </c>
      <c r="J973" t="inlineStr">
        <is>
          <t>0</t>
        </is>
      </c>
      <c r="K973" t="inlineStr">
        <is>
          <t>Gibbon, Edward, 1737-1794.</t>
        </is>
      </c>
      <c r="L973" t="inlineStr">
        <is>
          <t>London, England ; New York, N.Y., USA : Penguin Books, 1984</t>
        </is>
      </c>
      <c r="M973" t="inlineStr">
        <is>
          <t>1984</t>
        </is>
      </c>
      <c r="O973" t="inlineStr">
        <is>
          <t>eng</t>
        </is>
      </c>
      <c r="P973" t="inlineStr">
        <is>
          <t>enk</t>
        </is>
      </c>
      <c r="Q973" t="inlineStr">
        <is>
          <t>Penguin classics</t>
        </is>
      </c>
      <c r="R973" t="inlineStr">
        <is>
          <t xml:space="preserve">DG </t>
        </is>
      </c>
      <c r="S973" t="n">
        <v>2</v>
      </c>
      <c r="T973" t="n">
        <v>2</v>
      </c>
      <c r="U973" t="inlineStr">
        <is>
          <t>2005-10-31</t>
        </is>
      </c>
      <c r="V973" t="inlineStr">
        <is>
          <t>2005-10-31</t>
        </is>
      </c>
      <c r="W973" t="inlineStr">
        <is>
          <t>2003-04-23</t>
        </is>
      </c>
      <c r="X973" t="inlineStr">
        <is>
          <t>2003-04-23</t>
        </is>
      </c>
      <c r="Y973" t="n">
        <v>189</v>
      </c>
      <c r="Z973" t="n">
        <v>104</v>
      </c>
      <c r="AA973" t="n">
        <v>660</v>
      </c>
      <c r="AB973" t="n">
        <v>1</v>
      </c>
      <c r="AC973" t="n">
        <v>6</v>
      </c>
      <c r="AD973" t="n">
        <v>3</v>
      </c>
      <c r="AE973" t="n">
        <v>38</v>
      </c>
      <c r="AF973" t="n">
        <v>2</v>
      </c>
      <c r="AG973" t="n">
        <v>16</v>
      </c>
      <c r="AH973" t="n">
        <v>0</v>
      </c>
      <c r="AI973" t="n">
        <v>6</v>
      </c>
      <c r="AJ973" t="n">
        <v>2</v>
      </c>
      <c r="AK973" t="n">
        <v>21</v>
      </c>
      <c r="AL973" t="n">
        <v>0</v>
      </c>
      <c r="AM973" t="n">
        <v>5</v>
      </c>
      <c r="AN973" t="n">
        <v>0</v>
      </c>
      <c r="AO973" t="n">
        <v>0</v>
      </c>
      <c r="AP973" t="inlineStr">
        <is>
          <t>No</t>
        </is>
      </c>
      <c r="AQ973" t="inlineStr">
        <is>
          <t>Yes</t>
        </is>
      </c>
      <c r="AR973">
        <f>HYPERLINK("http://catalog.hathitrust.org/Record/006727705","HathiTrust Record")</f>
        <v/>
      </c>
      <c r="AS973">
        <f>HYPERLINK("https://creighton-primo.hosted.exlibrisgroup.com/primo-explore/search?tab=default_tab&amp;search_scope=EVERYTHING&amp;vid=01CRU&amp;lang=en_US&amp;offset=0&amp;query=any,contains,991004041469702656","Catalog Record")</f>
        <v/>
      </c>
      <c r="AT973">
        <f>HYPERLINK("http://www.worldcat.org/oclc/24850086","WorldCat Record")</f>
        <v/>
      </c>
      <c r="AU973" t="inlineStr">
        <is>
          <t>1214039:eng</t>
        </is>
      </c>
      <c r="AV973" t="inlineStr">
        <is>
          <t>24850086</t>
        </is>
      </c>
      <c r="AW973" t="inlineStr">
        <is>
          <t>991004041469702656</t>
        </is>
      </c>
      <c r="AX973" t="inlineStr">
        <is>
          <t>991004041469702656</t>
        </is>
      </c>
      <c r="AY973" t="inlineStr">
        <is>
          <t>2260779000002656</t>
        </is>
      </c>
      <c r="AZ973" t="inlineStr">
        <is>
          <t>BOOK</t>
        </is>
      </c>
      <c r="BB973" t="inlineStr">
        <is>
          <t>9780140432176</t>
        </is>
      </c>
      <c r="BC973" t="inlineStr">
        <is>
          <t>32285004743059</t>
        </is>
      </c>
      <c r="BD973" t="inlineStr">
        <is>
          <t>893247078</t>
        </is>
      </c>
    </row>
    <row r="974">
      <c r="A974" t="inlineStr">
        <is>
          <t>No</t>
        </is>
      </c>
      <c r="B974" t="inlineStr">
        <is>
          <t>DG206.G5 C7 1989</t>
        </is>
      </c>
      <c r="C974" t="inlineStr">
        <is>
          <t>0                      DG 0206000G  5                  C  7           1989</t>
        </is>
      </c>
      <c r="D974" t="inlineStr">
        <is>
          <t>Edward Gibbon, luminous historian, 1772-1794 / Patricia B. Craddock.</t>
        </is>
      </c>
      <c r="F974" t="inlineStr">
        <is>
          <t>No</t>
        </is>
      </c>
      <c r="G974" t="inlineStr">
        <is>
          <t>1</t>
        </is>
      </c>
      <c r="H974" t="inlineStr">
        <is>
          <t>No</t>
        </is>
      </c>
      <c r="I974" t="inlineStr">
        <is>
          <t>No</t>
        </is>
      </c>
      <c r="J974" t="inlineStr">
        <is>
          <t>0</t>
        </is>
      </c>
      <c r="K974" t="inlineStr">
        <is>
          <t>Craddock, Patricia B.</t>
        </is>
      </c>
      <c r="L974" t="inlineStr">
        <is>
          <t>Baltimore : Johns Hopkins University Press, c1989.</t>
        </is>
      </c>
      <c r="M974" t="inlineStr">
        <is>
          <t>1989</t>
        </is>
      </c>
      <c r="O974" t="inlineStr">
        <is>
          <t>eng</t>
        </is>
      </c>
      <c r="P974" t="inlineStr">
        <is>
          <t>mdu</t>
        </is>
      </c>
      <c r="R974" t="inlineStr">
        <is>
          <t xml:space="preserve">DG </t>
        </is>
      </c>
      <c r="S974" t="n">
        <v>6</v>
      </c>
      <c r="T974" t="n">
        <v>6</v>
      </c>
      <c r="U974" t="inlineStr">
        <is>
          <t>2008-11-12</t>
        </is>
      </c>
      <c r="V974" t="inlineStr">
        <is>
          <t>2008-11-12</t>
        </is>
      </c>
      <c r="W974" t="inlineStr">
        <is>
          <t>1991-11-25</t>
        </is>
      </c>
      <c r="X974" t="inlineStr">
        <is>
          <t>1991-11-25</t>
        </is>
      </c>
      <c r="Y974" t="n">
        <v>690</v>
      </c>
      <c r="Z974" t="n">
        <v>550</v>
      </c>
      <c r="AA974" t="n">
        <v>552</v>
      </c>
      <c r="AB974" t="n">
        <v>4</v>
      </c>
      <c r="AC974" t="n">
        <v>4</v>
      </c>
      <c r="AD974" t="n">
        <v>28</v>
      </c>
      <c r="AE974" t="n">
        <v>28</v>
      </c>
      <c r="AF974" t="n">
        <v>9</v>
      </c>
      <c r="AG974" t="n">
        <v>9</v>
      </c>
      <c r="AH974" t="n">
        <v>9</v>
      </c>
      <c r="AI974" t="n">
        <v>9</v>
      </c>
      <c r="AJ974" t="n">
        <v>15</v>
      </c>
      <c r="AK974" t="n">
        <v>15</v>
      </c>
      <c r="AL974" t="n">
        <v>3</v>
      </c>
      <c r="AM974" t="n">
        <v>3</v>
      </c>
      <c r="AN974" t="n">
        <v>0</v>
      </c>
      <c r="AO974" t="n">
        <v>0</v>
      </c>
      <c r="AP974" t="inlineStr">
        <is>
          <t>No</t>
        </is>
      </c>
      <c r="AQ974" t="inlineStr">
        <is>
          <t>Yes</t>
        </is>
      </c>
      <c r="AR974">
        <f>HYPERLINK("http://catalog.hathitrust.org/Record/001081054","HathiTrust Record")</f>
        <v/>
      </c>
      <c r="AS974">
        <f>HYPERLINK("https://creighton-primo.hosted.exlibrisgroup.com/primo-explore/search?tab=default_tab&amp;search_scope=EVERYTHING&amp;vid=01CRU&amp;lang=en_US&amp;offset=0&amp;query=any,contains,991001347569702656","Catalog Record")</f>
        <v/>
      </c>
      <c r="AT974">
        <f>HYPERLINK("http://www.worldcat.org/oclc/18415865","WorldCat Record")</f>
        <v/>
      </c>
      <c r="AU974" t="inlineStr">
        <is>
          <t>17480633:eng</t>
        </is>
      </c>
      <c r="AV974" t="inlineStr">
        <is>
          <t>18415865</t>
        </is>
      </c>
      <c r="AW974" t="inlineStr">
        <is>
          <t>991001347569702656</t>
        </is>
      </c>
      <c r="AX974" t="inlineStr">
        <is>
          <t>991001347569702656</t>
        </is>
      </c>
      <c r="AY974" t="inlineStr">
        <is>
          <t>2258742220002656</t>
        </is>
      </c>
      <c r="AZ974" t="inlineStr">
        <is>
          <t>BOOK</t>
        </is>
      </c>
      <c r="BB974" t="inlineStr">
        <is>
          <t>9780801837203</t>
        </is>
      </c>
      <c r="BC974" t="inlineStr">
        <is>
          <t>32285000654391</t>
        </is>
      </c>
      <c r="BD974" t="inlineStr">
        <is>
          <t>893590216</t>
        </is>
      </c>
    </row>
    <row r="975">
      <c r="A975" t="inlineStr">
        <is>
          <t>No</t>
        </is>
      </c>
      <c r="B975" t="inlineStr">
        <is>
          <t>DG206.G5 C73 1982</t>
        </is>
      </c>
      <c r="C975" t="inlineStr">
        <is>
          <t>0                      DG 0206000G  5                  C  73          1982</t>
        </is>
      </c>
      <c r="D975" t="inlineStr">
        <is>
          <t>Young Edward Gibbon, gentleman of letters / Patricia B. Craddock.</t>
        </is>
      </c>
      <c r="F975" t="inlineStr">
        <is>
          <t>No</t>
        </is>
      </c>
      <c r="G975" t="inlineStr">
        <is>
          <t>1</t>
        </is>
      </c>
      <c r="H975" t="inlineStr">
        <is>
          <t>No</t>
        </is>
      </c>
      <c r="I975" t="inlineStr">
        <is>
          <t>No</t>
        </is>
      </c>
      <c r="J975" t="inlineStr">
        <is>
          <t>0</t>
        </is>
      </c>
      <c r="K975" t="inlineStr">
        <is>
          <t>Craddock, Patricia B.</t>
        </is>
      </c>
      <c r="L975" t="inlineStr">
        <is>
          <t>Baltimore : Johns Hopkins University Press, c1982.</t>
        </is>
      </c>
      <c r="M975" t="inlineStr">
        <is>
          <t>1982</t>
        </is>
      </c>
      <c r="O975" t="inlineStr">
        <is>
          <t>eng</t>
        </is>
      </c>
      <c r="P975" t="inlineStr">
        <is>
          <t>mdu</t>
        </is>
      </c>
      <c r="R975" t="inlineStr">
        <is>
          <t xml:space="preserve">DG </t>
        </is>
      </c>
      <c r="S975" t="n">
        <v>2</v>
      </c>
      <c r="T975" t="n">
        <v>2</v>
      </c>
      <c r="U975" t="inlineStr">
        <is>
          <t>2008-11-12</t>
        </is>
      </c>
      <c r="V975" t="inlineStr">
        <is>
          <t>2008-11-12</t>
        </is>
      </c>
      <c r="W975" t="inlineStr">
        <is>
          <t>1991-11-25</t>
        </is>
      </c>
      <c r="X975" t="inlineStr">
        <is>
          <t>1991-11-25</t>
        </is>
      </c>
      <c r="Y975" t="n">
        <v>556</v>
      </c>
      <c r="Z975" t="n">
        <v>448</v>
      </c>
      <c r="AA975" t="n">
        <v>455</v>
      </c>
      <c r="AB975" t="n">
        <v>3</v>
      </c>
      <c r="AC975" t="n">
        <v>3</v>
      </c>
      <c r="AD975" t="n">
        <v>22</v>
      </c>
      <c r="AE975" t="n">
        <v>22</v>
      </c>
      <c r="AF975" t="n">
        <v>8</v>
      </c>
      <c r="AG975" t="n">
        <v>8</v>
      </c>
      <c r="AH975" t="n">
        <v>5</v>
      </c>
      <c r="AI975" t="n">
        <v>5</v>
      </c>
      <c r="AJ975" t="n">
        <v>13</v>
      </c>
      <c r="AK975" t="n">
        <v>13</v>
      </c>
      <c r="AL975" t="n">
        <v>2</v>
      </c>
      <c r="AM975" t="n">
        <v>2</v>
      </c>
      <c r="AN975" t="n">
        <v>0</v>
      </c>
      <c r="AO975" t="n">
        <v>0</v>
      </c>
      <c r="AP975" t="inlineStr">
        <is>
          <t>No</t>
        </is>
      </c>
      <c r="AQ975" t="inlineStr">
        <is>
          <t>Yes</t>
        </is>
      </c>
      <c r="AR975">
        <f>HYPERLINK("http://catalog.hathitrust.org/Record/000764116","HathiTrust Record")</f>
        <v/>
      </c>
      <c r="AS975">
        <f>HYPERLINK("https://creighton-primo.hosted.exlibrisgroup.com/primo-explore/search?tab=default_tab&amp;search_scope=EVERYTHING&amp;vid=01CRU&amp;lang=en_US&amp;offset=0&amp;query=any,contains,991005151399702656","Catalog Record")</f>
        <v/>
      </c>
      <c r="AT975">
        <f>HYPERLINK("http://www.worldcat.org/oclc/7732900","WorldCat Record")</f>
        <v/>
      </c>
      <c r="AU975" t="inlineStr">
        <is>
          <t>351418:eng</t>
        </is>
      </c>
      <c r="AV975" t="inlineStr">
        <is>
          <t>7732900</t>
        </is>
      </c>
      <c r="AW975" t="inlineStr">
        <is>
          <t>991005151399702656</t>
        </is>
      </c>
      <c r="AX975" t="inlineStr">
        <is>
          <t>991005151399702656</t>
        </is>
      </c>
      <c r="AY975" t="inlineStr">
        <is>
          <t>2256991340002656</t>
        </is>
      </c>
      <c r="AZ975" t="inlineStr">
        <is>
          <t>BOOK</t>
        </is>
      </c>
      <c r="BB975" t="inlineStr">
        <is>
          <t>9780801827143</t>
        </is>
      </c>
      <c r="BC975" t="inlineStr">
        <is>
          <t>32285000654409</t>
        </is>
      </c>
      <c r="BD975" t="inlineStr">
        <is>
          <t>893526996</t>
        </is>
      </c>
    </row>
    <row r="976">
      <c r="A976" t="inlineStr">
        <is>
          <t>No</t>
        </is>
      </c>
      <c r="B976" t="inlineStr">
        <is>
          <t>DG206.G5 P37</t>
        </is>
      </c>
      <c r="C976" t="inlineStr">
        <is>
          <t>0                      DG 0206000G  5                  P  37</t>
        </is>
      </c>
      <c r="D976" t="inlineStr">
        <is>
          <t>Edward Gibbon, by R. N. Parkinson.</t>
        </is>
      </c>
      <c r="F976" t="inlineStr">
        <is>
          <t>No</t>
        </is>
      </c>
      <c r="G976" t="inlineStr">
        <is>
          <t>1</t>
        </is>
      </c>
      <c r="H976" t="inlineStr">
        <is>
          <t>No</t>
        </is>
      </c>
      <c r="I976" t="inlineStr">
        <is>
          <t>No</t>
        </is>
      </c>
      <c r="J976" t="inlineStr">
        <is>
          <t>0</t>
        </is>
      </c>
      <c r="K976" t="inlineStr">
        <is>
          <t>Parkinson, R. N. (Richard N.)</t>
        </is>
      </c>
      <c r="L976" t="inlineStr">
        <is>
          <t>New York, Twayne Publishers [c1973]</t>
        </is>
      </c>
      <c r="M976" t="inlineStr">
        <is>
          <t>1973</t>
        </is>
      </c>
      <c r="O976" t="inlineStr">
        <is>
          <t>eng</t>
        </is>
      </c>
      <c r="P976" t="inlineStr">
        <is>
          <t>nyu</t>
        </is>
      </c>
      <c r="Q976" t="inlineStr">
        <is>
          <t>Twayne's English authors series ; TEAS 159</t>
        </is>
      </c>
      <c r="R976" t="inlineStr">
        <is>
          <t xml:space="preserve">DG </t>
        </is>
      </c>
      <c r="S976" t="n">
        <v>2</v>
      </c>
      <c r="T976" t="n">
        <v>2</v>
      </c>
      <c r="U976" t="inlineStr">
        <is>
          <t>2008-11-12</t>
        </is>
      </c>
      <c r="V976" t="inlineStr">
        <is>
          <t>2008-11-12</t>
        </is>
      </c>
      <c r="W976" t="inlineStr">
        <is>
          <t>1997-02-03</t>
        </is>
      </c>
      <c r="X976" t="inlineStr">
        <is>
          <t>1997-02-03</t>
        </is>
      </c>
      <c r="Y976" t="n">
        <v>777</v>
      </c>
      <c r="Z976" t="n">
        <v>689</v>
      </c>
      <c r="AA976" t="n">
        <v>694</v>
      </c>
      <c r="AB976" t="n">
        <v>7</v>
      </c>
      <c r="AC976" t="n">
        <v>7</v>
      </c>
      <c r="AD976" t="n">
        <v>30</v>
      </c>
      <c r="AE976" t="n">
        <v>30</v>
      </c>
      <c r="AF976" t="n">
        <v>10</v>
      </c>
      <c r="AG976" t="n">
        <v>10</v>
      </c>
      <c r="AH976" t="n">
        <v>8</v>
      </c>
      <c r="AI976" t="n">
        <v>8</v>
      </c>
      <c r="AJ976" t="n">
        <v>16</v>
      </c>
      <c r="AK976" t="n">
        <v>16</v>
      </c>
      <c r="AL976" t="n">
        <v>6</v>
      </c>
      <c r="AM976" t="n">
        <v>6</v>
      </c>
      <c r="AN976" t="n">
        <v>0</v>
      </c>
      <c r="AO976" t="n">
        <v>0</v>
      </c>
      <c r="AP976" t="inlineStr">
        <is>
          <t>No</t>
        </is>
      </c>
      <c r="AQ976" t="inlineStr">
        <is>
          <t>Yes</t>
        </is>
      </c>
      <c r="AR976">
        <f>HYPERLINK("http://catalog.hathitrust.org/Record/000014672","HathiTrust Record")</f>
        <v/>
      </c>
      <c r="AS976">
        <f>HYPERLINK("https://creighton-primo.hosted.exlibrisgroup.com/primo-explore/search?tab=default_tab&amp;search_scope=EVERYTHING&amp;vid=01CRU&amp;lang=en_US&amp;offset=0&amp;query=any,contains,991003261879702656","Catalog Record")</f>
        <v/>
      </c>
      <c r="AT976">
        <f>HYPERLINK("http://www.worldcat.org/oclc/788214","WorldCat Record")</f>
        <v/>
      </c>
      <c r="AU976" t="inlineStr">
        <is>
          <t>1726898:eng</t>
        </is>
      </c>
      <c r="AV976" t="inlineStr">
        <is>
          <t>788214</t>
        </is>
      </c>
      <c r="AW976" t="inlineStr">
        <is>
          <t>991003261879702656</t>
        </is>
      </c>
      <c r="AX976" t="inlineStr">
        <is>
          <t>991003261879702656</t>
        </is>
      </c>
      <c r="AY976" t="inlineStr">
        <is>
          <t>2266429610002656</t>
        </is>
      </c>
      <c r="AZ976" t="inlineStr">
        <is>
          <t>BOOK</t>
        </is>
      </c>
      <c r="BB976" t="inlineStr">
        <is>
          <t>9780805712186</t>
        </is>
      </c>
      <c r="BC976" t="inlineStr">
        <is>
          <t>32285002419892</t>
        </is>
      </c>
      <c r="BD976" t="inlineStr">
        <is>
          <t>893227879</t>
        </is>
      </c>
    </row>
    <row r="977">
      <c r="A977" t="inlineStr">
        <is>
          <t>No</t>
        </is>
      </c>
      <c r="B977" t="inlineStr">
        <is>
          <t>DG206.P57 F67 1994</t>
        </is>
      </c>
      <c r="C977" t="inlineStr">
        <is>
          <t>0                      DG 0206000P  57                 F  67          1994</t>
        </is>
      </c>
      <c r="D977" t="inlineStr">
        <is>
          <t>The historian L. Calpurnius Piso Frugi and the Roman annalistic tradition / Gary Forsythe.</t>
        </is>
      </c>
      <c r="F977" t="inlineStr">
        <is>
          <t>No</t>
        </is>
      </c>
      <c r="G977" t="inlineStr">
        <is>
          <t>1</t>
        </is>
      </c>
      <c r="H977" t="inlineStr">
        <is>
          <t>No</t>
        </is>
      </c>
      <c r="I977" t="inlineStr">
        <is>
          <t>No</t>
        </is>
      </c>
      <c r="J977" t="inlineStr">
        <is>
          <t>0</t>
        </is>
      </c>
      <c r="K977" t="inlineStr">
        <is>
          <t>Forsythe, Gary.</t>
        </is>
      </c>
      <c r="L977" t="inlineStr">
        <is>
          <t>Lanham, Md. : University Press of America, c1994.</t>
        </is>
      </c>
      <c r="M977" t="inlineStr">
        <is>
          <t>1994</t>
        </is>
      </c>
      <c r="O977" t="inlineStr">
        <is>
          <t>eng</t>
        </is>
      </c>
      <c r="P977" t="inlineStr">
        <is>
          <t>mdu</t>
        </is>
      </c>
      <c r="R977" t="inlineStr">
        <is>
          <t xml:space="preserve">DG </t>
        </is>
      </c>
      <c r="S977" t="n">
        <v>1</v>
      </c>
      <c r="T977" t="n">
        <v>1</v>
      </c>
      <c r="U977" t="inlineStr">
        <is>
          <t>2009-05-07</t>
        </is>
      </c>
      <c r="V977" t="inlineStr">
        <is>
          <t>2009-05-07</t>
        </is>
      </c>
      <c r="W977" t="inlineStr">
        <is>
          <t>2009-05-07</t>
        </is>
      </c>
      <c r="X977" t="inlineStr">
        <is>
          <t>2009-05-07</t>
        </is>
      </c>
      <c r="Y977" t="n">
        <v>187</v>
      </c>
      <c r="Z977" t="n">
        <v>125</v>
      </c>
      <c r="AA977" t="n">
        <v>131</v>
      </c>
      <c r="AB977" t="n">
        <v>2</v>
      </c>
      <c r="AC977" t="n">
        <v>2</v>
      </c>
      <c r="AD977" t="n">
        <v>8</v>
      </c>
      <c r="AE977" t="n">
        <v>8</v>
      </c>
      <c r="AF977" t="n">
        <v>2</v>
      </c>
      <c r="AG977" t="n">
        <v>2</v>
      </c>
      <c r="AH977" t="n">
        <v>1</v>
      </c>
      <c r="AI977" t="n">
        <v>1</v>
      </c>
      <c r="AJ977" t="n">
        <v>6</v>
      </c>
      <c r="AK977" t="n">
        <v>6</v>
      </c>
      <c r="AL977" t="n">
        <v>1</v>
      </c>
      <c r="AM977" t="n">
        <v>1</v>
      </c>
      <c r="AN977" t="n">
        <v>0</v>
      </c>
      <c r="AO977" t="n">
        <v>0</v>
      </c>
      <c r="AP977" t="inlineStr">
        <is>
          <t>No</t>
        </is>
      </c>
      <c r="AQ977" t="inlineStr">
        <is>
          <t>Yes</t>
        </is>
      </c>
      <c r="AR977">
        <f>HYPERLINK("http://catalog.hathitrust.org/Record/002954639","HathiTrust Record")</f>
        <v/>
      </c>
      <c r="AS977">
        <f>HYPERLINK("https://creighton-primo.hosted.exlibrisgroup.com/primo-explore/search?tab=default_tab&amp;search_scope=EVERYTHING&amp;vid=01CRU&amp;lang=en_US&amp;offset=0&amp;query=any,contains,991005311459702656","Catalog Record")</f>
        <v/>
      </c>
      <c r="AT977">
        <f>HYPERLINK("http://www.worldcat.org/oclc/31130983","WorldCat Record")</f>
        <v/>
      </c>
      <c r="AU977" t="inlineStr">
        <is>
          <t>33173920:eng</t>
        </is>
      </c>
      <c r="AV977" t="inlineStr">
        <is>
          <t>31130983</t>
        </is>
      </c>
      <c r="AW977" t="inlineStr">
        <is>
          <t>991005311459702656</t>
        </is>
      </c>
      <c r="AX977" t="inlineStr">
        <is>
          <t>991005311459702656</t>
        </is>
      </c>
      <c r="AY977" t="inlineStr">
        <is>
          <t>2256120610002656</t>
        </is>
      </c>
      <c r="AZ977" t="inlineStr">
        <is>
          <t>BOOK</t>
        </is>
      </c>
      <c r="BB977" t="inlineStr">
        <is>
          <t>9780819197429</t>
        </is>
      </c>
      <c r="BC977" t="inlineStr">
        <is>
          <t>32285005531602</t>
        </is>
      </c>
      <c r="BD977" t="inlineStr">
        <is>
          <t>893326555</t>
        </is>
      </c>
    </row>
    <row r="978">
      <c r="A978" t="inlineStr">
        <is>
          <t>No</t>
        </is>
      </c>
      <c r="B978" t="inlineStr">
        <is>
          <t>DG207 .L5</t>
        </is>
      </c>
      <c r="C978" t="inlineStr">
        <is>
          <t>0                      DG 0207000L  5</t>
        </is>
      </c>
      <c r="D978" t="inlineStr">
        <is>
          <t>The history of Rome / by Titus Livius ; literally translated, with notes and illustrations by D. Spillan.</t>
        </is>
      </c>
      <c r="E978" t="inlineStr">
        <is>
          <t>V.1</t>
        </is>
      </c>
      <c r="F978" t="inlineStr">
        <is>
          <t>Yes</t>
        </is>
      </c>
      <c r="G978" t="inlineStr">
        <is>
          <t>1</t>
        </is>
      </c>
      <c r="H978" t="inlineStr">
        <is>
          <t>No</t>
        </is>
      </c>
      <c r="I978" t="inlineStr">
        <is>
          <t>Yes</t>
        </is>
      </c>
      <c r="J978" t="inlineStr">
        <is>
          <t>0</t>
        </is>
      </c>
      <c r="K978" t="inlineStr">
        <is>
          <t>Livy.</t>
        </is>
      </c>
      <c r="L978" t="inlineStr">
        <is>
          <t>London : Henry G. Bohn, 1849-1862.</t>
        </is>
      </c>
      <c r="M978" t="inlineStr">
        <is>
          <t>1849</t>
        </is>
      </c>
      <c r="O978" t="inlineStr">
        <is>
          <t>eng</t>
        </is>
      </c>
      <c r="P978" t="inlineStr">
        <is>
          <t>enk</t>
        </is>
      </c>
      <c r="Q978" t="inlineStr">
        <is>
          <t>Bohn's classical library</t>
        </is>
      </c>
      <c r="R978" t="inlineStr">
        <is>
          <t xml:space="preserve">DG </t>
        </is>
      </c>
      <c r="S978" t="n">
        <v>8</v>
      </c>
      <c r="T978" t="n">
        <v>9</v>
      </c>
      <c r="U978" t="inlineStr">
        <is>
          <t>2007-09-26</t>
        </is>
      </c>
      <c r="V978" t="inlineStr">
        <is>
          <t>2007-09-26</t>
        </is>
      </c>
      <c r="W978" t="inlineStr">
        <is>
          <t>1994-12-16</t>
        </is>
      </c>
      <c r="X978" t="inlineStr">
        <is>
          <t>1997-02-24</t>
        </is>
      </c>
      <c r="Y978" t="n">
        <v>35</v>
      </c>
      <c r="Z978" t="n">
        <v>20</v>
      </c>
      <c r="AA978" t="n">
        <v>1248</v>
      </c>
      <c r="AB978" t="n">
        <v>1</v>
      </c>
      <c r="AC978" t="n">
        <v>9</v>
      </c>
      <c r="AD978" t="n">
        <v>2</v>
      </c>
      <c r="AE978" t="n">
        <v>56</v>
      </c>
      <c r="AF978" t="n">
        <v>1</v>
      </c>
      <c r="AG978" t="n">
        <v>25</v>
      </c>
      <c r="AH978" t="n">
        <v>0</v>
      </c>
      <c r="AI978" t="n">
        <v>10</v>
      </c>
      <c r="AJ978" t="n">
        <v>2</v>
      </c>
      <c r="AK978" t="n">
        <v>26</v>
      </c>
      <c r="AL978" t="n">
        <v>0</v>
      </c>
      <c r="AM978" t="n">
        <v>7</v>
      </c>
      <c r="AN978" t="n">
        <v>0</v>
      </c>
      <c r="AO978" t="n">
        <v>1</v>
      </c>
      <c r="AP978" t="inlineStr">
        <is>
          <t>Yes</t>
        </is>
      </c>
      <c r="AQ978" t="inlineStr">
        <is>
          <t>No</t>
        </is>
      </c>
      <c r="AR978">
        <f>HYPERLINK("http://catalog.hathitrust.org/Record/001808947","HathiTrust Record")</f>
        <v/>
      </c>
      <c r="AS978">
        <f>HYPERLINK("https://creighton-primo.hosted.exlibrisgroup.com/primo-explore/search?tab=default_tab&amp;search_scope=EVERYTHING&amp;vid=01CRU&amp;lang=en_US&amp;offset=0&amp;query=any,contains,991000881879702656","Catalog Record")</f>
        <v/>
      </c>
      <c r="AT978">
        <f>HYPERLINK("http://www.worldcat.org/oclc/13840509","WorldCat Record")</f>
        <v/>
      </c>
      <c r="AU978" t="inlineStr">
        <is>
          <t>4061427058:eng</t>
        </is>
      </c>
      <c r="AV978" t="inlineStr">
        <is>
          <t>13840509</t>
        </is>
      </c>
      <c r="AW978" t="inlineStr">
        <is>
          <t>991000881879702656</t>
        </is>
      </c>
      <c r="AX978" t="inlineStr">
        <is>
          <t>991000881879702656</t>
        </is>
      </c>
      <c r="AY978" t="inlineStr">
        <is>
          <t>2260798600002656</t>
        </is>
      </c>
      <c r="AZ978" t="inlineStr">
        <is>
          <t>BOOK</t>
        </is>
      </c>
      <c r="BC978" t="inlineStr">
        <is>
          <t>32285001984086</t>
        </is>
      </c>
      <c r="BD978" t="inlineStr">
        <is>
          <t>893237688</t>
        </is>
      </c>
    </row>
    <row r="979">
      <c r="A979" t="inlineStr">
        <is>
          <t>No</t>
        </is>
      </c>
      <c r="B979" t="inlineStr">
        <is>
          <t>DG207 .L5</t>
        </is>
      </c>
      <c r="C979" t="inlineStr">
        <is>
          <t>0                      DG 0207000L  5</t>
        </is>
      </c>
      <c r="D979" t="inlineStr">
        <is>
          <t>The history of Rome / by Titus Livius ; literally translated, with notes and illustrations by D. Spillan.</t>
        </is>
      </c>
      <c r="E979" t="inlineStr">
        <is>
          <t>V.3</t>
        </is>
      </c>
      <c r="F979" t="inlineStr">
        <is>
          <t>Yes</t>
        </is>
      </c>
      <c r="G979" t="inlineStr">
        <is>
          <t>1</t>
        </is>
      </c>
      <c r="H979" t="inlineStr">
        <is>
          <t>No</t>
        </is>
      </c>
      <c r="I979" t="inlineStr">
        <is>
          <t>Yes</t>
        </is>
      </c>
      <c r="J979" t="inlineStr">
        <is>
          <t>0</t>
        </is>
      </c>
      <c r="K979" t="inlineStr">
        <is>
          <t>Livy.</t>
        </is>
      </c>
      <c r="L979" t="inlineStr">
        <is>
          <t>London : Henry G. Bohn, 1849-1862.</t>
        </is>
      </c>
      <c r="M979" t="inlineStr">
        <is>
          <t>1849</t>
        </is>
      </c>
      <c r="O979" t="inlineStr">
        <is>
          <t>eng</t>
        </is>
      </c>
      <c r="P979" t="inlineStr">
        <is>
          <t>enk</t>
        </is>
      </c>
      <c r="Q979" t="inlineStr">
        <is>
          <t>Bohn's classical library</t>
        </is>
      </c>
      <c r="R979" t="inlineStr">
        <is>
          <t xml:space="preserve">DG </t>
        </is>
      </c>
      <c r="S979" t="n">
        <v>1</v>
      </c>
      <c r="T979" t="n">
        <v>9</v>
      </c>
      <c r="U979" t="inlineStr">
        <is>
          <t>2006-10-10</t>
        </is>
      </c>
      <c r="V979" t="inlineStr">
        <is>
          <t>2007-09-26</t>
        </is>
      </c>
      <c r="W979" t="inlineStr">
        <is>
          <t>1997-02-24</t>
        </is>
      </c>
      <c r="X979" t="inlineStr">
        <is>
          <t>1997-02-24</t>
        </is>
      </c>
      <c r="Y979" t="n">
        <v>35</v>
      </c>
      <c r="Z979" t="n">
        <v>20</v>
      </c>
      <c r="AA979" t="n">
        <v>1248</v>
      </c>
      <c r="AB979" t="n">
        <v>1</v>
      </c>
      <c r="AC979" t="n">
        <v>9</v>
      </c>
      <c r="AD979" t="n">
        <v>2</v>
      </c>
      <c r="AE979" t="n">
        <v>56</v>
      </c>
      <c r="AF979" t="n">
        <v>1</v>
      </c>
      <c r="AG979" t="n">
        <v>25</v>
      </c>
      <c r="AH979" t="n">
        <v>0</v>
      </c>
      <c r="AI979" t="n">
        <v>10</v>
      </c>
      <c r="AJ979" t="n">
        <v>2</v>
      </c>
      <c r="AK979" t="n">
        <v>26</v>
      </c>
      <c r="AL979" t="n">
        <v>0</v>
      </c>
      <c r="AM979" t="n">
        <v>7</v>
      </c>
      <c r="AN979" t="n">
        <v>0</v>
      </c>
      <c r="AO979" t="n">
        <v>1</v>
      </c>
      <c r="AP979" t="inlineStr">
        <is>
          <t>Yes</t>
        </is>
      </c>
      <c r="AQ979" t="inlineStr">
        <is>
          <t>No</t>
        </is>
      </c>
      <c r="AR979">
        <f>HYPERLINK("http://catalog.hathitrust.org/Record/001808947","HathiTrust Record")</f>
        <v/>
      </c>
      <c r="AS979">
        <f>HYPERLINK("https://creighton-primo.hosted.exlibrisgroup.com/primo-explore/search?tab=default_tab&amp;search_scope=EVERYTHING&amp;vid=01CRU&amp;lang=en_US&amp;offset=0&amp;query=any,contains,991000881879702656","Catalog Record")</f>
        <v/>
      </c>
      <c r="AT979">
        <f>HYPERLINK("http://www.worldcat.org/oclc/13840509","WorldCat Record")</f>
        <v/>
      </c>
      <c r="AU979" t="inlineStr">
        <is>
          <t>4061427058:eng</t>
        </is>
      </c>
      <c r="AV979" t="inlineStr">
        <is>
          <t>13840509</t>
        </is>
      </c>
      <c r="AW979" t="inlineStr">
        <is>
          <t>991000881879702656</t>
        </is>
      </c>
      <c r="AX979" t="inlineStr">
        <is>
          <t>991000881879702656</t>
        </is>
      </c>
      <c r="AY979" t="inlineStr">
        <is>
          <t>2260798600002656</t>
        </is>
      </c>
      <c r="AZ979" t="inlineStr">
        <is>
          <t>BOOK</t>
        </is>
      </c>
      <c r="BC979" t="inlineStr">
        <is>
          <t>32285002469228</t>
        </is>
      </c>
      <c r="BD979" t="inlineStr">
        <is>
          <t>893243687</t>
        </is>
      </c>
    </row>
    <row r="980">
      <c r="A980" t="inlineStr">
        <is>
          <t>No</t>
        </is>
      </c>
      <c r="B980" t="inlineStr">
        <is>
          <t>DG207 .L582513 1982</t>
        </is>
      </c>
      <c r="C980" t="inlineStr">
        <is>
          <t>0                      DG 0207000L  582513      1982</t>
        </is>
      </c>
      <c r="D980" t="inlineStr">
        <is>
          <t>Rome and Italy : books VI-X of The History of Rome from its foundation / Livy ; translated and annotated by Betty Radice ; with an introduction by R.M. Ogilvie.</t>
        </is>
      </c>
      <c r="F980" t="inlineStr">
        <is>
          <t>No</t>
        </is>
      </c>
      <c r="G980" t="inlineStr">
        <is>
          <t>1</t>
        </is>
      </c>
      <c r="H980" t="inlineStr">
        <is>
          <t>No</t>
        </is>
      </c>
      <c r="I980" t="inlineStr">
        <is>
          <t>No</t>
        </is>
      </c>
      <c r="J980" t="inlineStr">
        <is>
          <t>0</t>
        </is>
      </c>
      <c r="K980" t="inlineStr">
        <is>
          <t>Livy.</t>
        </is>
      </c>
      <c r="L980" t="inlineStr">
        <is>
          <t>Harmondsworth, Middlesex, England ; New York, N.Y. : Penguin, 1982.</t>
        </is>
      </c>
      <c r="M980" t="inlineStr">
        <is>
          <t>1982</t>
        </is>
      </c>
      <c r="O980" t="inlineStr">
        <is>
          <t>eng</t>
        </is>
      </c>
      <c r="P980" t="inlineStr">
        <is>
          <t>enk</t>
        </is>
      </c>
      <c r="Q980" t="inlineStr">
        <is>
          <t>Penguin classics</t>
        </is>
      </c>
      <c r="R980" t="inlineStr">
        <is>
          <t xml:space="preserve">DG </t>
        </is>
      </c>
      <c r="S980" t="n">
        <v>1</v>
      </c>
      <c r="T980" t="n">
        <v>1</v>
      </c>
      <c r="U980" t="inlineStr">
        <is>
          <t>2009-11-09</t>
        </is>
      </c>
      <c r="V980" t="inlineStr">
        <is>
          <t>2009-11-09</t>
        </is>
      </c>
      <c r="W980" t="inlineStr">
        <is>
          <t>2009-11-09</t>
        </is>
      </c>
      <c r="X980" t="inlineStr">
        <is>
          <t>2009-11-09</t>
        </is>
      </c>
      <c r="Y980" t="n">
        <v>478</v>
      </c>
      <c r="Z980" t="n">
        <v>335</v>
      </c>
      <c r="AA980" t="n">
        <v>339</v>
      </c>
      <c r="AB980" t="n">
        <v>2</v>
      </c>
      <c r="AC980" t="n">
        <v>2</v>
      </c>
      <c r="AD980" t="n">
        <v>13</v>
      </c>
      <c r="AE980" t="n">
        <v>13</v>
      </c>
      <c r="AF980" t="n">
        <v>7</v>
      </c>
      <c r="AG980" t="n">
        <v>7</v>
      </c>
      <c r="AH980" t="n">
        <v>2</v>
      </c>
      <c r="AI980" t="n">
        <v>2</v>
      </c>
      <c r="AJ980" t="n">
        <v>8</v>
      </c>
      <c r="AK980" t="n">
        <v>8</v>
      </c>
      <c r="AL980" t="n">
        <v>0</v>
      </c>
      <c r="AM980" t="n">
        <v>0</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HYPERLINK("https://creighton-primo.hosted.exlibrisgroup.com/primo-explore/search?tab=default_tab&amp;search_scope=EVERYTHING&amp;vid=01CRU&amp;lang=en_US&amp;offset=0&amp;query=any,contains,991005339879702656","Catalog Record")</f>
        <v/>
      </c>
      <c r="AT980">
        <f>HYPERLINK("http://www.worldcat.org/oclc/9048515","WorldCat Record")</f>
        <v/>
      </c>
      <c r="AU980" t="inlineStr">
        <is>
          <t>375186761:eng</t>
        </is>
      </c>
      <c r="AV980" t="inlineStr">
        <is>
          <t>9048515</t>
        </is>
      </c>
      <c r="AW980" t="inlineStr">
        <is>
          <t>991005339879702656</t>
        </is>
      </c>
      <c r="AX980" t="inlineStr">
        <is>
          <t>991005339879702656</t>
        </is>
      </c>
      <c r="AY980" t="inlineStr">
        <is>
          <t>2265072470002656</t>
        </is>
      </c>
      <c r="AZ980" t="inlineStr">
        <is>
          <t>BOOK</t>
        </is>
      </c>
      <c r="BB980" t="inlineStr">
        <is>
          <t>9780140443882</t>
        </is>
      </c>
      <c r="BC980" t="inlineStr">
        <is>
          <t>32285005550297</t>
        </is>
      </c>
      <c r="BD980" t="inlineStr">
        <is>
          <t>893431265</t>
        </is>
      </c>
    </row>
    <row r="981">
      <c r="A981" t="inlineStr">
        <is>
          <t>No</t>
        </is>
      </c>
      <c r="B981" t="inlineStr">
        <is>
          <t>DG207.L583 L83</t>
        </is>
      </c>
      <c r="C981" t="inlineStr">
        <is>
          <t>0                      DG 0207000L  583                L  83</t>
        </is>
      </c>
      <c r="D981" t="inlineStr">
        <is>
          <t>Livy : the composition of his history / by T. J. Luce.</t>
        </is>
      </c>
      <c r="F981" t="inlineStr">
        <is>
          <t>No</t>
        </is>
      </c>
      <c r="G981" t="inlineStr">
        <is>
          <t>1</t>
        </is>
      </c>
      <c r="H981" t="inlineStr">
        <is>
          <t>No</t>
        </is>
      </c>
      <c r="I981" t="inlineStr">
        <is>
          <t>No</t>
        </is>
      </c>
      <c r="J981" t="inlineStr">
        <is>
          <t>0</t>
        </is>
      </c>
      <c r="K981" t="inlineStr">
        <is>
          <t>Luce, T. James (Torrey James), 1932-</t>
        </is>
      </c>
      <c r="L981" t="inlineStr">
        <is>
          <t>Princeton, N.J. : Princeton University Press, c1977.</t>
        </is>
      </c>
      <c r="M981" t="inlineStr">
        <is>
          <t>1977</t>
        </is>
      </c>
      <c r="O981" t="inlineStr">
        <is>
          <t>eng</t>
        </is>
      </c>
      <c r="P981" t="inlineStr">
        <is>
          <t>nju</t>
        </is>
      </c>
      <c r="R981" t="inlineStr">
        <is>
          <t xml:space="preserve">DG </t>
        </is>
      </c>
      <c r="S981" t="n">
        <v>9</v>
      </c>
      <c r="T981" t="n">
        <v>9</v>
      </c>
      <c r="U981" t="inlineStr">
        <is>
          <t>2008-11-14</t>
        </is>
      </c>
      <c r="V981" t="inlineStr">
        <is>
          <t>2008-11-14</t>
        </is>
      </c>
      <c r="W981" t="inlineStr">
        <is>
          <t>1991-11-25</t>
        </is>
      </c>
      <c r="X981" t="inlineStr">
        <is>
          <t>1991-11-25</t>
        </is>
      </c>
      <c r="Y981" t="n">
        <v>512</v>
      </c>
      <c r="Z981" t="n">
        <v>368</v>
      </c>
      <c r="AA981" t="n">
        <v>550</v>
      </c>
      <c r="AB981" t="n">
        <v>3</v>
      </c>
      <c r="AC981" t="n">
        <v>3</v>
      </c>
      <c r="AD981" t="n">
        <v>22</v>
      </c>
      <c r="AE981" t="n">
        <v>28</v>
      </c>
      <c r="AF981" t="n">
        <v>8</v>
      </c>
      <c r="AG981" t="n">
        <v>12</v>
      </c>
      <c r="AH981" t="n">
        <v>8</v>
      </c>
      <c r="AI981" t="n">
        <v>9</v>
      </c>
      <c r="AJ981" t="n">
        <v>13</v>
      </c>
      <c r="AK981" t="n">
        <v>16</v>
      </c>
      <c r="AL981" t="n">
        <v>2</v>
      </c>
      <c r="AM981" t="n">
        <v>2</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HYPERLINK("https://creighton-primo.hosted.exlibrisgroup.com/primo-explore/search?tab=default_tab&amp;search_scope=EVERYTHING&amp;vid=01CRU&amp;lang=en_US&amp;offset=0&amp;query=any,contains,991004364309702656","Catalog Record")</f>
        <v/>
      </c>
      <c r="AT981">
        <f>HYPERLINK("http://www.worldcat.org/oclc/3168838","WorldCat Record")</f>
        <v/>
      </c>
      <c r="AU981" t="inlineStr">
        <is>
          <t>8161197:eng</t>
        </is>
      </c>
      <c r="AV981" t="inlineStr">
        <is>
          <t>3168838</t>
        </is>
      </c>
      <c r="AW981" t="inlineStr">
        <is>
          <t>991004364309702656</t>
        </is>
      </c>
      <c r="AX981" t="inlineStr">
        <is>
          <t>991004364309702656</t>
        </is>
      </c>
      <c r="AY981" t="inlineStr">
        <is>
          <t>2260910520002656</t>
        </is>
      </c>
      <c r="AZ981" t="inlineStr">
        <is>
          <t>BOOK</t>
        </is>
      </c>
      <c r="BB981" t="inlineStr">
        <is>
          <t>9780691035529</t>
        </is>
      </c>
      <c r="BC981" t="inlineStr">
        <is>
          <t>32285000654417</t>
        </is>
      </c>
      <c r="BD981" t="inlineStr">
        <is>
          <t>893259638</t>
        </is>
      </c>
    </row>
    <row r="982">
      <c r="A982" t="inlineStr">
        <is>
          <t>No</t>
        </is>
      </c>
      <c r="B982" t="inlineStr">
        <is>
          <t>DG207.L583 M5 1995</t>
        </is>
      </c>
      <c r="C982" t="inlineStr">
        <is>
          <t>0                      DG 0207000L  583                M  5           1995</t>
        </is>
      </c>
      <c r="D982" t="inlineStr">
        <is>
          <t>Livy : reconstructing early Rome / Gary B. Miles.</t>
        </is>
      </c>
      <c r="F982" t="inlineStr">
        <is>
          <t>No</t>
        </is>
      </c>
      <c r="G982" t="inlineStr">
        <is>
          <t>1</t>
        </is>
      </c>
      <c r="H982" t="inlineStr">
        <is>
          <t>No</t>
        </is>
      </c>
      <c r="I982" t="inlineStr">
        <is>
          <t>No</t>
        </is>
      </c>
      <c r="J982" t="inlineStr">
        <is>
          <t>0</t>
        </is>
      </c>
      <c r="K982" t="inlineStr">
        <is>
          <t>Miles, Gary B.</t>
        </is>
      </c>
      <c r="L982" t="inlineStr">
        <is>
          <t>Ithaca : Cornell University Press, 1995.</t>
        </is>
      </c>
      <c r="M982" t="inlineStr">
        <is>
          <t>1995</t>
        </is>
      </c>
      <c r="O982" t="inlineStr">
        <is>
          <t>eng</t>
        </is>
      </c>
      <c r="P982" t="inlineStr">
        <is>
          <t>nyu</t>
        </is>
      </c>
      <c r="R982" t="inlineStr">
        <is>
          <t xml:space="preserve">DG </t>
        </is>
      </c>
      <c r="S982" t="n">
        <v>7</v>
      </c>
      <c r="T982" t="n">
        <v>7</v>
      </c>
      <c r="U982" t="inlineStr">
        <is>
          <t>2008-11-14</t>
        </is>
      </c>
      <c r="V982" t="inlineStr">
        <is>
          <t>2008-11-14</t>
        </is>
      </c>
      <c r="W982" t="inlineStr">
        <is>
          <t>1996-05-13</t>
        </is>
      </c>
      <c r="X982" t="inlineStr">
        <is>
          <t>1996-05-13</t>
        </is>
      </c>
      <c r="Y982" t="n">
        <v>494</v>
      </c>
      <c r="Z982" t="n">
        <v>383</v>
      </c>
      <c r="AA982" t="n">
        <v>567</v>
      </c>
      <c r="AB982" t="n">
        <v>4</v>
      </c>
      <c r="AC982" t="n">
        <v>4</v>
      </c>
      <c r="AD982" t="n">
        <v>24</v>
      </c>
      <c r="AE982" t="n">
        <v>34</v>
      </c>
      <c r="AF982" t="n">
        <v>5</v>
      </c>
      <c r="AG982" t="n">
        <v>13</v>
      </c>
      <c r="AH982" t="n">
        <v>7</v>
      </c>
      <c r="AI982" t="n">
        <v>10</v>
      </c>
      <c r="AJ982" t="n">
        <v>15</v>
      </c>
      <c r="AK982" t="n">
        <v>18</v>
      </c>
      <c r="AL982" t="n">
        <v>3</v>
      </c>
      <c r="AM982" t="n">
        <v>3</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HYPERLINK("https://creighton-primo.hosted.exlibrisgroup.com/primo-explore/search?tab=default_tab&amp;search_scope=EVERYTHING&amp;vid=01CRU&amp;lang=en_US&amp;offset=0&amp;query=any,contains,991002428849702656","Catalog Record")</f>
        <v/>
      </c>
      <c r="AT982">
        <f>HYPERLINK("http://www.worldcat.org/oclc/31658236","WorldCat Record")</f>
        <v/>
      </c>
      <c r="AU982" t="inlineStr">
        <is>
          <t>33691078:eng</t>
        </is>
      </c>
      <c r="AV982" t="inlineStr">
        <is>
          <t>31658236</t>
        </is>
      </c>
      <c r="AW982" t="inlineStr">
        <is>
          <t>991002428849702656</t>
        </is>
      </c>
      <c r="AX982" t="inlineStr">
        <is>
          <t>991002428849702656</t>
        </is>
      </c>
      <c r="AY982" t="inlineStr">
        <is>
          <t>2265452080002656</t>
        </is>
      </c>
      <c r="AZ982" t="inlineStr">
        <is>
          <t>BOOK</t>
        </is>
      </c>
      <c r="BB982" t="inlineStr">
        <is>
          <t>9780801430602</t>
        </is>
      </c>
      <c r="BC982" t="inlineStr">
        <is>
          <t>32285002167269</t>
        </is>
      </c>
      <c r="BD982" t="inlineStr">
        <is>
          <t>893245164</t>
        </is>
      </c>
    </row>
    <row r="983">
      <c r="A983" t="inlineStr">
        <is>
          <t>No</t>
        </is>
      </c>
      <c r="B983" t="inlineStr">
        <is>
          <t>DG207.T2 M8</t>
        </is>
      </c>
      <c r="C983" t="inlineStr">
        <is>
          <t>0                      DG 0207000T  2                  M  8</t>
        </is>
      </c>
      <c r="D983" t="inlineStr">
        <is>
          <t>The works of Cornelius Tacitus : with an essay on his life and genius, notes, supplements, &amp;c. / by Arthur Murphy.</t>
        </is>
      </c>
      <c r="F983" t="inlineStr">
        <is>
          <t>No</t>
        </is>
      </c>
      <c r="G983" t="inlineStr">
        <is>
          <t>1</t>
        </is>
      </c>
      <c r="H983" t="inlineStr">
        <is>
          <t>No</t>
        </is>
      </c>
      <c r="I983" t="inlineStr">
        <is>
          <t>No</t>
        </is>
      </c>
      <c r="J983" t="inlineStr">
        <is>
          <t>0</t>
        </is>
      </c>
      <c r="K983" t="inlineStr">
        <is>
          <t>Tacitus, Cornelius.</t>
        </is>
      </c>
      <c r="L983" t="inlineStr">
        <is>
          <t>Philadelphia : Published by Thomas Wardle, 1836.</t>
        </is>
      </c>
      <c r="M983" t="inlineStr">
        <is>
          <t>1836</t>
        </is>
      </c>
      <c r="N983" t="inlineStr">
        <is>
          <t>New ed., with the author's last corrections.</t>
        </is>
      </c>
      <c r="O983" t="inlineStr">
        <is>
          <t>eng</t>
        </is>
      </c>
      <c r="P983" t="inlineStr">
        <is>
          <t>pau</t>
        </is>
      </c>
      <c r="R983" t="inlineStr">
        <is>
          <t xml:space="preserve">DG </t>
        </is>
      </c>
      <c r="S983" t="n">
        <v>7</v>
      </c>
      <c r="T983" t="n">
        <v>7</v>
      </c>
      <c r="U983" t="inlineStr">
        <is>
          <t>2005-10-18</t>
        </is>
      </c>
      <c r="V983" t="inlineStr">
        <is>
          <t>2005-10-18</t>
        </is>
      </c>
      <c r="W983" t="inlineStr">
        <is>
          <t>1996-05-29</t>
        </is>
      </c>
      <c r="X983" t="inlineStr">
        <is>
          <t>1996-05-29</t>
        </is>
      </c>
      <c r="Y983" t="n">
        <v>16</v>
      </c>
      <c r="Z983" t="n">
        <v>16</v>
      </c>
      <c r="AA983" t="n">
        <v>227</v>
      </c>
      <c r="AB983" t="n">
        <v>1</v>
      </c>
      <c r="AC983" t="n">
        <v>2</v>
      </c>
      <c r="AD983" t="n">
        <v>0</v>
      </c>
      <c r="AE983" t="n">
        <v>13</v>
      </c>
      <c r="AF983" t="n">
        <v>0</v>
      </c>
      <c r="AG983" t="n">
        <v>3</v>
      </c>
      <c r="AH983" t="n">
        <v>0</v>
      </c>
      <c r="AI983" t="n">
        <v>2</v>
      </c>
      <c r="AJ983" t="n">
        <v>0</v>
      </c>
      <c r="AK983" t="n">
        <v>9</v>
      </c>
      <c r="AL983" t="n">
        <v>0</v>
      </c>
      <c r="AM983" t="n">
        <v>1</v>
      </c>
      <c r="AN983" t="n">
        <v>0</v>
      </c>
      <c r="AO983" t="n">
        <v>0</v>
      </c>
      <c r="AP983" t="inlineStr">
        <is>
          <t>Yes</t>
        </is>
      </c>
      <c r="AQ983" t="inlineStr">
        <is>
          <t>No</t>
        </is>
      </c>
      <c r="AR983">
        <f>HYPERLINK("http://catalog.hathitrust.org/Record/008407320","HathiTrust Record")</f>
        <v/>
      </c>
      <c r="AS983">
        <f>HYPERLINK("https://creighton-primo.hosted.exlibrisgroup.com/primo-explore/search?tab=default_tab&amp;search_scope=EVERYTHING&amp;vid=01CRU&amp;lang=en_US&amp;offset=0&amp;query=any,contains,991005202389702656","Catalog Record")</f>
        <v/>
      </c>
      <c r="AT983">
        <f>HYPERLINK("http://www.worldcat.org/oclc/8095711","WorldCat Record")</f>
        <v/>
      </c>
      <c r="AU983" t="inlineStr">
        <is>
          <t>3372227787:eng</t>
        </is>
      </c>
      <c r="AV983" t="inlineStr">
        <is>
          <t>8095711</t>
        </is>
      </c>
      <c r="AW983" t="inlineStr">
        <is>
          <t>991005202389702656</t>
        </is>
      </c>
      <c r="AX983" t="inlineStr">
        <is>
          <t>991005202389702656</t>
        </is>
      </c>
      <c r="AY983" t="inlineStr">
        <is>
          <t>2270477660002656</t>
        </is>
      </c>
      <c r="AZ983" t="inlineStr">
        <is>
          <t>BOOK</t>
        </is>
      </c>
      <c r="BC983" t="inlineStr">
        <is>
          <t>32285002164555</t>
        </is>
      </c>
      <c r="BD983" t="inlineStr">
        <is>
          <t>893606996</t>
        </is>
      </c>
    </row>
    <row r="984">
      <c r="A984" t="inlineStr">
        <is>
          <t>No</t>
        </is>
      </c>
      <c r="B984" t="inlineStr">
        <is>
          <t>DG207.T2 O8 1877</t>
        </is>
      </c>
      <c r="C984" t="inlineStr">
        <is>
          <t>0                      DG 0207000T  2                  O  8           1877</t>
        </is>
      </c>
      <c r="D984" t="inlineStr">
        <is>
          <t>The works of Tacitus.</t>
        </is>
      </c>
      <c r="E984" t="inlineStr">
        <is>
          <t>V.1</t>
        </is>
      </c>
      <c r="F984" t="inlineStr">
        <is>
          <t>Yes</t>
        </is>
      </c>
      <c r="G984" t="inlineStr">
        <is>
          <t>1</t>
        </is>
      </c>
      <c r="H984" t="inlineStr">
        <is>
          <t>No</t>
        </is>
      </c>
      <c r="I984" t="inlineStr">
        <is>
          <t>No</t>
        </is>
      </c>
      <c r="J984" t="inlineStr">
        <is>
          <t>0</t>
        </is>
      </c>
      <c r="K984" t="inlineStr">
        <is>
          <t>Tacitus, Cornelius.</t>
        </is>
      </c>
      <c r="L984" t="inlineStr">
        <is>
          <t>London : G. Bell, 1877.</t>
        </is>
      </c>
      <c r="M984" t="inlineStr">
        <is>
          <t>1877</t>
        </is>
      </c>
      <c r="N984" t="inlineStr">
        <is>
          <t>The Oxford translation, rev. ; with notes.</t>
        </is>
      </c>
      <c r="O984" t="inlineStr">
        <is>
          <t>eng</t>
        </is>
      </c>
      <c r="P984" t="inlineStr">
        <is>
          <t>enk</t>
        </is>
      </c>
      <c r="Q984" t="inlineStr">
        <is>
          <t>Bohn's classical library</t>
        </is>
      </c>
      <c r="R984" t="inlineStr">
        <is>
          <t xml:space="preserve">DG </t>
        </is>
      </c>
      <c r="S984" t="n">
        <v>3</v>
      </c>
      <c r="T984" t="n">
        <v>4</v>
      </c>
      <c r="U984" t="inlineStr">
        <is>
          <t>2005-10-18</t>
        </is>
      </c>
      <c r="V984" t="inlineStr">
        <is>
          <t>2005-10-18</t>
        </is>
      </c>
      <c r="W984" t="inlineStr">
        <is>
          <t>1997-02-03</t>
        </is>
      </c>
      <c r="X984" t="inlineStr">
        <is>
          <t>1997-02-03</t>
        </is>
      </c>
      <c r="Y984" t="n">
        <v>19</v>
      </c>
      <c r="Z984" t="n">
        <v>18</v>
      </c>
      <c r="AA984" t="n">
        <v>90</v>
      </c>
      <c r="AB984" t="n">
        <v>1</v>
      </c>
      <c r="AC984" t="n">
        <v>2</v>
      </c>
      <c r="AD984" t="n">
        <v>1</v>
      </c>
      <c r="AE984" t="n">
        <v>8</v>
      </c>
      <c r="AF984" t="n">
        <v>1</v>
      </c>
      <c r="AG984" t="n">
        <v>2</v>
      </c>
      <c r="AH984" t="n">
        <v>1</v>
      </c>
      <c r="AI984" t="n">
        <v>4</v>
      </c>
      <c r="AJ984" t="n">
        <v>0</v>
      </c>
      <c r="AK984" t="n">
        <v>4</v>
      </c>
      <c r="AL984" t="n">
        <v>0</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HYPERLINK("https://creighton-primo.hosted.exlibrisgroup.com/primo-explore/search?tab=default_tab&amp;search_scope=EVERYTHING&amp;vid=01CRU&amp;lang=en_US&amp;offset=0&amp;query=any,contains,991001375249702656","Catalog Record")</f>
        <v/>
      </c>
      <c r="AT984">
        <f>HYPERLINK("http://www.worldcat.org/oclc/18603216","WorldCat Record")</f>
        <v/>
      </c>
      <c r="AU984" t="inlineStr">
        <is>
          <t>3372176963:eng</t>
        </is>
      </c>
      <c r="AV984" t="inlineStr">
        <is>
          <t>18603216</t>
        </is>
      </c>
      <c r="AW984" t="inlineStr">
        <is>
          <t>991001375249702656</t>
        </is>
      </c>
      <c r="AX984" t="inlineStr">
        <is>
          <t>991001375249702656</t>
        </is>
      </c>
      <c r="AY984" t="inlineStr">
        <is>
          <t>2272613280002656</t>
        </is>
      </c>
      <c r="AZ984" t="inlineStr">
        <is>
          <t>BOOK</t>
        </is>
      </c>
      <c r="BC984" t="inlineStr">
        <is>
          <t>32285002419934</t>
        </is>
      </c>
      <c r="BD984" t="inlineStr">
        <is>
          <t>893256203</t>
        </is>
      </c>
    </row>
    <row r="985">
      <c r="A985" t="inlineStr">
        <is>
          <t>No</t>
        </is>
      </c>
      <c r="B985" t="inlineStr">
        <is>
          <t>DG207.T2 O8 1877</t>
        </is>
      </c>
      <c r="C985" t="inlineStr">
        <is>
          <t>0                      DG 0207000T  2                  O  8           1877</t>
        </is>
      </c>
      <c r="D985" t="inlineStr">
        <is>
          <t>The works of Tacitus.</t>
        </is>
      </c>
      <c r="E985" t="inlineStr">
        <is>
          <t>V.2</t>
        </is>
      </c>
      <c r="F985" t="inlineStr">
        <is>
          <t>Yes</t>
        </is>
      </c>
      <c r="G985" t="inlineStr">
        <is>
          <t>1</t>
        </is>
      </c>
      <c r="H985" t="inlineStr">
        <is>
          <t>No</t>
        </is>
      </c>
      <c r="I985" t="inlineStr">
        <is>
          <t>No</t>
        </is>
      </c>
      <c r="J985" t="inlineStr">
        <is>
          <t>0</t>
        </is>
      </c>
      <c r="K985" t="inlineStr">
        <is>
          <t>Tacitus, Cornelius.</t>
        </is>
      </c>
      <c r="L985" t="inlineStr">
        <is>
          <t>London : G. Bell, 1877.</t>
        </is>
      </c>
      <c r="M985" t="inlineStr">
        <is>
          <t>1877</t>
        </is>
      </c>
      <c r="N985" t="inlineStr">
        <is>
          <t>The Oxford translation, rev. ; with notes.</t>
        </is>
      </c>
      <c r="O985" t="inlineStr">
        <is>
          <t>eng</t>
        </is>
      </c>
      <c r="P985" t="inlineStr">
        <is>
          <t>enk</t>
        </is>
      </c>
      <c r="Q985" t="inlineStr">
        <is>
          <t>Bohn's classical library</t>
        </is>
      </c>
      <c r="R985" t="inlineStr">
        <is>
          <t xml:space="preserve">DG </t>
        </is>
      </c>
      <c r="S985" t="n">
        <v>1</v>
      </c>
      <c r="T985" t="n">
        <v>4</v>
      </c>
      <c r="U985" t="inlineStr">
        <is>
          <t>1997-06-17</t>
        </is>
      </c>
      <c r="V985" t="inlineStr">
        <is>
          <t>2005-10-18</t>
        </is>
      </c>
      <c r="W985" t="inlineStr">
        <is>
          <t>1997-02-03</t>
        </is>
      </c>
      <c r="X985" t="inlineStr">
        <is>
          <t>1997-02-03</t>
        </is>
      </c>
      <c r="Y985" t="n">
        <v>19</v>
      </c>
      <c r="Z985" t="n">
        <v>18</v>
      </c>
      <c r="AA985" t="n">
        <v>90</v>
      </c>
      <c r="AB985" t="n">
        <v>1</v>
      </c>
      <c r="AC985" t="n">
        <v>2</v>
      </c>
      <c r="AD985" t="n">
        <v>1</v>
      </c>
      <c r="AE985" t="n">
        <v>8</v>
      </c>
      <c r="AF985" t="n">
        <v>1</v>
      </c>
      <c r="AG985" t="n">
        <v>2</v>
      </c>
      <c r="AH985" t="n">
        <v>1</v>
      </c>
      <c r="AI985" t="n">
        <v>4</v>
      </c>
      <c r="AJ985" t="n">
        <v>0</v>
      </c>
      <c r="AK985" t="n">
        <v>4</v>
      </c>
      <c r="AL985" t="n">
        <v>0</v>
      </c>
      <c r="AM985" t="n">
        <v>1</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HYPERLINK("https://creighton-primo.hosted.exlibrisgroup.com/primo-explore/search?tab=default_tab&amp;search_scope=EVERYTHING&amp;vid=01CRU&amp;lang=en_US&amp;offset=0&amp;query=any,contains,991001375249702656","Catalog Record")</f>
        <v/>
      </c>
      <c r="AT985">
        <f>HYPERLINK("http://www.worldcat.org/oclc/18603216","WorldCat Record")</f>
        <v/>
      </c>
      <c r="AU985" t="inlineStr">
        <is>
          <t>3372176963:eng</t>
        </is>
      </c>
      <c r="AV985" t="inlineStr">
        <is>
          <t>18603216</t>
        </is>
      </c>
      <c r="AW985" t="inlineStr">
        <is>
          <t>991001375249702656</t>
        </is>
      </c>
      <c r="AX985" t="inlineStr">
        <is>
          <t>991001375249702656</t>
        </is>
      </c>
      <c r="AY985" t="inlineStr">
        <is>
          <t>2272613280002656</t>
        </is>
      </c>
      <c r="AZ985" t="inlineStr">
        <is>
          <t>BOOK</t>
        </is>
      </c>
      <c r="BC985" t="inlineStr">
        <is>
          <t>32285002419942</t>
        </is>
      </c>
      <c r="BD985" t="inlineStr">
        <is>
          <t>893231948</t>
        </is>
      </c>
    </row>
    <row r="986">
      <c r="A986" t="inlineStr">
        <is>
          <t>No</t>
        </is>
      </c>
      <c r="B986" t="inlineStr">
        <is>
          <t>DG207.Z89 B8</t>
        </is>
      </c>
      <c r="C986" t="inlineStr">
        <is>
          <t>0                      DG 0207000Z  89                 B  8</t>
        </is>
      </c>
      <c r="D986" t="inlineStr">
        <is>
          <t>Zosimus: Historia nova; the decline of Rome. Translated by James J. Buchanan and Harold T. Davis.</t>
        </is>
      </c>
      <c r="F986" t="inlineStr">
        <is>
          <t>No</t>
        </is>
      </c>
      <c r="G986" t="inlineStr">
        <is>
          <t>1</t>
        </is>
      </c>
      <c r="H986" t="inlineStr">
        <is>
          <t>No</t>
        </is>
      </c>
      <c r="I986" t="inlineStr">
        <is>
          <t>No</t>
        </is>
      </c>
      <c r="J986" t="inlineStr">
        <is>
          <t>0</t>
        </is>
      </c>
      <c r="K986" t="inlineStr">
        <is>
          <t>Zosimus.</t>
        </is>
      </c>
      <c r="L986" t="inlineStr">
        <is>
          <t>San Antonio, Trinity University Press, 1967.</t>
        </is>
      </c>
      <c r="M986" t="inlineStr">
        <is>
          <t>1967</t>
        </is>
      </c>
      <c r="O986" t="inlineStr">
        <is>
          <t>eng</t>
        </is>
      </c>
      <c r="P986" t="inlineStr">
        <is>
          <t>txu</t>
        </is>
      </c>
      <c r="R986" t="inlineStr">
        <is>
          <t xml:space="preserve">DG </t>
        </is>
      </c>
      <c r="S986" t="n">
        <v>3</v>
      </c>
      <c r="T986" t="n">
        <v>3</v>
      </c>
      <c r="U986" t="inlineStr">
        <is>
          <t>2005-02-11</t>
        </is>
      </c>
      <c r="V986" t="inlineStr">
        <is>
          <t>2005-02-11</t>
        </is>
      </c>
      <c r="W986" t="inlineStr">
        <is>
          <t>1997-02-03</t>
        </is>
      </c>
      <c r="X986" t="inlineStr">
        <is>
          <t>1997-02-03</t>
        </is>
      </c>
      <c r="Y986" t="n">
        <v>405</v>
      </c>
      <c r="Z986" t="n">
        <v>338</v>
      </c>
      <c r="AA986" t="n">
        <v>340</v>
      </c>
      <c r="AB986" t="n">
        <v>2</v>
      </c>
      <c r="AC986" t="n">
        <v>2</v>
      </c>
      <c r="AD986" t="n">
        <v>18</v>
      </c>
      <c r="AE986" t="n">
        <v>18</v>
      </c>
      <c r="AF986" t="n">
        <v>6</v>
      </c>
      <c r="AG986" t="n">
        <v>6</v>
      </c>
      <c r="AH986" t="n">
        <v>5</v>
      </c>
      <c r="AI986" t="n">
        <v>5</v>
      </c>
      <c r="AJ986" t="n">
        <v>9</v>
      </c>
      <c r="AK986" t="n">
        <v>9</v>
      </c>
      <c r="AL986" t="n">
        <v>1</v>
      </c>
      <c r="AM986" t="n">
        <v>1</v>
      </c>
      <c r="AN986" t="n">
        <v>0</v>
      </c>
      <c r="AO986" t="n">
        <v>0</v>
      </c>
      <c r="AP986" t="inlineStr">
        <is>
          <t>No</t>
        </is>
      </c>
      <c r="AQ986" t="inlineStr">
        <is>
          <t>Yes</t>
        </is>
      </c>
      <c r="AR986">
        <f>HYPERLINK("http://catalog.hathitrust.org/Record/000421514","HathiTrust Record")</f>
        <v/>
      </c>
      <c r="AS986">
        <f>HYPERLINK("https://creighton-primo.hosted.exlibrisgroup.com/primo-explore/search?tab=default_tab&amp;search_scope=EVERYTHING&amp;vid=01CRU&amp;lang=en_US&amp;offset=0&amp;query=any,contains,991003306249702656","Catalog Record")</f>
        <v/>
      </c>
      <c r="AT986">
        <f>HYPERLINK("http://www.worldcat.org/oclc/829842","WorldCat Record")</f>
        <v/>
      </c>
      <c r="AU986" t="inlineStr">
        <is>
          <t>5342491187:eng</t>
        </is>
      </c>
      <c r="AV986" t="inlineStr">
        <is>
          <t>829842</t>
        </is>
      </c>
      <c r="AW986" t="inlineStr">
        <is>
          <t>991003306249702656</t>
        </is>
      </c>
      <c r="AX986" t="inlineStr">
        <is>
          <t>991003306249702656</t>
        </is>
      </c>
      <c r="AY986" t="inlineStr">
        <is>
          <t>2269795240002656</t>
        </is>
      </c>
      <c r="AZ986" t="inlineStr">
        <is>
          <t>BOOK</t>
        </is>
      </c>
      <c r="BC986" t="inlineStr">
        <is>
          <t>32285002419959</t>
        </is>
      </c>
      <c r="BD986" t="inlineStr">
        <is>
          <t>893698879</t>
        </is>
      </c>
    </row>
    <row r="987">
      <c r="A987" t="inlineStr">
        <is>
          <t>No</t>
        </is>
      </c>
      <c r="B987" t="inlineStr">
        <is>
          <t>DG209 .H69</t>
        </is>
      </c>
      <c r="C987" t="inlineStr">
        <is>
          <t>0                      DG 0209000H  69</t>
        </is>
      </c>
      <c r="D987" t="inlineStr">
        <is>
          <t>Roman realities / Finley Hooper.</t>
        </is>
      </c>
      <c r="F987" t="inlineStr">
        <is>
          <t>No</t>
        </is>
      </c>
      <c r="G987" t="inlineStr">
        <is>
          <t>1</t>
        </is>
      </c>
      <c r="H987" t="inlineStr">
        <is>
          <t>No</t>
        </is>
      </c>
      <c r="I987" t="inlineStr">
        <is>
          <t>No</t>
        </is>
      </c>
      <c r="J987" t="inlineStr">
        <is>
          <t>0</t>
        </is>
      </c>
      <c r="K987" t="inlineStr">
        <is>
          <t>Hooper, Finley, 1922-</t>
        </is>
      </c>
      <c r="L987" t="inlineStr">
        <is>
          <t>Detroit : Wayne State University Press, 1979.</t>
        </is>
      </c>
      <c r="M987" t="inlineStr">
        <is>
          <t>1979</t>
        </is>
      </c>
      <c r="O987" t="inlineStr">
        <is>
          <t>eng</t>
        </is>
      </c>
      <c r="P987" t="inlineStr">
        <is>
          <t>miu</t>
        </is>
      </c>
      <c r="R987" t="inlineStr">
        <is>
          <t xml:space="preserve">DG </t>
        </is>
      </c>
      <c r="S987" t="n">
        <v>3</v>
      </c>
      <c r="T987" t="n">
        <v>3</v>
      </c>
      <c r="U987" t="inlineStr">
        <is>
          <t>1998-11-18</t>
        </is>
      </c>
      <c r="V987" t="inlineStr">
        <is>
          <t>1998-11-18</t>
        </is>
      </c>
      <c r="W987" t="inlineStr">
        <is>
          <t>1991-03-27</t>
        </is>
      </c>
      <c r="X987" t="inlineStr">
        <is>
          <t>1991-03-27</t>
        </is>
      </c>
      <c r="Y987" t="n">
        <v>697</v>
      </c>
      <c r="Z987" t="n">
        <v>633</v>
      </c>
      <c r="AA987" t="n">
        <v>642</v>
      </c>
      <c r="AB987" t="n">
        <v>5</v>
      </c>
      <c r="AC987" t="n">
        <v>5</v>
      </c>
      <c r="AD987" t="n">
        <v>27</v>
      </c>
      <c r="AE987" t="n">
        <v>27</v>
      </c>
      <c r="AF987" t="n">
        <v>11</v>
      </c>
      <c r="AG987" t="n">
        <v>11</v>
      </c>
      <c r="AH987" t="n">
        <v>5</v>
      </c>
      <c r="AI987" t="n">
        <v>5</v>
      </c>
      <c r="AJ987" t="n">
        <v>13</v>
      </c>
      <c r="AK987" t="n">
        <v>13</v>
      </c>
      <c r="AL987" t="n">
        <v>4</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HYPERLINK("https://creighton-primo.hosted.exlibrisgroup.com/primo-explore/search?tab=default_tab&amp;search_scope=EVERYTHING&amp;vid=01CRU&amp;lang=en_US&amp;offset=0&amp;query=any,contains,991004589659702656","Catalog Record")</f>
        <v/>
      </c>
      <c r="AT987">
        <f>HYPERLINK("http://www.worldcat.org/oclc/4114410","WorldCat Record")</f>
        <v/>
      </c>
      <c r="AU987" t="inlineStr">
        <is>
          <t>476128:eng</t>
        </is>
      </c>
      <c r="AV987" t="inlineStr">
        <is>
          <t>4114410</t>
        </is>
      </c>
      <c r="AW987" t="inlineStr">
        <is>
          <t>991004589659702656</t>
        </is>
      </c>
      <c r="AX987" t="inlineStr">
        <is>
          <t>991004589659702656</t>
        </is>
      </c>
      <c r="AY987" t="inlineStr">
        <is>
          <t>2271909870002656</t>
        </is>
      </c>
      <c r="AZ987" t="inlineStr">
        <is>
          <t>BOOK</t>
        </is>
      </c>
      <c r="BB987" t="inlineStr">
        <is>
          <t>9780814315934</t>
        </is>
      </c>
      <c r="BC987" t="inlineStr">
        <is>
          <t>32285000521392</t>
        </is>
      </c>
      <c r="BD987" t="inlineStr">
        <is>
          <t>893618841</t>
        </is>
      </c>
    </row>
    <row r="988">
      <c r="A988" t="inlineStr">
        <is>
          <t>No</t>
        </is>
      </c>
      <c r="B988" t="inlineStr">
        <is>
          <t>DG209 .M744</t>
        </is>
      </c>
      <c r="C988" t="inlineStr">
        <is>
          <t>0                      DG 0209000M  744</t>
        </is>
      </c>
      <c r="D988" t="inlineStr">
        <is>
          <t>The history of Rome / by Theodor Mommsen ; translated with the sanction of the author by William Purdie Dickson.</t>
        </is>
      </c>
      <c r="E988" t="inlineStr">
        <is>
          <t>V.3</t>
        </is>
      </c>
      <c r="F988" t="inlineStr">
        <is>
          <t>Yes</t>
        </is>
      </c>
      <c r="G988" t="inlineStr">
        <is>
          <t>1</t>
        </is>
      </c>
      <c r="H988" t="inlineStr">
        <is>
          <t>No</t>
        </is>
      </c>
      <c r="I988" t="inlineStr">
        <is>
          <t>Yes</t>
        </is>
      </c>
      <c r="J988" t="inlineStr">
        <is>
          <t>0</t>
        </is>
      </c>
      <c r="K988" t="inlineStr">
        <is>
          <t>Mommsen, Theodor, 1817-1903.</t>
        </is>
      </c>
      <c r="L988" t="inlineStr">
        <is>
          <t>New York : Charles Scribner's sons, 1898-</t>
        </is>
      </c>
      <c r="M988" t="inlineStr">
        <is>
          <t>1898</t>
        </is>
      </c>
      <c r="N988" t="inlineStr">
        <is>
          <t>A new edition revised throughout and embodying recent additions.</t>
        </is>
      </c>
      <c r="O988" t="inlineStr">
        <is>
          <t>eng</t>
        </is>
      </c>
      <c r="P988" t="inlineStr">
        <is>
          <t>nyu</t>
        </is>
      </c>
      <c r="R988" t="inlineStr">
        <is>
          <t xml:space="preserve">DG </t>
        </is>
      </c>
      <c r="S988" t="n">
        <v>0</v>
      </c>
      <c r="T988" t="n">
        <v>9</v>
      </c>
      <c r="V988" t="inlineStr">
        <is>
          <t>2005-04-10</t>
        </is>
      </c>
      <c r="W988" t="inlineStr">
        <is>
          <t>1997-02-24</t>
        </is>
      </c>
      <c r="X988" t="inlineStr">
        <is>
          <t>1997-02-24</t>
        </is>
      </c>
      <c r="Y988" t="n">
        <v>51</v>
      </c>
      <c r="Z988" t="n">
        <v>46</v>
      </c>
      <c r="AA988" t="n">
        <v>1564</v>
      </c>
      <c r="AB988" t="n">
        <v>1</v>
      </c>
      <c r="AC988" t="n">
        <v>14</v>
      </c>
      <c r="AD988" t="n">
        <v>0</v>
      </c>
      <c r="AE988" t="n">
        <v>56</v>
      </c>
      <c r="AF988" t="n">
        <v>0</v>
      </c>
      <c r="AG988" t="n">
        <v>24</v>
      </c>
      <c r="AH988" t="n">
        <v>0</v>
      </c>
      <c r="AI988" t="n">
        <v>10</v>
      </c>
      <c r="AJ988" t="n">
        <v>0</v>
      </c>
      <c r="AK988" t="n">
        <v>24</v>
      </c>
      <c r="AL988" t="n">
        <v>0</v>
      </c>
      <c r="AM988" t="n">
        <v>9</v>
      </c>
      <c r="AN988" t="n">
        <v>0</v>
      </c>
      <c r="AO988" t="n">
        <v>1</v>
      </c>
      <c r="AP988" t="inlineStr">
        <is>
          <t>Yes</t>
        </is>
      </c>
      <c r="AQ988" t="inlineStr">
        <is>
          <t>No</t>
        </is>
      </c>
      <c r="AR988">
        <f>HYPERLINK("http://catalog.hathitrust.org/Record/006066804","HathiTrust Record")</f>
        <v/>
      </c>
      <c r="AS988">
        <f>HYPERLINK("https://creighton-primo.hosted.exlibrisgroup.com/primo-explore/search?tab=default_tab&amp;search_scope=EVERYTHING&amp;vid=01CRU&amp;lang=en_US&amp;offset=0&amp;query=any,contains,991000318049702656","Catalog Record")</f>
        <v/>
      </c>
      <c r="AT988">
        <f>HYPERLINK("http://www.worldcat.org/oclc/10128577","WorldCat Record")</f>
        <v/>
      </c>
      <c r="AU988" t="inlineStr">
        <is>
          <t>2949439289:eng</t>
        </is>
      </c>
      <c r="AV988" t="inlineStr">
        <is>
          <t>10128577</t>
        </is>
      </c>
      <c r="AW988" t="inlineStr">
        <is>
          <t>991000318049702656</t>
        </is>
      </c>
      <c r="AX988" t="inlineStr">
        <is>
          <t>991000318049702656</t>
        </is>
      </c>
      <c r="AY988" t="inlineStr">
        <is>
          <t>2257989960002656</t>
        </is>
      </c>
      <c r="AZ988" t="inlineStr">
        <is>
          <t>BOOK</t>
        </is>
      </c>
      <c r="BC988" t="inlineStr">
        <is>
          <t>32285002469269</t>
        </is>
      </c>
      <c r="BD988" t="inlineStr">
        <is>
          <t>893521569</t>
        </is>
      </c>
    </row>
    <row r="989">
      <c r="A989" t="inlineStr">
        <is>
          <t>No</t>
        </is>
      </c>
      <c r="B989" t="inlineStr">
        <is>
          <t>DG209 .M744</t>
        </is>
      </c>
      <c r="C989" t="inlineStr">
        <is>
          <t>0                      DG 0209000M  744</t>
        </is>
      </c>
      <c r="D989" t="inlineStr">
        <is>
          <t>The history of Rome / by Theodor Mommsen ; translated with the sanction of the author by William Purdie Dickson.</t>
        </is>
      </c>
      <c r="E989" t="inlineStr">
        <is>
          <t>V.5</t>
        </is>
      </c>
      <c r="F989" t="inlineStr">
        <is>
          <t>Yes</t>
        </is>
      </c>
      <c r="G989" t="inlineStr">
        <is>
          <t>1</t>
        </is>
      </c>
      <c r="H989" t="inlineStr">
        <is>
          <t>No</t>
        </is>
      </c>
      <c r="I989" t="inlineStr">
        <is>
          <t>Yes</t>
        </is>
      </c>
      <c r="J989" t="inlineStr">
        <is>
          <t>0</t>
        </is>
      </c>
      <c r="K989" t="inlineStr">
        <is>
          <t>Mommsen, Theodor, 1817-1903.</t>
        </is>
      </c>
      <c r="L989" t="inlineStr">
        <is>
          <t>New York : Charles Scribner's sons, 1898-</t>
        </is>
      </c>
      <c r="M989" t="inlineStr">
        <is>
          <t>1898</t>
        </is>
      </c>
      <c r="N989" t="inlineStr">
        <is>
          <t>A new edition revised throughout and embodying recent additions.</t>
        </is>
      </c>
      <c r="O989" t="inlineStr">
        <is>
          <t>eng</t>
        </is>
      </c>
      <c r="P989" t="inlineStr">
        <is>
          <t>nyu</t>
        </is>
      </c>
      <c r="R989" t="inlineStr">
        <is>
          <t xml:space="preserve">DG </t>
        </is>
      </c>
      <c r="S989" t="n">
        <v>0</v>
      </c>
      <c r="T989" t="n">
        <v>9</v>
      </c>
      <c r="V989" t="inlineStr">
        <is>
          <t>2005-04-10</t>
        </is>
      </c>
      <c r="W989" t="inlineStr">
        <is>
          <t>1997-02-24</t>
        </is>
      </c>
      <c r="X989" t="inlineStr">
        <is>
          <t>1997-02-24</t>
        </is>
      </c>
      <c r="Y989" t="n">
        <v>51</v>
      </c>
      <c r="Z989" t="n">
        <v>46</v>
      </c>
      <c r="AA989" t="n">
        <v>1564</v>
      </c>
      <c r="AB989" t="n">
        <v>1</v>
      </c>
      <c r="AC989" t="n">
        <v>14</v>
      </c>
      <c r="AD989" t="n">
        <v>0</v>
      </c>
      <c r="AE989" t="n">
        <v>56</v>
      </c>
      <c r="AF989" t="n">
        <v>0</v>
      </c>
      <c r="AG989" t="n">
        <v>24</v>
      </c>
      <c r="AH989" t="n">
        <v>0</v>
      </c>
      <c r="AI989" t="n">
        <v>10</v>
      </c>
      <c r="AJ989" t="n">
        <v>0</v>
      </c>
      <c r="AK989" t="n">
        <v>24</v>
      </c>
      <c r="AL989" t="n">
        <v>0</v>
      </c>
      <c r="AM989" t="n">
        <v>9</v>
      </c>
      <c r="AN989" t="n">
        <v>0</v>
      </c>
      <c r="AO989" t="n">
        <v>1</v>
      </c>
      <c r="AP989" t="inlineStr">
        <is>
          <t>Yes</t>
        </is>
      </c>
      <c r="AQ989" t="inlineStr">
        <is>
          <t>No</t>
        </is>
      </c>
      <c r="AR989">
        <f>HYPERLINK("http://catalog.hathitrust.org/Record/006066804","HathiTrust Record")</f>
        <v/>
      </c>
      <c r="AS989">
        <f>HYPERLINK("https://creighton-primo.hosted.exlibrisgroup.com/primo-explore/search?tab=default_tab&amp;search_scope=EVERYTHING&amp;vid=01CRU&amp;lang=en_US&amp;offset=0&amp;query=any,contains,991000318049702656","Catalog Record")</f>
        <v/>
      </c>
      <c r="AT989">
        <f>HYPERLINK("http://www.worldcat.org/oclc/10128577","WorldCat Record")</f>
        <v/>
      </c>
      <c r="AU989" t="inlineStr">
        <is>
          <t>2949439289:eng</t>
        </is>
      </c>
      <c r="AV989" t="inlineStr">
        <is>
          <t>10128577</t>
        </is>
      </c>
      <c r="AW989" t="inlineStr">
        <is>
          <t>991000318049702656</t>
        </is>
      </c>
      <c r="AX989" t="inlineStr">
        <is>
          <t>991000318049702656</t>
        </is>
      </c>
      <c r="AY989" t="inlineStr">
        <is>
          <t>2257989960002656</t>
        </is>
      </c>
      <c r="AZ989" t="inlineStr">
        <is>
          <t>BOOK</t>
        </is>
      </c>
      <c r="BC989" t="inlineStr">
        <is>
          <t>32285002469285</t>
        </is>
      </c>
      <c r="BD989" t="inlineStr">
        <is>
          <t>893527961</t>
        </is>
      </c>
    </row>
    <row r="990">
      <c r="A990" t="inlineStr">
        <is>
          <t>No</t>
        </is>
      </c>
      <c r="B990" t="inlineStr">
        <is>
          <t>DG209 .M744</t>
        </is>
      </c>
      <c r="C990" t="inlineStr">
        <is>
          <t>0                      DG 0209000M  744</t>
        </is>
      </c>
      <c r="D990" t="inlineStr">
        <is>
          <t>The history of Rome / by Theodor Mommsen ; translated with the sanction of the author by William Purdie Dickson.</t>
        </is>
      </c>
      <c r="E990" t="inlineStr">
        <is>
          <t>V.4</t>
        </is>
      </c>
      <c r="F990" t="inlineStr">
        <is>
          <t>Yes</t>
        </is>
      </c>
      <c r="G990" t="inlineStr">
        <is>
          <t>1</t>
        </is>
      </c>
      <c r="H990" t="inlineStr">
        <is>
          <t>No</t>
        </is>
      </c>
      <c r="I990" t="inlineStr">
        <is>
          <t>Yes</t>
        </is>
      </c>
      <c r="J990" t="inlineStr">
        <is>
          <t>0</t>
        </is>
      </c>
      <c r="K990" t="inlineStr">
        <is>
          <t>Mommsen, Theodor, 1817-1903.</t>
        </is>
      </c>
      <c r="L990" t="inlineStr">
        <is>
          <t>New York : Charles Scribner's sons, 1898-</t>
        </is>
      </c>
      <c r="M990" t="inlineStr">
        <is>
          <t>1898</t>
        </is>
      </c>
      <c r="N990" t="inlineStr">
        <is>
          <t>A new edition revised throughout and embodying recent additions.</t>
        </is>
      </c>
      <c r="O990" t="inlineStr">
        <is>
          <t>eng</t>
        </is>
      </c>
      <c r="P990" t="inlineStr">
        <is>
          <t>nyu</t>
        </is>
      </c>
      <c r="R990" t="inlineStr">
        <is>
          <t xml:space="preserve">DG </t>
        </is>
      </c>
      <c r="S990" t="n">
        <v>2</v>
      </c>
      <c r="T990" t="n">
        <v>9</v>
      </c>
      <c r="U990" t="inlineStr">
        <is>
          <t>2005-04-10</t>
        </is>
      </c>
      <c r="V990" t="inlineStr">
        <is>
          <t>2005-04-10</t>
        </is>
      </c>
      <c r="W990" t="inlineStr">
        <is>
          <t>1997-02-24</t>
        </is>
      </c>
      <c r="X990" t="inlineStr">
        <is>
          <t>1997-02-24</t>
        </is>
      </c>
      <c r="Y990" t="n">
        <v>51</v>
      </c>
      <c r="Z990" t="n">
        <v>46</v>
      </c>
      <c r="AA990" t="n">
        <v>1564</v>
      </c>
      <c r="AB990" t="n">
        <v>1</v>
      </c>
      <c r="AC990" t="n">
        <v>14</v>
      </c>
      <c r="AD990" t="n">
        <v>0</v>
      </c>
      <c r="AE990" t="n">
        <v>56</v>
      </c>
      <c r="AF990" t="n">
        <v>0</v>
      </c>
      <c r="AG990" t="n">
        <v>24</v>
      </c>
      <c r="AH990" t="n">
        <v>0</v>
      </c>
      <c r="AI990" t="n">
        <v>10</v>
      </c>
      <c r="AJ990" t="n">
        <v>0</v>
      </c>
      <c r="AK990" t="n">
        <v>24</v>
      </c>
      <c r="AL990" t="n">
        <v>0</v>
      </c>
      <c r="AM990" t="n">
        <v>9</v>
      </c>
      <c r="AN990" t="n">
        <v>0</v>
      </c>
      <c r="AO990" t="n">
        <v>1</v>
      </c>
      <c r="AP990" t="inlineStr">
        <is>
          <t>Yes</t>
        </is>
      </c>
      <c r="AQ990" t="inlineStr">
        <is>
          <t>No</t>
        </is>
      </c>
      <c r="AR990">
        <f>HYPERLINK("http://catalog.hathitrust.org/Record/006066804","HathiTrust Record")</f>
        <v/>
      </c>
      <c r="AS990">
        <f>HYPERLINK("https://creighton-primo.hosted.exlibrisgroup.com/primo-explore/search?tab=default_tab&amp;search_scope=EVERYTHING&amp;vid=01CRU&amp;lang=en_US&amp;offset=0&amp;query=any,contains,991000318049702656","Catalog Record")</f>
        <v/>
      </c>
      <c r="AT990">
        <f>HYPERLINK("http://www.worldcat.org/oclc/10128577","WorldCat Record")</f>
        <v/>
      </c>
      <c r="AU990" t="inlineStr">
        <is>
          <t>2949439289:eng</t>
        </is>
      </c>
      <c r="AV990" t="inlineStr">
        <is>
          <t>10128577</t>
        </is>
      </c>
      <c r="AW990" t="inlineStr">
        <is>
          <t>991000318049702656</t>
        </is>
      </c>
      <c r="AX990" t="inlineStr">
        <is>
          <t>991000318049702656</t>
        </is>
      </c>
      <c r="AY990" t="inlineStr">
        <is>
          <t>2257989960002656</t>
        </is>
      </c>
      <c r="AZ990" t="inlineStr">
        <is>
          <t>BOOK</t>
        </is>
      </c>
      <c r="BC990" t="inlineStr">
        <is>
          <t>32285002469277</t>
        </is>
      </c>
      <c r="BD990" t="inlineStr">
        <is>
          <t>893527962</t>
        </is>
      </c>
    </row>
    <row r="991">
      <c r="A991" t="inlineStr">
        <is>
          <t>No</t>
        </is>
      </c>
      <c r="B991" t="inlineStr">
        <is>
          <t>DG209 .M744</t>
        </is>
      </c>
      <c r="C991" t="inlineStr">
        <is>
          <t>0                      DG 0209000M  744</t>
        </is>
      </c>
      <c r="D991" t="inlineStr">
        <is>
          <t>The history of Rome / by Theodor Mommsen ; translated with the sanction of the author by William Purdie Dickson.</t>
        </is>
      </c>
      <c r="E991" t="inlineStr">
        <is>
          <t>V.2</t>
        </is>
      </c>
      <c r="F991" t="inlineStr">
        <is>
          <t>Yes</t>
        </is>
      </c>
      <c r="G991" t="inlineStr">
        <is>
          <t>1</t>
        </is>
      </c>
      <c r="H991" t="inlineStr">
        <is>
          <t>No</t>
        </is>
      </c>
      <c r="I991" t="inlineStr">
        <is>
          <t>Yes</t>
        </is>
      </c>
      <c r="J991" t="inlineStr">
        <is>
          <t>0</t>
        </is>
      </c>
      <c r="K991" t="inlineStr">
        <is>
          <t>Mommsen, Theodor, 1817-1903.</t>
        </is>
      </c>
      <c r="L991" t="inlineStr">
        <is>
          <t>New York : Charles Scribner's sons, 1898-</t>
        </is>
      </c>
      <c r="M991" t="inlineStr">
        <is>
          <t>1898</t>
        </is>
      </c>
      <c r="N991" t="inlineStr">
        <is>
          <t>A new edition revised throughout and embodying recent additions.</t>
        </is>
      </c>
      <c r="O991" t="inlineStr">
        <is>
          <t>eng</t>
        </is>
      </c>
      <c r="P991" t="inlineStr">
        <is>
          <t>nyu</t>
        </is>
      </c>
      <c r="R991" t="inlineStr">
        <is>
          <t xml:space="preserve">DG </t>
        </is>
      </c>
      <c r="S991" t="n">
        <v>7</v>
      </c>
      <c r="T991" t="n">
        <v>9</v>
      </c>
      <c r="U991" t="inlineStr">
        <is>
          <t>2002-05-01</t>
        </is>
      </c>
      <c r="V991" t="inlineStr">
        <is>
          <t>2005-04-10</t>
        </is>
      </c>
      <c r="W991" t="inlineStr">
        <is>
          <t>1993-05-05</t>
        </is>
      </c>
      <c r="X991" t="inlineStr">
        <is>
          <t>1997-02-24</t>
        </is>
      </c>
      <c r="Y991" t="n">
        <v>51</v>
      </c>
      <c r="Z991" t="n">
        <v>46</v>
      </c>
      <c r="AA991" t="n">
        <v>1564</v>
      </c>
      <c r="AB991" t="n">
        <v>1</v>
      </c>
      <c r="AC991" t="n">
        <v>14</v>
      </c>
      <c r="AD991" t="n">
        <v>0</v>
      </c>
      <c r="AE991" t="n">
        <v>56</v>
      </c>
      <c r="AF991" t="n">
        <v>0</v>
      </c>
      <c r="AG991" t="n">
        <v>24</v>
      </c>
      <c r="AH991" t="n">
        <v>0</v>
      </c>
      <c r="AI991" t="n">
        <v>10</v>
      </c>
      <c r="AJ991" t="n">
        <v>0</v>
      </c>
      <c r="AK991" t="n">
        <v>24</v>
      </c>
      <c r="AL991" t="n">
        <v>0</v>
      </c>
      <c r="AM991" t="n">
        <v>9</v>
      </c>
      <c r="AN991" t="n">
        <v>0</v>
      </c>
      <c r="AO991" t="n">
        <v>1</v>
      </c>
      <c r="AP991" t="inlineStr">
        <is>
          <t>Yes</t>
        </is>
      </c>
      <c r="AQ991" t="inlineStr">
        <is>
          <t>No</t>
        </is>
      </c>
      <c r="AR991">
        <f>HYPERLINK("http://catalog.hathitrust.org/Record/006066804","HathiTrust Record")</f>
        <v/>
      </c>
      <c r="AS991">
        <f>HYPERLINK("https://creighton-primo.hosted.exlibrisgroup.com/primo-explore/search?tab=default_tab&amp;search_scope=EVERYTHING&amp;vid=01CRU&amp;lang=en_US&amp;offset=0&amp;query=any,contains,991000318049702656","Catalog Record")</f>
        <v/>
      </c>
      <c r="AT991">
        <f>HYPERLINK("http://www.worldcat.org/oclc/10128577","WorldCat Record")</f>
        <v/>
      </c>
      <c r="AU991" t="inlineStr">
        <is>
          <t>2949439289:eng</t>
        </is>
      </c>
      <c r="AV991" t="inlineStr">
        <is>
          <t>10128577</t>
        </is>
      </c>
      <c r="AW991" t="inlineStr">
        <is>
          <t>991000318049702656</t>
        </is>
      </c>
      <c r="AX991" t="inlineStr">
        <is>
          <t>991000318049702656</t>
        </is>
      </c>
      <c r="AY991" t="inlineStr">
        <is>
          <t>2257989960002656</t>
        </is>
      </c>
      <c r="AZ991" t="inlineStr">
        <is>
          <t>BOOK</t>
        </is>
      </c>
      <c r="BC991" t="inlineStr">
        <is>
          <t>32285001634640</t>
        </is>
      </c>
      <c r="BD991" t="inlineStr">
        <is>
          <t>893515178</t>
        </is>
      </c>
    </row>
    <row r="992">
      <c r="A992" t="inlineStr">
        <is>
          <t>No</t>
        </is>
      </c>
      <c r="B992" t="inlineStr">
        <is>
          <t>DG209 .M744</t>
        </is>
      </c>
      <c r="C992" t="inlineStr">
        <is>
          <t>0                      DG 0209000M  744</t>
        </is>
      </c>
      <c r="D992" t="inlineStr">
        <is>
          <t>The history of Rome / by Theodor Mommsen ; translated with the sanction of the author by William Purdie Dickson.</t>
        </is>
      </c>
      <c r="E992" t="inlineStr">
        <is>
          <t>V.1</t>
        </is>
      </c>
      <c r="F992" t="inlineStr">
        <is>
          <t>Yes</t>
        </is>
      </c>
      <c r="G992" t="inlineStr">
        <is>
          <t>1</t>
        </is>
      </c>
      <c r="H992" t="inlineStr">
        <is>
          <t>No</t>
        </is>
      </c>
      <c r="I992" t="inlineStr">
        <is>
          <t>Yes</t>
        </is>
      </c>
      <c r="J992" t="inlineStr">
        <is>
          <t>0</t>
        </is>
      </c>
      <c r="K992" t="inlineStr">
        <is>
          <t>Mommsen, Theodor, 1817-1903.</t>
        </is>
      </c>
      <c r="L992" t="inlineStr">
        <is>
          <t>New York : Charles Scribner's sons, 1898-</t>
        </is>
      </c>
      <c r="M992" t="inlineStr">
        <is>
          <t>1898</t>
        </is>
      </c>
      <c r="N992" t="inlineStr">
        <is>
          <t>A new edition revised throughout and embodying recent additions.</t>
        </is>
      </c>
      <c r="O992" t="inlineStr">
        <is>
          <t>eng</t>
        </is>
      </c>
      <c r="P992" t="inlineStr">
        <is>
          <t>nyu</t>
        </is>
      </c>
      <c r="R992" t="inlineStr">
        <is>
          <t xml:space="preserve">DG </t>
        </is>
      </c>
      <c r="S992" t="n">
        <v>0</v>
      </c>
      <c r="T992" t="n">
        <v>9</v>
      </c>
      <c r="V992" t="inlineStr">
        <is>
          <t>2005-04-10</t>
        </is>
      </c>
      <c r="W992" t="inlineStr">
        <is>
          <t>1993-05-05</t>
        </is>
      </c>
      <c r="X992" t="inlineStr">
        <is>
          <t>1997-02-24</t>
        </is>
      </c>
      <c r="Y992" t="n">
        <v>51</v>
      </c>
      <c r="Z992" t="n">
        <v>46</v>
      </c>
      <c r="AA992" t="n">
        <v>1564</v>
      </c>
      <c r="AB992" t="n">
        <v>1</v>
      </c>
      <c r="AC992" t="n">
        <v>14</v>
      </c>
      <c r="AD992" t="n">
        <v>0</v>
      </c>
      <c r="AE992" t="n">
        <v>56</v>
      </c>
      <c r="AF992" t="n">
        <v>0</v>
      </c>
      <c r="AG992" t="n">
        <v>24</v>
      </c>
      <c r="AH992" t="n">
        <v>0</v>
      </c>
      <c r="AI992" t="n">
        <v>10</v>
      </c>
      <c r="AJ992" t="n">
        <v>0</v>
      </c>
      <c r="AK992" t="n">
        <v>24</v>
      </c>
      <c r="AL992" t="n">
        <v>0</v>
      </c>
      <c r="AM992" t="n">
        <v>9</v>
      </c>
      <c r="AN992" t="n">
        <v>0</v>
      </c>
      <c r="AO992" t="n">
        <v>1</v>
      </c>
      <c r="AP992" t="inlineStr">
        <is>
          <t>Yes</t>
        </is>
      </c>
      <c r="AQ992" t="inlineStr">
        <is>
          <t>No</t>
        </is>
      </c>
      <c r="AR992">
        <f>HYPERLINK("http://catalog.hathitrust.org/Record/006066804","HathiTrust Record")</f>
        <v/>
      </c>
      <c r="AS992">
        <f>HYPERLINK("https://creighton-primo.hosted.exlibrisgroup.com/primo-explore/search?tab=default_tab&amp;search_scope=EVERYTHING&amp;vid=01CRU&amp;lang=en_US&amp;offset=0&amp;query=any,contains,991000318049702656","Catalog Record")</f>
        <v/>
      </c>
      <c r="AT992">
        <f>HYPERLINK("http://www.worldcat.org/oclc/10128577","WorldCat Record")</f>
        <v/>
      </c>
      <c r="AU992" t="inlineStr">
        <is>
          <t>2949439289:eng</t>
        </is>
      </c>
      <c r="AV992" t="inlineStr">
        <is>
          <t>10128577</t>
        </is>
      </c>
      <c r="AW992" t="inlineStr">
        <is>
          <t>991000318049702656</t>
        </is>
      </c>
      <c r="AX992" t="inlineStr">
        <is>
          <t>991000318049702656</t>
        </is>
      </c>
      <c r="AY992" t="inlineStr">
        <is>
          <t>2257989960002656</t>
        </is>
      </c>
      <c r="AZ992" t="inlineStr">
        <is>
          <t>BOOK</t>
        </is>
      </c>
      <c r="BC992" t="inlineStr">
        <is>
          <t>32285001634632</t>
        </is>
      </c>
      <c r="BD992" t="inlineStr">
        <is>
          <t>893527963</t>
        </is>
      </c>
    </row>
    <row r="993">
      <c r="A993" t="inlineStr">
        <is>
          <t>No</t>
        </is>
      </c>
      <c r="B993" t="inlineStr">
        <is>
          <t>DG209 .R596 2004</t>
        </is>
      </c>
      <c r="C993" t="inlineStr">
        <is>
          <t>0                      DG 0209000R  596         2004</t>
        </is>
      </c>
      <c r="D993" t="inlineStr">
        <is>
          <t>Roman imperialism : readings and sources / edited by Craige B. Champion.</t>
        </is>
      </c>
      <c r="F993" t="inlineStr">
        <is>
          <t>No</t>
        </is>
      </c>
      <c r="G993" t="inlineStr">
        <is>
          <t>1</t>
        </is>
      </c>
      <c r="H993" t="inlineStr">
        <is>
          <t>No</t>
        </is>
      </c>
      <c r="I993" t="inlineStr">
        <is>
          <t>No</t>
        </is>
      </c>
      <c r="J993" t="inlineStr">
        <is>
          <t>0</t>
        </is>
      </c>
      <c r="L993" t="inlineStr">
        <is>
          <t>Malden, Mass. : Blackwell Pub., 2004.</t>
        </is>
      </c>
      <c r="M993" t="inlineStr">
        <is>
          <t>2004</t>
        </is>
      </c>
      <c r="O993" t="inlineStr">
        <is>
          <t>eng</t>
        </is>
      </c>
      <c r="P993" t="inlineStr">
        <is>
          <t>mau</t>
        </is>
      </c>
      <c r="Q993" t="inlineStr">
        <is>
          <t>Interpreting ancient history</t>
        </is>
      </c>
      <c r="R993" t="inlineStr">
        <is>
          <t xml:space="preserve">DG </t>
        </is>
      </c>
      <c r="S993" t="n">
        <v>1</v>
      </c>
      <c r="T993" t="n">
        <v>1</v>
      </c>
      <c r="U993" t="inlineStr">
        <is>
          <t>2005-03-01</t>
        </is>
      </c>
      <c r="V993" t="inlineStr">
        <is>
          <t>2005-03-01</t>
        </is>
      </c>
      <c r="W993" t="inlineStr">
        <is>
          <t>2005-03-01</t>
        </is>
      </c>
      <c r="X993" t="inlineStr">
        <is>
          <t>2005-03-01</t>
        </is>
      </c>
      <c r="Y993" t="n">
        <v>280</v>
      </c>
      <c r="Z993" t="n">
        <v>175</v>
      </c>
      <c r="AA993" t="n">
        <v>178</v>
      </c>
      <c r="AB993" t="n">
        <v>2</v>
      </c>
      <c r="AC993" t="n">
        <v>2</v>
      </c>
      <c r="AD993" t="n">
        <v>11</v>
      </c>
      <c r="AE993" t="n">
        <v>11</v>
      </c>
      <c r="AF993" t="n">
        <v>3</v>
      </c>
      <c r="AG993" t="n">
        <v>3</v>
      </c>
      <c r="AH993" t="n">
        <v>4</v>
      </c>
      <c r="AI993" t="n">
        <v>4</v>
      </c>
      <c r="AJ993" t="n">
        <v>7</v>
      </c>
      <c r="AK993" t="n">
        <v>7</v>
      </c>
      <c r="AL993" t="n">
        <v>1</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HYPERLINK("https://creighton-primo.hosted.exlibrisgroup.com/primo-explore/search?tab=default_tab&amp;search_scope=EVERYTHING&amp;vid=01CRU&amp;lang=en_US&amp;offset=0&amp;query=any,contains,991004351149702656","Catalog Record")</f>
        <v/>
      </c>
      <c r="AT993">
        <f>HYPERLINK("http://www.worldcat.org/oclc/51931388","WorldCat Record")</f>
        <v/>
      </c>
      <c r="AU993" t="inlineStr">
        <is>
          <t>840245727:eng</t>
        </is>
      </c>
      <c r="AV993" t="inlineStr">
        <is>
          <t>51931388</t>
        </is>
      </c>
      <c r="AW993" t="inlineStr">
        <is>
          <t>991004351149702656</t>
        </is>
      </c>
      <c r="AX993" t="inlineStr">
        <is>
          <t>991004351149702656</t>
        </is>
      </c>
      <c r="AY993" t="inlineStr">
        <is>
          <t>2263220140002656</t>
        </is>
      </c>
      <c r="AZ993" t="inlineStr">
        <is>
          <t>BOOK</t>
        </is>
      </c>
      <c r="BB993" t="inlineStr">
        <is>
          <t>9780631231189</t>
        </is>
      </c>
      <c r="BC993" t="inlineStr">
        <is>
          <t>32285005028435</t>
        </is>
      </c>
      <c r="BD993" t="inlineStr">
        <is>
          <t>893599743</t>
        </is>
      </c>
    </row>
    <row r="994">
      <c r="A994" t="inlineStr">
        <is>
          <t>No</t>
        </is>
      </c>
      <c r="B994" t="inlineStr">
        <is>
          <t>DG209 .R653 1977a</t>
        </is>
      </c>
      <c r="C994" t="inlineStr">
        <is>
          <t>0                      DG 0209000R  653         1977a</t>
        </is>
      </c>
      <c r="D994" t="inlineStr">
        <is>
          <t>Rome / M. Rostovtzeff ; Translated from the Russian by J.D. Duff. Elias J. Bickerman, editor.</t>
        </is>
      </c>
      <c r="F994" t="inlineStr">
        <is>
          <t>No</t>
        </is>
      </c>
      <c r="G994" t="inlineStr">
        <is>
          <t>1</t>
        </is>
      </c>
      <c r="H994" t="inlineStr">
        <is>
          <t>No</t>
        </is>
      </c>
      <c r="I994" t="inlineStr">
        <is>
          <t>No</t>
        </is>
      </c>
      <c r="J994" t="inlineStr">
        <is>
          <t>0</t>
        </is>
      </c>
      <c r="K994" t="inlineStr">
        <is>
          <t>Rostovtzeff, Michael Ivanovitch, 1870-1952.</t>
        </is>
      </c>
      <c r="L994" t="inlineStr">
        <is>
          <t>London ; New York : Oxford University Press, 1977, c1960.</t>
        </is>
      </c>
      <c r="M994" t="inlineStr">
        <is>
          <t>1977</t>
        </is>
      </c>
      <c r="N994" t="inlineStr">
        <is>
          <t>Paperback ed.</t>
        </is>
      </c>
      <c r="O994" t="inlineStr">
        <is>
          <t>eng</t>
        </is>
      </c>
      <c r="P994" t="inlineStr">
        <is>
          <t>enk</t>
        </is>
      </c>
      <c r="R994" t="inlineStr">
        <is>
          <t xml:space="preserve">DG </t>
        </is>
      </c>
      <c r="S994" t="n">
        <v>4</v>
      </c>
      <c r="T994" t="n">
        <v>4</v>
      </c>
      <c r="U994" t="inlineStr">
        <is>
          <t>2001-09-26</t>
        </is>
      </c>
      <c r="V994" t="inlineStr">
        <is>
          <t>2001-09-26</t>
        </is>
      </c>
      <c r="W994" t="inlineStr">
        <is>
          <t>1993-02-25</t>
        </is>
      </c>
      <c r="X994" t="inlineStr">
        <is>
          <t>1993-02-25</t>
        </is>
      </c>
      <c r="Y994" t="n">
        <v>19</v>
      </c>
      <c r="Z994" t="n">
        <v>17</v>
      </c>
      <c r="AA994" t="n">
        <v>942</v>
      </c>
      <c r="AB994" t="n">
        <v>1</v>
      </c>
      <c r="AC994" t="n">
        <v>8</v>
      </c>
      <c r="AD994" t="n">
        <v>1</v>
      </c>
      <c r="AE994" t="n">
        <v>38</v>
      </c>
      <c r="AF994" t="n">
        <v>0</v>
      </c>
      <c r="AG994" t="n">
        <v>16</v>
      </c>
      <c r="AH994" t="n">
        <v>0</v>
      </c>
      <c r="AI994" t="n">
        <v>6</v>
      </c>
      <c r="AJ994" t="n">
        <v>1</v>
      </c>
      <c r="AK994" t="n">
        <v>17</v>
      </c>
      <c r="AL994" t="n">
        <v>0</v>
      </c>
      <c r="AM994" t="n">
        <v>5</v>
      </c>
      <c r="AN994" t="n">
        <v>0</v>
      </c>
      <c r="AO994" t="n">
        <v>1</v>
      </c>
      <c r="AP994" t="inlineStr">
        <is>
          <t>No</t>
        </is>
      </c>
      <c r="AQ994" t="inlineStr">
        <is>
          <t>No</t>
        </is>
      </c>
      <c r="AS994">
        <f>HYPERLINK("https://creighton-primo.hosted.exlibrisgroup.com/primo-explore/search?tab=default_tab&amp;search_scope=EVERYTHING&amp;vid=01CRU&amp;lang=en_US&amp;offset=0&amp;query=any,contains,991004456369702656","Catalog Record")</f>
        <v/>
      </c>
      <c r="AT994">
        <f>HYPERLINK("http://www.worldcat.org/oclc/3529303","WorldCat Record")</f>
        <v/>
      </c>
      <c r="AU994" t="inlineStr">
        <is>
          <t>2945954245:eng</t>
        </is>
      </c>
      <c r="AV994" t="inlineStr">
        <is>
          <t>3529303</t>
        </is>
      </c>
      <c r="AW994" t="inlineStr">
        <is>
          <t>991004456369702656</t>
        </is>
      </c>
      <c r="AX994" t="inlineStr">
        <is>
          <t>991004456369702656</t>
        </is>
      </c>
      <c r="AY994" t="inlineStr">
        <is>
          <t>2258875640002656</t>
        </is>
      </c>
      <c r="AZ994" t="inlineStr">
        <is>
          <t>BOOK</t>
        </is>
      </c>
      <c r="BC994" t="inlineStr">
        <is>
          <t>32285001538502</t>
        </is>
      </c>
      <c r="BD994" t="inlineStr">
        <is>
          <t>893593700</t>
        </is>
      </c>
    </row>
    <row r="995">
      <c r="A995" t="inlineStr">
        <is>
          <t>No</t>
        </is>
      </c>
      <c r="B995" t="inlineStr">
        <is>
          <t>DG209 .T5 1972</t>
        </is>
      </c>
      <c r="C995" t="inlineStr">
        <is>
          <t>0                      DG 0209000T  5           1972</t>
        </is>
      </c>
      <c r="D995" t="inlineStr">
        <is>
          <t>These were the romans / by G.I.F. Tingay and J. Badcock.</t>
        </is>
      </c>
      <c r="F995" t="inlineStr">
        <is>
          <t>No</t>
        </is>
      </c>
      <c r="G995" t="inlineStr">
        <is>
          <t>1</t>
        </is>
      </c>
      <c r="H995" t="inlineStr">
        <is>
          <t>No</t>
        </is>
      </c>
      <c r="I995" t="inlineStr">
        <is>
          <t>No</t>
        </is>
      </c>
      <c r="J995" t="inlineStr">
        <is>
          <t>0</t>
        </is>
      </c>
      <c r="K995" t="inlineStr">
        <is>
          <t>Tingay, Graham.</t>
        </is>
      </c>
      <c r="L995" t="inlineStr">
        <is>
          <t>Amersham, Bucks (Eng.) : Hulton Educational Publications ; United States dist. Dufour Editions, Inc., 1972, 1985 printing.</t>
        </is>
      </c>
      <c r="M995" t="inlineStr">
        <is>
          <t>1972</t>
        </is>
      </c>
      <c r="O995" t="inlineStr">
        <is>
          <t>eng</t>
        </is>
      </c>
      <c r="P995" t="inlineStr">
        <is>
          <t>enk</t>
        </is>
      </c>
      <c r="R995" t="inlineStr">
        <is>
          <t xml:space="preserve">DG </t>
        </is>
      </c>
      <c r="S995" t="n">
        <v>5</v>
      </c>
      <c r="T995" t="n">
        <v>5</v>
      </c>
      <c r="U995" t="inlineStr">
        <is>
          <t>2002-02-19</t>
        </is>
      </c>
      <c r="V995" t="inlineStr">
        <is>
          <t>2002-02-19</t>
        </is>
      </c>
      <c r="W995" t="inlineStr">
        <is>
          <t>1991-03-27</t>
        </is>
      </c>
      <c r="X995" t="inlineStr">
        <is>
          <t>1991-03-27</t>
        </is>
      </c>
      <c r="Y995" t="n">
        <v>80</v>
      </c>
      <c r="Z995" t="n">
        <v>47</v>
      </c>
      <c r="AA995" t="n">
        <v>344</v>
      </c>
      <c r="AB995" t="n">
        <v>1</v>
      </c>
      <c r="AC995" t="n">
        <v>2</v>
      </c>
      <c r="AD995" t="n">
        <v>2</v>
      </c>
      <c r="AE995" t="n">
        <v>9</v>
      </c>
      <c r="AF995" t="n">
        <v>1</v>
      </c>
      <c r="AG995" t="n">
        <v>5</v>
      </c>
      <c r="AH995" t="n">
        <v>0</v>
      </c>
      <c r="AI995" t="n">
        <v>3</v>
      </c>
      <c r="AJ995" t="n">
        <v>1</v>
      </c>
      <c r="AK995" t="n">
        <v>2</v>
      </c>
      <c r="AL995" t="n">
        <v>0</v>
      </c>
      <c r="AM995" t="n">
        <v>0</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HYPERLINK("https://creighton-primo.hosted.exlibrisgroup.com/primo-explore/search?tab=default_tab&amp;search_scope=EVERYTHING&amp;vid=01CRU&amp;lang=en_US&amp;offset=0&amp;query=any,contains,991004549289702656","Catalog Record")</f>
        <v/>
      </c>
      <c r="AT995">
        <f>HYPERLINK("http://www.worldcat.org/oclc/3929824","WorldCat Record")</f>
        <v/>
      </c>
      <c r="AU995" t="inlineStr">
        <is>
          <t>7678115:eng</t>
        </is>
      </c>
      <c r="AV995" t="inlineStr">
        <is>
          <t>3929824</t>
        </is>
      </c>
      <c r="AW995" t="inlineStr">
        <is>
          <t>991004549289702656</t>
        </is>
      </c>
      <c r="AX995" t="inlineStr">
        <is>
          <t>991004549289702656</t>
        </is>
      </c>
      <c r="AY995" t="inlineStr">
        <is>
          <t>2261997240002656</t>
        </is>
      </c>
      <c r="AZ995" t="inlineStr">
        <is>
          <t>BOOK</t>
        </is>
      </c>
      <c r="BB995" t="inlineStr">
        <is>
          <t>9780717505913</t>
        </is>
      </c>
      <c r="BC995" t="inlineStr">
        <is>
          <t>32285000521442</t>
        </is>
      </c>
      <c r="BD995" t="inlineStr">
        <is>
          <t>893700385</t>
        </is>
      </c>
    </row>
    <row r="996">
      <c r="A996" t="inlineStr">
        <is>
          <t>No</t>
        </is>
      </c>
      <c r="B996" t="inlineStr">
        <is>
          <t>DG209 .V45 1998</t>
        </is>
      </c>
      <c r="C996" t="inlineStr">
        <is>
          <t>0                      DG 0209000V  45          1998</t>
        </is>
      </c>
      <c r="D996" t="inlineStr">
        <is>
          <t>Vellei Paterculi Historiarum ad M. Vinicium Consulem libri duo / recognovit W.S. Watt.</t>
        </is>
      </c>
      <c r="F996" t="inlineStr">
        <is>
          <t>No</t>
        </is>
      </c>
      <c r="G996" t="inlineStr">
        <is>
          <t>1</t>
        </is>
      </c>
      <c r="H996" t="inlineStr">
        <is>
          <t>No</t>
        </is>
      </c>
      <c r="I996" t="inlineStr">
        <is>
          <t>No</t>
        </is>
      </c>
      <c r="J996" t="inlineStr">
        <is>
          <t>0</t>
        </is>
      </c>
      <c r="K996" t="inlineStr">
        <is>
          <t>Velleius Paterculus, approximately 19 B.C.-approximately 30 A.D.</t>
        </is>
      </c>
      <c r="L996" t="inlineStr">
        <is>
          <t>Stuttgart ; Leipzig : Teubner, 1998.</t>
        </is>
      </c>
      <c r="M996" t="inlineStr">
        <is>
          <t>1998</t>
        </is>
      </c>
      <c r="N996" t="inlineStr">
        <is>
          <t>Ed. corr. ed. primae.</t>
        </is>
      </c>
      <c r="O996" t="inlineStr">
        <is>
          <t>lat</t>
        </is>
      </c>
      <c r="P996" t="inlineStr">
        <is>
          <t xml:space="preserve">gw </t>
        </is>
      </c>
      <c r="Q996" t="inlineStr">
        <is>
          <t>Bibliotheca scriptorum Graecorum et Romanorum Teubneriana</t>
        </is>
      </c>
      <c r="R996" t="inlineStr">
        <is>
          <t xml:space="preserve">DG </t>
        </is>
      </c>
      <c r="S996" t="n">
        <v>1</v>
      </c>
      <c r="T996" t="n">
        <v>1</v>
      </c>
      <c r="U996" t="inlineStr">
        <is>
          <t>2004-09-30</t>
        </is>
      </c>
      <c r="V996" t="inlineStr">
        <is>
          <t>2004-09-30</t>
        </is>
      </c>
      <c r="W996" t="inlineStr">
        <is>
          <t>2004-09-30</t>
        </is>
      </c>
      <c r="X996" t="inlineStr">
        <is>
          <t>2004-09-30</t>
        </is>
      </c>
      <c r="Y996" t="n">
        <v>44</v>
      </c>
      <c r="Z996" t="n">
        <v>30</v>
      </c>
      <c r="AA996" t="n">
        <v>135</v>
      </c>
      <c r="AB996" t="n">
        <v>1</v>
      </c>
      <c r="AC996" t="n">
        <v>3</v>
      </c>
      <c r="AD996" t="n">
        <v>1</v>
      </c>
      <c r="AE996" t="n">
        <v>10</v>
      </c>
      <c r="AF996" t="n">
        <v>0</v>
      </c>
      <c r="AG996" t="n">
        <v>0</v>
      </c>
      <c r="AH996" t="n">
        <v>1</v>
      </c>
      <c r="AI996" t="n">
        <v>4</v>
      </c>
      <c r="AJ996" t="n">
        <v>0</v>
      </c>
      <c r="AK996" t="n">
        <v>6</v>
      </c>
      <c r="AL996" t="n">
        <v>0</v>
      </c>
      <c r="AM996" t="n">
        <v>2</v>
      </c>
      <c r="AN996" t="n">
        <v>0</v>
      </c>
      <c r="AO996" t="n">
        <v>0</v>
      </c>
      <c r="AP996" t="inlineStr">
        <is>
          <t>No</t>
        </is>
      </c>
      <c r="AQ996" t="inlineStr">
        <is>
          <t>Yes</t>
        </is>
      </c>
      <c r="AR996">
        <f>HYPERLINK("http://catalog.hathitrust.org/Record/007137482","HathiTrust Record")</f>
        <v/>
      </c>
      <c r="AS996">
        <f>HYPERLINK("https://creighton-primo.hosted.exlibrisgroup.com/primo-explore/search?tab=default_tab&amp;search_scope=EVERYTHING&amp;vid=01CRU&amp;lang=en_US&amp;offset=0&amp;query=any,contains,991004389979702656","Catalog Record")</f>
        <v/>
      </c>
      <c r="AT996">
        <f>HYPERLINK("http://www.worldcat.org/oclc/39779835","WorldCat Record")</f>
        <v/>
      </c>
      <c r="AU996" t="inlineStr">
        <is>
          <t>2754398210:lat</t>
        </is>
      </c>
      <c r="AV996" t="inlineStr">
        <is>
          <t>39779835</t>
        </is>
      </c>
      <c r="AW996" t="inlineStr">
        <is>
          <t>991004389979702656</t>
        </is>
      </c>
      <c r="AX996" t="inlineStr">
        <is>
          <t>991004389979702656</t>
        </is>
      </c>
      <c r="AY996" t="inlineStr">
        <is>
          <t>2271823600002656</t>
        </is>
      </c>
      <c r="AZ996" t="inlineStr">
        <is>
          <t>BOOK</t>
        </is>
      </c>
      <c r="BB996" t="inlineStr">
        <is>
          <t>9783815418734</t>
        </is>
      </c>
      <c r="BC996" t="inlineStr">
        <is>
          <t>32285004989835</t>
        </is>
      </c>
      <c r="BD996" t="inlineStr">
        <is>
          <t>893259670</t>
        </is>
      </c>
    </row>
    <row r="997">
      <c r="A997" t="inlineStr">
        <is>
          <t>No</t>
        </is>
      </c>
      <c r="B997" t="inlineStr">
        <is>
          <t>DG210 .M94</t>
        </is>
      </c>
      <c r="C997" t="inlineStr">
        <is>
          <t>0                      DG 0210000M  94</t>
        </is>
      </c>
      <c r="D997" t="inlineStr">
        <is>
          <t>A source book of Roman history, by Dana Carleton Munro ...</t>
        </is>
      </c>
      <c r="F997" t="inlineStr">
        <is>
          <t>No</t>
        </is>
      </c>
      <c r="G997" t="inlineStr">
        <is>
          <t>1</t>
        </is>
      </c>
      <c r="H997" t="inlineStr">
        <is>
          <t>No</t>
        </is>
      </c>
      <c r="I997" t="inlineStr">
        <is>
          <t>No</t>
        </is>
      </c>
      <c r="J997" t="inlineStr">
        <is>
          <t>0</t>
        </is>
      </c>
      <c r="K997" t="inlineStr">
        <is>
          <t>Munro, Dana Carleton, 1866-1933.</t>
        </is>
      </c>
      <c r="L997" t="inlineStr">
        <is>
          <t>Boston, Heath, 1904.</t>
        </is>
      </c>
      <c r="M997" t="inlineStr">
        <is>
          <t>1904</t>
        </is>
      </c>
      <c r="O997" t="inlineStr">
        <is>
          <t>eng</t>
        </is>
      </c>
      <c r="P997" t="inlineStr">
        <is>
          <t>mau</t>
        </is>
      </c>
      <c r="R997" t="inlineStr">
        <is>
          <t xml:space="preserve">DG </t>
        </is>
      </c>
      <c r="S997" t="n">
        <v>2</v>
      </c>
      <c r="T997" t="n">
        <v>2</v>
      </c>
      <c r="U997" t="inlineStr">
        <is>
          <t>2003-09-12</t>
        </is>
      </c>
      <c r="V997" t="inlineStr">
        <is>
          <t>2003-09-12</t>
        </is>
      </c>
      <c r="W997" t="inlineStr">
        <is>
          <t>1997-02-03</t>
        </is>
      </c>
      <c r="X997" t="inlineStr">
        <is>
          <t>1997-02-03</t>
        </is>
      </c>
      <c r="Y997" t="n">
        <v>380</v>
      </c>
      <c r="Z997" t="n">
        <v>359</v>
      </c>
      <c r="AA997" t="n">
        <v>400</v>
      </c>
      <c r="AB997" t="n">
        <v>2</v>
      </c>
      <c r="AC997" t="n">
        <v>3</v>
      </c>
      <c r="AD997" t="n">
        <v>19</v>
      </c>
      <c r="AE997" t="n">
        <v>20</v>
      </c>
      <c r="AF997" t="n">
        <v>8</v>
      </c>
      <c r="AG997" t="n">
        <v>8</v>
      </c>
      <c r="AH997" t="n">
        <v>4</v>
      </c>
      <c r="AI997" t="n">
        <v>4</v>
      </c>
      <c r="AJ997" t="n">
        <v>11</v>
      </c>
      <c r="AK997" t="n">
        <v>11</v>
      </c>
      <c r="AL997" t="n">
        <v>1</v>
      </c>
      <c r="AM997" t="n">
        <v>2</v>
      </c>
      <c r="AN997" t="n">
        <v>0</v>
      </c>
      <c r="AO997" t="n">
        <v>0</v>
      </c>
      <c r="AP997" t="inlineStr">
        <is>
          <t>Yes</t>
        </is>
      </c>
      <c r="AQ997" t="inlineStr">
        <is>
          <t>No</t>
        </is>
      </c>
      <c r="AR997">
        <f>HYPERLINK("http://catalog.hathitrust.org/Record/003325397","HathiTrust Record")</f>
        <v/>
      </c>
      <c r="AS997">
        <f>HYPERLINK("https://creighton-primo.hosted.exlibrisgroup.com/primo-explore/search?tab=default_tab&amp;search_scope=EVERYTHING&amp;vid=01CRU&amp;lang=en_US&amp;offset=0&amp;query=any,contains,991004132419702656","Catalog Record")</f>
        <v/>
      </c>
      <c r="AT997">
        <f>HYPERLINK("http://www.worldcat.org/oclc/2475040","WorldCat Record")</f>
        <v/>
      </c>
      <c r="AU997" t="inlineStr">
        <is>
          <t>1372104:eng</t>
        </is>
      </c>
      <c r="AV997" t="inlineStr">
        <is>
          <t>2475040</t>
        </is>
      </c>
      <c r="AW997" t="inlineStr">
        <is>
          <t>991004132419702656</t>
        </is>
      </c>
      <c r="AX997" t="inlineStr">
        <is>
          <t>991004132419702656</t>
        </is>
      </c>
      <c r="AY997" t="inlineStr">
        <is>
          <t>2259233140002656</t>
        </is>
      </c>
      <c r="AZ997" t="inlineStr">
        <is>
          <t>BOOK</t>
        </is>
      </c>
      <c r="BC997" t="inlineStr">
        <is>
          <t>32285002420064</t>
        </is>
      </c>
      <c r="BD997" t="inlineStr">
        <is>
          <t>893693564</t>
        </is>
      </c>
    </row>
    <row r="998">
      <c r="A998" t="inlineStr">
        <is>
          <t>No</t>
        </is>
      </c>
      <c r="B998" t="inlineStr">
        <is>
          <t>DG211 .B56 2006</t>
        </is>
      </c>
      <c r="C998" t="inlineStr">
        <is>
          <t>0                      DG 0211000B  56          2006</t>
        </is>
      </c>
      <c r="D998" t="inlineStr">
        <is>
          <t>Rome, inc. : the rise and fall of the first multinational corporation / Stanley Bing.</t>
        </is>
      </c>
      <c r="F998" t="inlineStr">
        <is>
          <t>No</t>
        </is>
      </c>
      <c r="G998" t="inlineStr">
        <is>
          <t>1</t>
        </is>
      </c>
      <c r="H998" t="inlineStr">
        <is>
          <t>No</t>
        </is>
      </c>
      <c r="I998" t="inlineStr">
        <is>
          <t>No</t>
        </is>
      </c>
      <c r="J998" t="inlineStr">
        <is>
          <t>0</t>
        </is>
      </c>
      <c r="K998" t="inlineStr">
        <is>
          <t>Bing, Stanley.</t>
        </is>
      </c>
      <c r="L998" t="inlineStr">
        <is>
          <t>New York : Norton, c2006.</t>
        </is>
      </c>
      <c r="M998" t="inlineStr">
        <is>
          <t>2006</t>
        </is>
      </c>
      <c r="N998" t="inlineStr">
        <is>
          <t>1st. ed.</t>
        </is>
      </c>
      <c r="O998" t="inlineStr">
        <is>
          <t>eng</t>
        </is>
      </c>
      <c r="P998" t="inlineStr">
        <is>
          <t>nyu</t>
        </is>
      </c>
      <c r="Q998" t="inlineStr">
        <is>
          <t>Enterprise</t>
        </is>
      </c>
      <c r="R998" t="inlineStr">
        <is>
          <t xml:space="preserve">DG </t>
        </is>
      </c>
      <c r="S998" t="n">
        <v>4</v>
      </c>
      <c r="T998" t="n">
        <v>4</v>
      </c>
      <c r="U998" t="inlineStr">
        <is>
          <t>2007-09-12</t>
        </is>
      </c>
      <c r="V998" t="inlineStr">
        <is>
          <t>2007-09-12</t>
        </is>
      </c>
      <c r="W998" t="inlineStr">
        <is>
          <t>2006-02-15</t>
        </is>
      </c>
      <c r="X998" t="inlineStr">
        <is>
          <t>2006-02-15</t>
        </is>
      </c>
      <c r="Y998" t="n">
        <v>578</v>
      </c>
      <c r="Z998" t="n">
        <v>517</v>
      </c>
      <c r="AA998" t="n">
        <v>523</v>
      </c>
      <c r="AB998" t="n">
        <v>6</v>
      </c>
      <c r="AC998" t="n">
        <v>6</v>
      </c>
      <c r="AD998" t="n">
        <v>15</v>
      </c>
      <c r="AE998" t="n">
        <v>15</v>
      </c>
      <c r="AF998" t="n">
        <v>7</v>
      </c>
      <c r="AG998" t="n">
        <v>7</v>
      </c>
      <c r="AH998" t="n">
        <v>2</v>
      </c>
      <c r="AI998" t="n">
        <v>2</v>
      </c>
      <c r="AJ998" t="n">
        <v>7</v>
      </c>
      <c r="AK998" t="n">
        <v>7</v>
      </c>
      <c r="AL998" t="n">
        <v>3</v>
      </c>
      <c r="AM998" t="n">
        <v>3</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HYPERLINK("https://creighton-primo.hosted.exlibrisgroup.com/primo-explore/search?tab=default_tab&amp;search_scope=EVERYTHING&amp;vid=01CRU&amp;lang=en_US&amp;offset=0&amp;query=any,contains,991004742909702656","Catalog Record")</f>
        <v/>
      </c>
      <c r="AT998">
        <f>HYPERLINK("http://www.worldcat.org/oclc/63229696","WorldCat Record")</f>
        <v/>
      </c>
      <c r="AU998" t="inlineStr">
        <is>
          <t>197278126:eng</t>
        </is>
      </c>
      <c r="AV998" t="inlineStr">
        <is>
          <t>63229696</t>
        </is>
      </c>
      <c r="AW998" t="inlineStr">
        <is>
          <t>991004742909702656</t>
        </is>
      </c>
      <c r="AX998" t="inlineStr">
        <is>
          <t>991004742909702656</t>
        </is>
      </c>
      <c r="AY998" t="inlineStr">
        <is>
          <t>2272808520002656</t>
        </is>
      </c>
      <c r="AZ998" t="inlineStr">
        <is>
          <t>BOOK</t>
        </is>
      </c>
      <c r="BB998" t="inlineStr">
        <is>
          <t>9780393060263</t>
        </is>
      </c>
      <c r="BC998" t="inlineStr">
        <is>
          <t>32285005165500</t>
        </is>
      </c>
      <c r="BD998" t="inlineStr">
        <is>
          <t>893442997</t>
        </is>
      </c>
    </row>
    <row r="999">
      <c r="A999" t="inlineStr">
        <is>
          <t>No</t>
        </is>
      </c>
      <c r="B999" t="inlineStr">
        <is>
          <t>DG211 .L5</t>
        </is>
      </c>
      <c r="C999" t="inlineStr">
        <is>
          <t>0                      DG 0211000L  5</t>
        </is>
      </c>
      <c r="D999" t="inlineStr">
        <is>
          <t>Violence in republican Rome, by A. W. Lintott.</t>
        </is>
      </c>
      <c r="F999" t="inlineStr">
        <is>
          <t>No</t>
        </is>
      </c>
      <c r="G999" t="inlineStr">
        <is>
          <t>1</t>
        </is>
      </c>
      <c r="H999" t="inlineStr">
        <is>
          <t>No</t>
        </is>
      </c>
      <c r="I999" t="inlineStr">
        <is>
          <t>No</t>
        </is>
      </c>
      <c r="J999" t="inlineStr">
        <is>
          <t>0</t>
        </is>
      </c>
      <c r="K999" t="inlineStr">
        <is>
          <t>Lintott, A. W. (Andrew William)</t>
        </is>
      </c>
      <c r="L999" t="inlineStr">
        <is>
          <t>Oxford, Clarendon P., 1968.</t>
        </is>
      </c>
      <c r="M999" t="inlineStr">
        <is>
          <t>1968</t>
        </is>
      </c>
      <c r="O999" t="inlineStr">
        <is>
          <t>eng</t>
        </is>
      </c>
      <c r="P999" t="inlineStr">
        <is>
          <t>enk</t>
        </is>
      </c>
      <c r="R999" t="inlineStr">
        <is>
          <t xml:space="preserve">DG </t>
        </is>
      </c>
      <c r="S999" t="n">
        <v>1</v>
      </c>
      <c r="T999" t="n">
        <v>1</v>
      </c>
      <c r="U999" t="inlineStr">
        <is>
          <t>2005-04-10</t>
        </is>
      </c>
      <c r="V999" t="inlineStr">
        <is>
          <t>2005-04-10</t>
        </is>
      </c>
      <c r="W999" t="inlineStr">
        <is>
          <t>1997-02-03</t>
        </is>
      </c>
      <c r="X999" t="inlineStr">
        <is>
          <t>1997-02-03</t>
        </is>
      </c>
      <c r="Y999" t="n">
        <v>723</v>
      </c>
      <c r="Z999" t="n">
        <v>552</v>
      </c>
      <c r="AA999" t="n">
        <v>628</v>
      </c>
      <c r="AB999" t="n">
        <v>4</v>
      </c>
      <c r="AC999" t="n">
        <v>4</v>
      </c>
      <c r="AD999" t="n">
        <v>28</v>
      </c>
      <c r="AE999" t="n">
        <v>34</v>
      </c>
      <c r="AF999" t="n">
        <v>7</v>
      </c>
      <c r="AG999" t="n">
        <v>11</v>
      </c>
      <c r="AH999" t="n">
        <v>7</v>
      </c>
      <c r="AI999" t="n">
        <v>8</v>
      </c>
      <c r="AJ999" t="n">
        <v>14</v>
      </c>
      <c r="AK999" t="n">
        <v>18</v>
      </c>
      <c r="AL999" t="n">
        <v>3</v>
      </c>
      <c r="AM999" t="n">
        <v>3</v>
      </c>
      <c r="AN999" t="n">
        <v>3</v>
      </c>
      <c r="AO999" t="n">
        <v>3</v>
      </c>
      <c r="AP999" t="inlineStr">
        <is>
          <t>No</t>
        </is>
      </c>
      <c r="AQ999" t="inlineStr">
        <is>
          <t>Yes</t>
        </is>
      </c>
      <c r="AR999">
        <f>HYPERLINK("http://catalog.hathitrust.org/Record/000612349","HathiTrust Record")</f>
        <v/>
      </c>
      <c r="AS999">
        <f>HYPERLINK("https://creighton-primo.hosted.exlibrisgroup.com/primo-explore/search?tab=default_tab&amp;search_scope=EVERYTHING&amp;vid=01CRU&amp;lang=en_US&amp;offset=0&amp;query=any,contains,991000098329702656","Catalog Record")</f>
        <v/>
      </c>
      <c r="AT999">
        <f>HYPERLINK("http://www.worldcat.org/oclc/43218","WorldCat Record")</f>
        <v/>
      </c>
      <c r="AU999" t="inlineStr">
        <is>
          <t>1212459:eng</t>
        </is>
      </c>
      <c r="AV999" t="inlineStr">
        <is>
          <t>43218</t>
        </is>
      </c>
      <c r="AW999" t="inlineStr">
        <is>
          <t>991000098329702656</t>
        </is>
      </c>
      <c r="AX999" t="inlineStr">
        <is>
          <t>991000098329702656</t>
        </is>
      </c>
      <c r="AY999" t="inlineStr">
        <is>
          <t>2260600840002656</t>
        </is>
      </c>
      <c r="AZ999" t="inlineStr">
        <is>
          <t>BOOK</t>
        </is>
      </c>
      <c r="BB999" t="inlineStr">
        <is>
          <t>9780198142676</t>
        </is>
      </c>
      <c r="BC999" t="inlineStr">
        <is>
          <t>32285002420114</t>
        </is>
      </c>
      <c r="BD999" t="inlineStr">
        <is>
          <t>893333209</t>
        </is>
      </c>
    </row>
    <row r="1000">
      <c r="A1000" t="inlineStr">
        <is>
          <t>No</t>
        </is>
      </c>
      <c r="B1000" t="inlineStr">
        <is>
          <t>DG211 .P2</t>
        </is>
      </c>
      <c r="C1000" t="inlineStr">
        <is>
          <t>0                      DG 0211000P  2</t>
        </is>
      </c>
      <c r="D1000" t="inlineStr">
        <is>
          <t>Ancient legends of Roman history / by Ettore Pais ; translated by Mario E. Cosenza.</t>
        </is>
      </c>
      <c r="F1000" t="inlineStr">
        <is>
          <t>No</t>
        </is>
      </c>
      <c r="G1000" t="inlineStr">
        <is>
          <t>1</t>
        </is>
      </c>
      <c r="H1000" t="inlineStr">
        <is>
          <t>No</t>
        </is>
      </c>
      <c r="I1000" t="inlineStr">
        <is>
          <t>No</t>
        </is>
      </c>
      <c r="J1000" t="inlineStr">
        <is>
          <t>0</t>
        </is>
      </c>
      <c r="K1000" t="inlineStr">
        <is>
          <t>Pais, Ettore, 1856-1939.</t>
        </is>
      </c>
      <c r="L1000" t="inlineStr">
        <is>
          <t>London : Swan Sonnenschein, 1906.</t>
        </is>
      </c>
      <c r="M1000" t="inlineStr">
        <is>
          <t>1906</t>
        </is>
      </c>
      <c r="O1000" t="inlineStr">
        <is>
          <t>eng</t>
        </is>
      </c>
      <c r="P1000" t="inlineStr">
        <is>
          <t>enk</t>
        </is>
      </c>
      <c r="R1000" t="inlineStr">
        <is>
          <t xml:space="preserve">DG </t>
        </is>
      </c>
      <c r="S1000" t="n">
        <v>4</v>
      </c>
      <c r="T1000" t="n">
        <v>4</v>
      </c>
      <c r="U1000" t="inlineStr">
        <is>
          <t>2003-09-12</t>
        </is>
      </c>
      <c r="V1000" t="inlineStr">
        <is>
          <t>2003-09-12</t>
        </is>
      </c>
      <c r="W1000" t="inlineStr">
        <is>
          <t>1997-02-03</t>
        </is>
      </c>
      <c r="X1000" t="inlineStr">
        <is>
          <t>1997-02-03</t>
        </is>
      </c>
      <c r="Y1000" t="n">
        <v>124</v>
      </c>
      <c r="Z1000" t="n">
        <v>76</v>
      </c>
      <c r="AA1000" t="n">
        <v>314</v>
      </c>
      <c r="AB1000" t="n">
        <v>1</v>
      </c>
      <c r="AC1000" t="n">
        <v>3</v>
      </c>
      <c r="AD1000" t="n">
        <v>7</v>
      </c>
      <c r="AE1000" t="n">
        <v>15</v>
      </c>
      <c r="AF1000" t="n">
        <v>3</v>
      </c>
      <c r="AG1000" t="n">
        <v>6</v>
      </c>
      <c r="AH1000" t="n">
        <v>0</v>
      </c>
      <c r="AI1000" t="n">
        <v>2</v>
      </c>
      <c r="AJ1000" t="n">
        <v>6</v>
      </c>
      <c r="AK1000" t="n">
        <v>10</v>
      </c>
      <c r="AL1000" t="n">
        <v>0</v>
      </c>
      <c r="AM1000" t="n">
        <v>2</v>
      </c>
      <c r="AN1000" t="n">
        <v>0</v>
      </c>
      <c r="AO1000" t="n">
        <v>0</v>
      </c>
      <c r="AP1000" t="inlineStr">
        <is>
          <t>Yes</t>
        </is>
      </c>
      <c r="AQ1000" t="inlineStr">
        <is>
          <t>No</t>
        </is>
      </c>
      <c r="AR1000">
        <f>HYPERLINK("http://catalog.hathitrust.org/Record/000654602","HathiTrust Record")</f>
        <v/>
      </c>
      <c r="AS1000">
        <f>HYPERLINK("https://creighton-primo.hosted.exlibrisgroup.com/primo-explore/search?tab=default_tab&amp;search_scope=EVERYTHING&amp;vid=01CRU&amp;lang=en_US&amp;offset=0&amp;query=any,contains,991004636689702656","Catalog Record")</f>
        <v/>
      </c>
      <c r="AT1000">
        <f>HYPERLINK("http://www.worldcat.org/oclc/4418947","WorldCat Record")</f>
        <v/>
      </c>
      <c r="AU1000" t="inlineStr">
        <is>
          <t>1417127:eng</t>
        </is>
      </c>
      <c r="AV1000" t="inlineStr">
        <is>
          <t>4418947</t>
        </is>
      </c>
      <c r="AW1000" t="inlineStr">
        <is>
          <t>991004636689702656</t>
        </is>
      </c>
      <c r="AX1000" t="inlineStr">
        <is>
          <t>991004636689702656</t>
        </is>
      </c>
      <c r="AY1000" t="inlineStr">
        <is>
          <t>2257269990002656</t>
        </is>
      </c>
      <c r="AZ1000" t="inlineStr">
        <is>
          <t>BOOK</t>
        </is>
      </c>
      <c r="BC1000" t="inlineStr">
        <is>
          <t>32285002420122</t>
        </is>
      </c>
      <c r="BD1000" t="inlineStr">
        <is>
          <t>893526339</t>
        </is>
      </c>
    </row>
    <row r="1001">
      <c r="A1001" t="inlineStr">
        <is>
          <t>No</t>
        </is>
      </c>
      <c r="B1001" t="inlineStr">
        <is>
          <t>DG213 .C45</t>
        </is>
      </c>
      <c r="C1001" t="inlineStr">
        <is>
          <t>0                      DG 0213000C  45</t>
        </is>
      </c>
      <c r="D1001" t="inlineStr">
        <is>
          <t>Consulting the Romans : an analogy between ancient Rome and present-day America / Stringfellow Barr ; followed by a discussion [by W. H. Ferry and others.</t>
        </is>
      </c>
      <c r="F1001" t="inlineStr">
        <is>
          <t>No</t>
        </is>
      </c>
      <c r="G1001" t="inlineStr">
        <is>
          <t>1</t>
        </is>
      </c>
      <c r="H1001" t="inlineStr">
        <is>
          <t>No</t>
        </is>
      </c>
      <c r="I1001" t="inlineStr">
        <is>
          <t>No</t>
        </is>
      </c>
      <c r="J1001" t="inlineStr">
        <is>
          <t>0</t>
        </is>
      </c>
      <c r="K1001" t="inlineStr">
        <is>
          <t>Center for the Study of Democratic Institutions.</t>
        </is>
      </c>
      <c r="M1001" t="inlineStr">
        <is>
          <t>1967</t>
        </is>
      </c>
      <c r="O1001" t="inlineStr">
        <is>
          <t>eng</t>
        </is>
      </c>
      <c r="P1001" t="inlineStr">
        <is>
          <t>cau</t>
        </is>
      </c>
      <c r="Q1001" t="inlineStr">
        <is>
          <t>Its Occasional papers</t>
        </is>
      </c>
      <c r="R1001" t="inlineStr">
        <is>
          <t xml:space="preserve">DG </t>
        </is>
      </c>
      <c r="S1001" t="n">
        <v>1</v>
      </c>
      <c r="T1001" t="n">
        <v>1</v>
      </c>
      <c r="U1001" t="inlineStr">
        <is>
          <t>2002-12-07</t>
        </is>
      </c>
      <c r="V1001" t="inlineStr">
        <is>
          <t>2002-12-07</t>
        </is>
      </c>
      <c r="W1001" t="inlineStr">
        <is>
          <t>1997-02-03</t>
        </is>
      </c>
      <c r="X1001" t="inlineStr">
        <is>
          <t>1997-02-03</t>
        </is>
      </c>
      <c r="Y1001" t="n">
        <v>220</v>
      </c>
      <c r="Z1001" t="n">
        <v>207</v>
      </c>
      <c r="AA1001" t="n">
        <v>210</v>
      </c>
      <c r="AB1001" t="n">
        <v>2</v>
      </c>
      <c r="AC1001" t="n">
        <v>2</v>
      </c>
      <c r="AD1001" t="n">
        <v>9</v>
      </c>
      <c r="AE1001" t="n">
        <v>9</v>
      </c>
      <c r="AF1001" t="n">
        <v>4</v>
      </c>
      <c r="AG1001" t="n">
        <v>4</v>
      </c>
      <c r="AH1001" t="n">
        <v>0</v>
      </c>
      <c r="AI1001" t="n">
        <v>0</v>
      </c>
      <c r="AJ1001" t="n">
        <v>3</v>
      </c>
      <c r="AK1001" t="n">
        <v>3</v>
      </c>
      <c r="AL1001" t="n">
        <v>1</v>
      </c>
      <c r="AM1001" t="n">
        <v>1</v>
      </c>
      <c r="AN1001" t="n">
        <v>2</v>
      </c>
      <c r="AO1001" t="n">
        <v>2</v>
      </c>
      <c r="AP1001" t="inlineStr">
        <is>
          <t>No</t>
        </is>
      </c>
      <c r="AQ1001" t="inlineStr">
        <is>
          <t>No</t>
        </is>
      </c>
      <c r="AS1001">
        <f>HYPERLINK("https://creighton-primo.hosted.exlibrisgroup.com/primo-explore/search?tab=default_tab&amp;search_scope=EVERYTHING&amp;vid=01CRU&amp;lang=en_US&amp;offset=0&amp;query=any,contains,991000066169702656","Catalog Record")</f>
        <v/>
      </c>
      <c r="AT1001">
        <f>HYPERLINK("http://www.worldcat.org/oclc/26992","WorldCat Record")</f>
        <v/>
      </c>
      <c r="AU1001" t="inlineStr">
        <is>
          <t>308678431:eng</t>
        </is>
      </c>
      <c r="AV1001" t="inlineStr">
        <is>
          <t>26992</t>
        </is>
      </c>
      <c r="AW1001" t="inlineStr">
        <is>
          <t>991000066169702656</t>
        </is>
      </c>
      <c r="AX1001" t="inlineStr">
        <is>
          <t>991000066169702656</t>
        </is>
      </c>
      <c r="AY1001" t="inlineStr">
        <is>
          <t>2266167270002656</t>
        </is>
      </c>
      <c r="AZ1001" t="inlineStr">
        <is>
          <t>BOOK</t>
        </is>
      </c>
      <c r="BC1001" t="inlineStr">
        <is>
          <t>32285002420130</t>
        </is>
      </c>
      <c r="BD1001" t="inlineStr">
        <is>
          <t>893495872</t>
        </is>
      </c>
    </row>
    <row r="1002">
      <c r="A1002" t="inlineStr">
        <is>
          <t>No</t>
        </is>
      </c>
      <c r="B1002" t="inlineStr">
        <is>
          <t>DG214.5 .B7 1984</t>
        </is>
      </c>
      <c r="C1002" t="inlineStr">
        <is>
          <t>0                      DG 0214500B  7           1984</t>
        </is>
      </c>
      <c r="D1002" t="inlineStr">
        <is>
          <t>Rome and the friendly king : the character of the client kingship / David Braund.</t>
        </is>
      </c>
      <c r="F1002" t="inlineStr">
        <is>
          <t>No</t>
        </is>
      </c>
      <c r="G1002" t="inlineStr">
        <is>
          <t>1</t>
        </is>
      </c>
      <c r="H1002" t="inlineStr">
        <is>
          <t>No</t>
        </is>
      </c>
      <c r="I1002" t="inlineStr">
        <is>
          <t>No</t>
        </is>
      </c>
      <c r="J1002" t="inlineStr">
        <is>
          <t>0</t>
        </is>
      </c>
      <c r="K1002" t="inlineStr">
        <is>
          <t>Braund, David, 1957-</t>
        </is>
      </c>
      <c r="L1002" t="inlineStr">
        <is>
          <t>London : Croom Helm ; New York : St. Martin's Press, 1984.</t>
        </is>
      </c>
      <c r="M1002" t="inlineStr">
        <is>
          <t>1984</t>
        </is>
      </c>
      <c r="O1002" t="inlineStr">
        <is>
          <t>eng</t>
        </is>
      </c>
      <c r="P1002" t="inlineStr">
        <is>
          <t>enk</t>
        </is>
      </c>
      <c r="R1002" t="inlineStr">
        <is>
          <t xml:space="preserve">DG </t>
        </is>
      </c>
      <c r="S1002" t="n">
        <v>4</v>
      </c>
      <c r="T1002" t="n">
        <v>4</v>
      </c>
      <c r="U1002" t="inlineStr">
        <is>
          <t>1996-03-01</t>
        </is>
      </c>
      <c r="V1002" t="inlineStr">
        <is>
          <t>1996-03-01</t>
        </is>
      </c>
      <c r="W1002" t="inlineStr">
        <is>
          <t>1991-03-27</t>
        </is>
      </c>
      <c r="X1002" t="inlineStr">
        <is>
          <t>1991-03-27</t>
        </is>
      </c>
      <c r="Y1002" t="n">
        <v>317</v>
      </c>
      <c r="Z1002" t="n">
        <v>212</v>
      </c>
      <c r="AA1002" t="n">
        <v>233</v>
      </c>
      <c r="AB1002" t="n">
        <v>3</v>
      </c>
      <c r="AC1002" t="n">
        <v>3</v>
      </c>
      <c r="AD1002" t="n">
        <v>13</v>
      </c>
      <c r="AE1002" t="n">
        <v>13</v>
      </c>
      <c r="AF1002" t="n">
        <v>3</v>
      </c>
      <c r="AG1002" t="n">
        <v>3</v>
      </c>
      <c r="AH1002" t="n">
        <v>2</v>
      </c>
      <c r="AI1002" t="n">
        <v>2</v>
      </c>
      <c r="AJ1002" t="n">
        <v>8</v>
      </c>
      <c r="AK1002" t="n">
        <v>8</v>
      </c>
      <c r="AL1002" t="n">
        <v>2</v>
      </c>
      <c r="AM1002" t="n">
        <v>2</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HYPERLINK("https://creighton-primo.hosted.exlibrisgroup.com/primo-explore/search?tab=default_tab&amp;search_scope=EVERYTHING&amp;vid=01CRU&amp;lang=en_US&amp;offset=0&amp;query=any,contains,991000306759702656","Catalog Record")</f>
        <v/>
      </c>
      <c r="AT1002">
        <f>HYPERLINK("http://www.worldcat.org/oclc/10071928","WorldCat Record")</f>
        <v/>
      </c>
      <c r="AU1002" t="inlineStr">
        <is>
          <t>836637749:eng</t>
        </is>
      </c>
      <c r="AV1002" t="inlineStr">
        <is>
          <t>10071928</t>
        </is>
      </c>
      <c r="AW1002" t="inlineStr">
        <is>
          <t>991000306759702656</t>
        </is>
      </c>
      <c r="AX1002" t="inlineStr">
        <is>
          <t>991000306759702656</t>
        </is>
      </c>
      <c r="AY1002" t="inlineStr">
        <is>
          <t>2265079080002656</t>
        </is>
      </c>
      <c r="AZ1002" t="inlineStr">
        <is>
          <t>BOOK</t>
        </is>
      </c>
      <c r="BB1002" t="inlineStr">
        <is>
          <t>9780312692100</t>
        </is>
      </c>
      <c r="BC1002" t="inlineStr">
        <is>
          <t>32285000521475</t>
        </is>
      </c>
      <c r="BD1002" t="inlineStr">
        <is>
          <t>893601654</t>
        </is>
      </c>
    </row>
    <row r="1003">
      <c r="A1003" t="inlineStr">
        <is>
          <t>No</t>
        </is>
      </c>
      <c r="B1003" t="inlineStr">
        <is>
          <t>DG223 .B313 1973b</t>
        </is>
      </c>
      <c r="C1003" t="inlineStr">
        <is>
          <t>0                      DG 0223000B  313         1973b</t>
        </is>
      </c>
      <c r="D1003" t="inlineStr">
        <is>
          <t>Etruscan cities and their culture / Translated by Erika Bizzarri.</t>
        </is>
      </c>
      <c r="F1003" t="inlineStr">
        <is>
          <t>No</t>
        </is>
      </c>
      <c r="G1003" t="inlineStr">
        <is>
          <t>1</t>
        </is>
      </c>
      <c r="H1003" t="inlineStr">
        <is>
          <t>No</t>
        </is>
      </c>
      <c r="I1003" t="inlineStr">
        <is>
          <t>No</t>
        </is>
      </c>
      <c r="J1003" t="inlineStr">
        <is>
          <t>0</t>
        </is>
      </c>
      <c r="K1003" t="inlineStr">
        <is>
          <t>Banti, Luisa, 1894-1978.</t>
        </is>
      </c>
      <c r="L1003" t="inlineStr">
        <is>
          <t>Berkeley : University of California Press, 1973 [c1968]</t>
        </is>
      </c>
      <c r="M1003" t="inlineStr">
        <is>
          <t>1973</t>
        </is>
      </c>
      <c r="N1003" t="inlineStr">
        <is>
          <t>[1st English language ed.]</t>
        </is>
      </c>
      <c r="O1003" t="inlineStr">
        <is>
          <t>eng</t>
        </is>
      </c>
      <c r="P1003" t="inlineStr">
        <is>
          <t>cau</t>
        </is>
      </c>
      <c r="R1003" t="inlineStr">
        <is>
          <t xml:space="preserve">DG </t>
        </is>
      </c>
      <c r="S1003" t="n">
        <v>7</v>
      </c>
      <c r="T1003" t="n">
        <v>7</v>
      </c>
      <c r="U1003" t="inlineStr">
        <is>
          <t>1995-11-02</t>
        </is>
      </c>
      <c r="V1003" t="inlineStr">
        <is>
          <t>1995-11-02</t>
        </is>
      </c>
      <c r="W1003" t="inlineStr">
        <is>
          <t>1990-05-08</t>
        </is>
      </c>
      <c r="X1003" t="inlineStr">
        <is>
          <t>1990-05-08</t>
        </is>
      </c>
      <c r="Y1003" t="n">
        <v>569</v>
      </c>
      <c r="Z1003" t="n">
        <v>527</v>
      </c>
      <c r="AA1003" t="n">
        <v>575</v>
      </c>
      <c r="AB1003" t="n">
        <v>4</v>
      </c>
      <c r="AC1003" t="n">
        <v>4</v>
      </c>
      <c r="AD1003" t="n">
        <v>26</v>
      </c>
      <c r="AE1003" t="n">
        <v>29</v>
      </c>
      <c r="AF1003" t="n">
        <v>12</v>
      </c>
      <c r="AG1003" t="n">
        <v>14</v>
      </c>
      <c r="AH1003" t="n">
        <v>7</v>
      </c>
      <c r="AI1003" t="n">
        <v>7</v>
      </c>
      <c r="AJ1003" t="n">
        <v>14</v>
      </c>
      <c r="AK1003" t="n">
        <v>16</v>
      </c>
      <c r="AL1003" t="n">
        <v>3</v>
      </c>
      <c r="AM1003" t="n">
        <v>3</v>
      </c>
      <c r="AN1003" t="n">
        <v>0</v>
      </c>
      <c r="AO1003" t="n">
        <v>0</v>
      </c>
      <c r="AP1003" t="inlineStr">
        <is>
          <t>No</t>
        </is>
      </c>
      <c r="AQ1003" t="inlineStr">
        <is>
          <t>Yes</t>
        </is>
      </c>
      <c r="AR1003">
        <f>HYPERLINK("http://catalog.hathitrust.org/Record/000018495","HathiTrust Record")</f>
        <v/>
      </c>
      <c r="AS1003">
        <f>HYPERLINK("https://creighton-primo.hosted.exlibrisgroup.com/primo-explore/search?tab=default_tab&amp;search_scope=EVERYTHING&amp;vid=01CRU&amp;lang=en_US&amp;offset=0&amp;query=any,contains,991003390809702656","Catalog Record")</f>
        <v/>
      </c>
      <c r="AT1003">
        <f>HYPERLINK("http://www.worldcat.org/oclc/928580","WorldCat Record")</f>
        <v/>
      </c>
      <c r="AU1003" t="inlineStr">
        <is>
          <t>349008686:eng</t>
        </is>
      </c>
      <c r="AV1003" t="inlineStr">
        <is>
          <t>928580</t>
        </is>
      </c>
      <c r="AW1003" t="inlineStr">
        <is>
          <t>991003390809702656</t>
        </is>
      </c>
      <c r="AX1003" t="inlineStr">
        <is>
          <t>991003390809702656</t>
        </is>
      </c>
      <c r="AY1003" t="inlineStr">
        <is>
          <t>2268554580002656</t>
        </is>
      </c>
      <c r="AZ1003" t="inlineStr">
        <is>
          <t>BOOK</t>
        </is>
      </c>
      <c r="BC1003" t="inlineStr">
        <is>
          <t>32285000137074</t>
        </is>
      </c>
      <c r="BD1003" t="inlineStr">
        <is>
          <t>893434958</t>
        </is>
      </c>
    </row>
    <row r="1004">
      <c r="A1004" t="inlineStr">
        <is>
          <t>No</t>
        </is>
      </c>
      <c r="B1004" t="inlineStr">
        <is>
          <t>DG223 .G76 1980</t>
        </is>
      </c>
      <c r="C1004" t="inlineStr">
        <is>
          <t>0                      DG 0223000G  76          1980</t>
        </is>
      </c>
      <c r="D1004" t="inlineStr">
        <is>
          <t>The Etruscans / Michael Grant.</t>
        </is>
      </c>
      <c r="F1004" t="inlineStr">
        <is>
          <t>No</t>
        </is>
      </c>
      <c r="G1004" t="inlineStr">
        <is>
          <t>1</t>
        </is>
      </c>
      <c r="H1004" t="inlineStr">
        <is>
          <t>No</t>
        </is>
      </c>
      <c r="I1004" t="inlineStr">
        <is>
          <t>No</t>
        </is>
      </c>
      <c r="J1004" t="inlineStr">
        <is>
          <t>0</t>
        </is>
      </c>
      <c r="K1004" t="inlineStr">
        <is>
          <t>Grant, Michael, 1914-2004.</t>
        </is>
      </c>
      <c r="L1004" t="inlineStr">
        <is>
          <t>New York : Scribner, c1980.</t>
        </is>
      </c>
      <c r="M1004" t="inlineStr">
        <is>
          <t>1980</t>
        </is>
      </c>
      <c r="O1004" t="inlineStr">
        <is>
          <t>eng</t>
        </is>
      </c>
      <c r="P1004" t="inlineStr">
        <is>
          <t>nyu</t>
        </is>
      </c>
      <c r="R1004" t="inlineStr">
        <is>
          <t xml:space="preserve">DG </t>
        </is>
      </c>
      <c r="S1004" t="n">
        <v>2</v>
      </c>
      <c r="T1004" t="n">
        <v>2</v>
      </c>
      <c r="U1004" t="inlineStr">
        <is>
          <t>2008-05-22</t>
        </is>
      </c>
      <c r="V1004" t="inlineStr">
        <is>
          <t>2008-05-22</t>
        </is>
      </c>
      <c r="W1004" t="inlineStr">
        <is>
          <t>2008-05-22</t>
        </is>
      </c>
      <c r="X1004" t="inlineStr">
        <is>
          <t>2008-05-22</t>
        </is>
      </c>
      <c r="Y1004" t="n">
        <v>1017</v>
      </c>
      <c r="Z1004" t="n">
        <v>968</v>
      </c>
      <c r="AA1004" t="n">
        <v>1168</v>
      </c>
      <c r="AB1004" t="n">
        <v>4</v>
      </c>
      <c r="AC1004" t="n">
        <v>8</v>
      </c>
      <c r="AD1004" t="n">
        <v>30</v>
      </c>
      <c r="AE1004" t="n">
        <v>40</v>
      </c>
      <c r="AF1004" t="n">
        <v>15</v>
      </c>
      <c r="AG1004" t="n">
        <v>17</v>
      </c>
      <c r="AH1004" t="n">
        <v>7</v>
      </c>
      <c r="AI1004" t="n">
        <v>10</v>
      </c>
      <c r="AJ1004" t="n">
        <v>14</v>
      </c>
      <c r="AK1004" t="n">
        <v>18</v>
      </c>
      <c r="AL1004" t="n">
        <v>3</v>
      </c>
      <c r="AM1004" t="n">
        <v>6</v>
      </c>
      <c r="AN1004" t="n">
        <v>0</v>
      </c>
      <c r="AO1004" t="n">
        <v>0</v>
      </c>
      <c r="AP1004" t="inlineStr">
        <is>
          <t>No</t>
        </is>
      </c>
      <c r="AQ1004" t="inlineStr">
        <is>
          <t>Yes</t>
        </is>
      </c>
      <c r="AR1004">
        <f>HYPERLINK("http://catalog.hathitrust.org/Record/000180962","HathiTrust Record")</f>
        <v/>
      </c>
      <c r="AS1004">
        <f>HYPERLINK("https://creighton-primo.hosted.exlibrisgroup.com/primo-explore/search?tab=default_tab&amp;search_scope=EVERYTHING&amp;vid=01CRU&amp;lang=en_US&amp;offset=0&amp;query=any,contains,991005225699702656","Catalog Record")</f>
        <v/>
      </c>
      <c r="AT1004">
        <f>HYPERLINK("http://www.worldcat.org/oclc/7199446","WorldCat Record")</f>
        <v/>
      </c>
      <c r="AU1004" t="inlineStr">
        <is>
          <t>115522647:eng</t>
        </is>
      </c>
      <c r="AV1004" t="inlineStr">
        <is>
          <t>7199446</t>
        </is>
      </c>
      <c r="AW1004" t="inlineStr">
        <is>
          <t>991005225699702656</t>
        </is>
      </c>
      <c r="AX1004" t="inlineStr">
        <is>
          <t>991005225699702656</t>
        </is>
      </c>
      <c r="AY1004" t="inlineStr">
        <is>
          <t>2258645160002656</t>
        </is>
      </c>
      <c r="AZ1004" t="inlineStr">
        <is>
          <t>BOOK</t>
        </is>
      </c>
      <c r="BB1004" t="inlineStr">
        <is>
          <t>9780684167244</t>
        </is>
      </c>
      <c r="BC1004" t="inlineStr">
        <is>
          <t>32285005440549</t>
        </is>
      </c>
      <c r="BD1004" t="inlineStr">
        <is>
          <t>893248574</t>
        </is>
      </c>
    </row>
    <row r="1005">
      <c r="A1005" t="inlineStr">
        <is>
          <t>No</t>
        </is>
      </c>
      <c r="B1005" t="inlineStr">
        <is>
          <t>DG223 .H413 1964a</t>
        </is>
      </c>
      <c r="C1005" t="inlineStr">
        <is>
          <t>0                      DG 0223000H  413         1964a</t>
        </is>
      </c>
      <c r="D1005" t="inlineStr">
        <is>
          <t>Daily life of the Etruscans / translated from the French by James Kirkup.</t>
        </is>
      </c>
      <c r="F1005" t="inlineStr">
        <is>
          <t>No</t>
        </is>
      </c>
      <c r="G1005" t="inlineStr">
        <is>
          <t>1</t>
        </is>
      </c>
      <c r="H1005" t="inlineStr">
        <is>
          <t>No</t>
        </is>
      </c>
      <c r="I1005" t="inlineStr">
        <is>
          <t>No</t>
        </is>
      </c>
      <c r="J1005" t="inlineStr">
        <is>
          <t>0</t>
        </is>
      </c>
      <c r="K1005" t="inlineStr">
        <is>
          <t>Heurgon, Jacques.</t>
        </is>
      </c>
      <c r="L1005" t="inlineStr">
        <is>
          <t>New York : Macmillan, 1964.</t>
        </is>
      </c>
      <c r="M1005" t="inlineStr">
        <is>
          <t>1964</t>
        </is>
      </c>
      <c r="O1005" t="inlineStr">
        <is>
          <t>eng</t>
        </is>
      </c>
      <c r="P1005" t="inlineStr">
        <is>
          <t>nyu</t>
        </is>
      </c>
      <c r="R1005" t="inlineStr">
        <is>
          <t xml:space="preserve">DG </t>
        </is>
      </c>
      <c r="S1005" t="n">
        <v>5</v>
      </c>
      <c r="T1005" t="n">
        <v>5</v>
      </c>
      <c r="U1005" t="inlineStr">
        <is>
          <t>1992-02-26</t>
        </is>
      </c>
      <c r="V1005" t="inlineStr">
        <is>
          <t>1992-02-26</t>
        </is>
      </c>
      <c r="W1005" t="inlineStr">
        <is>
          <t>1990-05-08</t>
        </is>
      </c>
      <c r="X1005" t="inlineStr">
        <is>
          <t>1990-05-08</t>
        </is>
      </c>
      <c r="Y1005" t="n">
        <v>753</v>
      </c>
      <c r="Z1005" t="n">
        <v>708</v>
      </c>
      <c r="AA1005" t="n">
        <v>914</v>
      </c>
      <c r="AB1005" t="n">
        <v>3</v>
      </c>
      <c r="AC1005" t="n">
        <v>6</v>
      </c>
      <c r="AD1005" t="n">
        <v>24</v>
      </c>
      <c r="AE1005" t="n">
        <v>34</v>
      </c>
      <c r="AF1005" t="n">
        <v>12</v>
      </c>
      <c r="AG1005" t="n">
        <v>14</v>
      </c>
      <c r="AH1005" t="n">
        <v>5</v>
      </c>
      <c r="AI1005" t="n">
        <v>7</v>
      </c>
      <c r="AJ1005" t="n">
        <v>12</v>
      </c>
      <c r="AK1005" t="n">
        <v>18</v>
      </c>
      <c r="AL1005" t="n">
        <v>2</v>
      </c>
      <c r="AM1005" t="n">
        <v>5</v>
      </c>
      <c r="AN1005" t="n">
        <v>0</v>
      </c>
      <c r="AO1005" t="n">
        <v>0</v>
      </c>
      <c r="AP1005" t="inlineStr">
        <is>
          <t>No</t>
        </is>
      </c>
      <c r="AQ1005" t="inlineStr">
        <is>
          <t>Yes</t>
        </is>
      </c>
      <c r="AR1005">
        <f>HYPERLINK("http://catalog.hathitrust.org/Record/000354003","HathiTrust Record")</f>
        <v/>
      </c>
      <c r="AS1005">
        <f>HYPERLINK("https://creighton-primo.hosted.exlibrisgroup.com/primo-explore/search?tab=default_tab&amp;search_scope=EVERYTHING&amp;vid=01CRU&amp;lang=en_US&amp;offset=0&amp;query=any,contains,991002462829702656","Catalog Record")</f>
        <v/>
      </c>
      <c r="AT1005">
        <f>HYPERLINK("http://www.worldcat.org/oclc/356589","WorldCat Record")</f>
        <v/>
      </c>
      <c r="AU1005" t="inlineStr">
        <is>
          <t>4494934509:eng</t>
        </is>
      </c>
      <c r="AV1005" t="inlineStr">
        <is>
          <t>356589</t>
        </is>
      </c>
      <c r="AW1005" t="inlineStr">
        <is>
          <t>991002462829702656</t>
        </is>
      </c>
      <c r="AX1005" t="inlineStr">
        <is>
          <t>991002462829702656</t>
        </is>
      </c>
      <c r="AY1005" t="inlineStr">
        <is>
          <t>2262644160002656</t>
        </is>
      </c>
      <c r="AZ1005" t="inlineStr">
        <is>
          <t>BOOK</t>
        </is>
      </c>
      <c r="BC1005" t="inlineStr">
        <is>
          <t>32285000137041</t>
        </is>
      </c>
      <c r="BD1005" t="inlineStr">
        <is>
          <t>893535018</t>
        </is>
      </c>
    </row>
    <row r="1006">
      <c r="A1006" t="inlineStr">
        <is>
          <t>No</t>
        </is>
      </c>
      <c r="B1006" t="inlineStr">
        <is>
          <t>DG223 .H813 1975</t>
        </is>
      </c>
      <c r="C1006" t="inlineStr">
        <is>
          <t>0                      DG 0223000H  813         1975</t>
        </is>
      </c>
      <c r="D1006" t="inlineStr">
        <is>
          <t>The Etruscans / Alain Hus ; translated by Jeanne Unger Duell.</t>
        </is>
      </c>
      <c r="F1006" t="inlineStr">
        <is>
          <t>No</t>
        </is>
      </c>
      <c r="G1006" t="inlineStr">
        <is>
          <t>1</t>
        </is>
      </c>
      <c r="H1006" t="inlineStr">
        <is>
          <t>No</t>
        </is>
      </c>
      <c r="I1006" t="inlineStr">
        <is>
          <t>No</t>
        </is>
      </c>
      <c r="J1006" t="inlineStr">
        <is>
          <t>0</t>
        </is>
      </c>
      <c r="K1006" t="inlineStr">
        <is>
          <t>Hus, Alain.</t>
        </is>
      </c>
      <c r="L1006" t="inlineStr">
        <is>
          <t>Westport, Conn. : Greenwood Press, 1975.</t>
        </is>
      </c>
      <c r="M1006" t="inlineStr">
        <is>
          <t>1975</t>
        </is>
      </c>
      <c r="O1006" t="inlineStr">
        <is>
          <t>eng</t>
        </is>
      </c>
      <c r="P1006" t="inlineStr">
        <is>
          <t>ctu</t>
        </is>
      </c>
      <c r="R1006" t="inlineStr">
        <is>
          <t xml:space="preserve">DG </t>
        </is>
      </c>
      <c r="S1006" t="n">
        <v>2</v>
      </c>
      <c r="T1006" t="n">
        <v>2</v>
      </c>
      <c r="U1006" t="inlineStr">
        <is>
          <t>2004-08-29</t>
        </is>
      </c>
      <c r="V1006" t="inlineStr">
        <is>
          <t>2004-08-29</t>
        </is>
      </c>
      <c r="W1006" t="inlineStr">
        <is>
          <t>1990-05-08</t>
        </is>
      </c>
      <c r="X1006" t="inlineStr">
        <is>
          <t>1990-05-08</t>
        </is>
      </c>
      <c r="Y1006" t="n">
        <v>111</v>
      </c>
      <c r="Z1006" t="n">
        <v>94</v>
      </c>
      <c r="AA1006" t="n">
        <v>307</v>
      </c>
      <c r="AB1006" t="n">
        <v>1</v>
      </c>
      <c r="AC1006" t="n">
        <v>4</v>
      </c>
      <c r="AD1006" t="n">
        <v>7</v>
      </c>
      <c r="AE1006" t="n">
        <v>14</v>
      </c>
      <c r="AF1006" t="n">
        <v>4</v>
      </c>
      <c r="AG1006" t="n">
        <v>6</v>
      </c>
      <c r="AH1006" t="n">
        <v>3</v>
      </c>
      <c r="AI1006" t="n">
        <v>5</v>
      </c>
      <c r="AJ1006" t="n">
        <v>4</v>
      </c>
      <c r="AK1006" t="n">
        <v>7</v>
      </c>
      <c r="AL1006" t="n">
        <v>0</v>
      </c>
      <c r="AM1006" t="n">
        <v>2</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HYPERLINK("https://creighton-primo.hosted.exlibrisgroup.com/primo-explore/search?tab=default_tab&amp;search_scope=EVERYTHING&amp;vid=01CRU&amp;lang=en_US&amp;offset=0&amp;query=any,contains,991003936919702656","Catalog Record")</f>
        <v/>
      </c>
      <c r="AT1006">
        <f>HYPERLINK("http://www.worldcat.org/oclc/1916514","WorldCat Record")</f>
        <v/>
      </c>
      <c r="AU1006" t="inlineStr">
        <is>
          <t>493137621:eng</t>
        </is>
      </c>
      <c r="AV1006" t="inlineStr">
        <is>
          <t>1916514</t>
        </is>
      </c>
      <c r="AW1006" t="inlineStr">
        <is>
          <t>991003936919702656</t>
        </is>
      </c>
      <c r="AX1006" t="inlineStr">
        <is>
          <t>991003936919702656</t>
        </is>
      </c>
      <c r="AY1006" t="inlineStr">
        <is>
          <t>2255529390002656</t>
        </is>
      </c>
      <c r="AZ1006" t="inlineStr">
        <is>
          <t>BOOK</t>
        </is>
      </c>
      <c r="BB1006" t="inlineStr">
        <is>
          <t>9780837181899</t>
        </is>
      </c>
      <c r="BC1006" t="inlineStr">
        <is>
          <t>32285000137033</t>
        </is>
      </c>
      <c r="BD1006" t="inlineStr">
        <is>
          <t>893775404</t>
        </is>
      </c>
    </row>
    <row r="1007">
      <c r="A1007" t="inlineStr">
        <is>
          <t>No</t>
        </is>
      </c>
      <c r="B1007" t="inlineStr">
        <is>
          <t>DG223 .M27 1991</t>
        </is>
      </c>
      <c r="C1007" t="inlineStr">
        <is>
          <t>0                      DG 0223000M  27          1991</t>
        </is>
      </c>
      <c r="D1007" t="inlineStr">
        <is>
          <t>The Etruscans / Ellen Macnamara.</t>
        </is>
      </c>
      <c r="F1007" t="inlineStr">
        <is>
          <t>No</t>
        </is>
      </c>
      <c r="G1007" t="inlineStr">
        <is>
          <t>1</t>
        </is>
      </c>
      <c r="H1007" t="inlineStr">
        <is>
          <t>No</t>
        </is>
      </c>
      <c r="I1007" t="inlineStr">
        <is>
          <t>No</t>
        </is>
      </c>
      <c r="J1007" t="inlineStr">
        <is>
          <t>0</t>
        </is>
      </c>
      <c r="K1007" t="inlineStr">
        <is>
          <t>Macnamara, Ellen.</t>
        </is>
      </c>
      <c r="L1007" t="inlineStr">
        <is>
          <t>Cambridge, Mass. : Harvard University Press, 1991.</t>
        </is>
      </c>
      <c r="M1007" t="inlineStr">
        <is>
          <t>1991</t>
        </is>
      </c>
      <c r="O1007" t="inlineStr">
        <is>
          <t>eng</t>
        </is>
      </c>
      <c r="P1007" t="inlineStr">
        <is>
          <t>mau</t>
        </is>
      </c>
      <c r="R1007" t="inlineStr">
        <is>
          <t xml:space="preserve">DG </t>
        </is>
      </c>
      <c r="S1007" t="n">
        <v>9</v>
      </c>
      <c r="T1007" t="n">
        <v>9</v>
      </c>
      <c r="U1007" t="inlineStr">
        <is>
          <t>2002-11-19</t>
        </is>
      </c>
      <c r="V1007" t="inlineStr">
        <is>
          <t>2002-11-19</t>
        </is>
      </c>
      <c r="W1007" t="inlineStr">
        <is>
          <t>1991-11-05</t>
        </is>
      </c>
      <c r="X1007" t="inlineStr">
        <is>
          <t>1991-11-05</t>
        </is>
      </c>
      <c r="Y1007" t="n">
        <v>396</v>
      </c>
      <c r="Z1007" t="n">
        <v>332</v>
      </c>
      <c r="AA1007" t="n">
        <v>370</v>
      </c>
      <c r="AB1007" t="n">
        <v>2</v>
      </c>
      <c r="AC1007" t="n">
        <v>2</v>
      </c>
      <c r="AD1007" t="n">
        <v>15</v>
      </c>
      <c r="AE1007" t="n">
        <v>17</v>
      </c>
      <c r="AF1007" t="n">
        <v>6</v>
      </c>
      <c r="AG1007" t="n">
        <v>8</v>
      </c>
      <c r="AH1007" t="n">
        <v>7</v>
      </c>
      <c r="AI1007" t="n">
        <v>7</v>
      </c>
      <c r="AJ1007" t="n">
        <v>8</v>
      </c>
      <c r="AK1007" t="n">
        <v>9</v>
      </c>
      <c r="AL1007" t="n">
        <v>0</v>
      </c>
      <c r="AM1007" t="n">
        <v>0</v>
      </c>
      <c r="AN1007" t="n">
        <v>0</v>
      </c>
      <c r="AO1007" t="n">
        <v>0</v>
      </c>
      <c r="AP1007" t="inlineStr">
        <is>
          <t>No</t>
        </is>
      </c>
      <c r="AQ1007" t="inlineStr">
        <is>
          <t>Yes</t>
        </is>
      </c>
      <c r="AR1007">
        <f>HYPERLINK("http://catalog.hathitrust.org/Record/002432608","HathiTrust Record")</f>
        <v/>
      </c>
      <c r="AS1007">
        <f>HYPERLINK("https://creighton-primo.hosted.exlibrisgroup.com/primo-explore/search?tab=default_tab&amp;search_scope=EVERYTHING&amp;vid=01CRU&amp;lang=en_US&amp;offset=0&amp;query=any,contains,991001706959702656","Catalog Record")</f>
        <v/>
      </c>
      <c r="AT1007">
        <f>HYPERLINK("http://www.worldcat.org/oclc/21563748","WorldCat Record")</f>
        <v/>
      </c>
      <c r="AU1007" t="inlineStr">
        <is>
          <t>23053551:eng</t>
        </is>
      </c>
      <c r="AV1007" t="inlineStr">
        <is>
          <t>21563748</t>
        </is>
      </c>
      <c r="AW1007" t="inlineStr">
        <is>
          <t>991001706959702656</t>
        </is>
      </c>
      <c r="AX1007" t="inlineStr">
        <is>
          <t>991001706959702656</t>
        </is>
      </c>
      <c r="AY1007" t="inlineStr">
        <is>
          <t>2268126260002656</t>
        </is>
      </c>
      <c r="AZ1007" t="inlineStr">
        <is>
          <t>BOOK</t>
        </is>
      </c>
      <c r="BB1007" t="inlineStr">
        <is>
          <t>9780674269071</t>
        </is>
      </c>
      <c r="BC1007" t="inlineStr">
        <is>
          <t>32285000729672</t>
        </is>
      </c>
      <c r="BD1007" t="inlineStr">
        <is>
          <t>893238276</t>
        </is>
      </c>
    </row>
    <row r="1008">
      <c r="A1008" t="inlineStr">
        <is>
          <t>No</t>
        </is>
      </c>
      <c r="B1008" t="inlineStr">
        <is>
          <t>DG223 .R5</t>
        </is>
      </c>
      <c r="C1008" t="inlineStr">
        <is>
          <t>0                      DG 0223000R  5</t>
        </is>
      </c>
      <c r="D1008" t="inlineStr">
        <is>
          <t>The Etruscans, their art and civilization / by Emeline Richardson.</t>
        </is>
      </c>
      <c r="F1008" t="inlineStr">
        <is>
          <t>No</t>
        </is>
      </c>
      <c r="G1008" t="inlineStr">
        <is>
          <t>1</t>
        </is>
      </c>
      <c r="H1008" t="inlineStr">
        <is>
          <t>No</t>
        </is>
      </c>
      <c r="I1008" t="inlineStr">
        <is>
          <t>No</t>
        </is>
      </c>
      <c r="J1008" t="inlineStr">
        <is>
          <t>0</t>
        </is>
      </c>
      <c r="K1008" t="inlineStr">
        <is>
          <t>Richardson, Emeline.</t>
        </is>
      </c>
      <c r="L1008" t="inlineStr">
        <is>
          <t>Chicago : University of Chicago Press, [1964]</t>
        </is>
      </c>
      <c r="M1008" t="inlineStr">
        <is>
          <t>1964</t>
        </is>
      </c>
      <c r="O1008" t="inlineStr">
        <is>
          <t>eng</t>
        </is>
      </c>
      <c r="P1008" t="inlineStr">
        <is>
          <t>ilu</t>
        </is>
      </c>
      <c r="R1008" t="inlineStr">
        <is>
          <t xml:space="preserve">DG </t>
        </is>
      </c>
      <c r="S1008" t="n">
        <v>6</v>
      </c>
      <c r="T1008" t="n">
        <v>6</v>
      </c>
      <c r="U1008" t="inlineStr">
        <is>
          <t>2004-08-29</t>
        </is>
      </c>
      <c r="V1008" t="inlineStr">
        <is>
          <t>2004-08-29</t>
        </is>
      </c>
      <c r="W1008" t="inlineStr">
        <is>
          <t>1990-05-08</t>
        </is>
      </c>
      <c r="X1008" t="inlineStr">
        <is>
          <t>1990-05-08</t>
        </is>
      </c>
      <c r="Y1008" t="n">
        <v>1651</v>
      </c>
      <c r="Z1008" t="n">
        <v>1497</v>
      </c>
      <c r="AA1008" t="n">
        <v>1598</v>
      </c>
      <c r="AB1008" t="n">
        <v>13</v>
      </c>
      <c r="AC1008" t="n">
        <v>13</v>
      </c>
      <c r="AD1008" t="n">
        <v>58</v>
      </c>
      <c r="AE1008" t="n">
        <v>59</v>
      </c>
      <c r="AF1008" t="n">
        <v>24</v>
      </c>
      <c r="AG1008" t="n">
        <v>25</v>
      </c>
      <c r="AH1008" t="n">
        <v>9</v>
      </c>
      <c r="AI1008" t="n">
        <v>9</v>
      </c>
      <c r="AJ1008" t="n">
        <v>24</v>
      </c>
      <c r="AK1008" t="n">
        <v>25</v>
      </c>
      <c r="AL1008" t="n">
        <v>12</v>
      </c>
      <c r="AM1008" t="n">
        <v>12</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HYPERLINK("https://creighton-primo.hosted.exlibrisgroup.com/primo-explore/search?tab=default_tab&amp;search_scope=EVERYTHING&amp;vid=01CRU&amp;lang=en_US&amp;offset=0&amp;query=any,contains,991002696389702656","Catalog Record")</f>
        <v/>
      </c>
      <c r="AT1008">
        <f>HYPERLINK("http://www.worldcat.org/oclc/403753","WorldCat Record")</f>
        <v/>
      </c>
      <c r="AU1008" t="inlineStr">
        <is>
          <t>419165:eng</t>
        </is>
      </c>
      <c r="AV1008" t="inlineStr">
        <is>
          <t>403753</t>
        </is>
      </c>
      <c r="AW1008" t="inlineStr">
        <is>
          <t>991002696389702656</t>
        </is>
      </c>
      <c r="AX1008" t="inlineStr">
        <is>
          <t>991002696389702656</t>
        </is>
      </c>
      <c r="AY1008" t="inlineStr">
        <is>
          <t>2259803300002656</t>
        </is>
      </c>
      <c r="AZ1008" t="inlineStr">
        <is>
          <t>BOOK</t>
        </is>
      </c>
      <c r="BC1008" t="inlineStr">
        <is>
          <t>32285000137017</t>
        </is>
      </c>
      <c r="BD1008" t="inlineStr">
        <is>
          <t>893780104</t>
        </is>
      </c>
    </row>
    <row r="1009">
      <c r="A1009" t="inlineStr">
        <is>
          <t>No</t>
        </is>
      </c>
      <c r="B1009" t="inlineStr">
        <is>
          <t>DG223 .S34</t>
        </is>
      </c>
      <c r="C1009" t="inlineStr">
        <is>
          <t>0                      DG 0223000S  34</t>
        </is>
      </c>
      <c r="D1009" t="inlineStr">
        <is>
          <t>The Etruscan cities and Rome / [by] H. H. Scullard.</t>
        </is>
      </c>
      <c r="F1009" t="inlineStr">
        <is>
          <t>No</t>
        </is>
      </c>
      <c r="G1009" t="inlineStr">
        <is>
          <t>1</t>
        </is>
      </c>
      <c r="H1009" t="inlineStr">
        <is>
          <t>No</t>
        </is>
      </c>
      <c r="I1009" t="inlineStr">
        <is>
          <t>No</t>
        </is>
      </c>
      <c r="J1009" t="inlineStr">
        <is>
          <t>0</t>
        </is>
      </c>
      <c r="K1009" t="inlineStr">
        <is>
          <t>Scullard, H. H. (Howard Hayes), 1903-1983.</t>
        </is>
      </c>
      <c r="L1009" t="inlineStr">
        <is>
          <t>Ithaca, N.Y. : Cornell University Press, [1967]</t>
        </is>
      </c>
      <c r="M1009" t="inlineStr">
        <is>
          <t>1967</t>
        </is>
      </c>
      <c r="O1009" t="inlineStr">
        <is>
          <t>eng</t>
        </is>
      </c>
      <c r="P1009" t="inlineStr">
        <is>
          <t>nyu</t>
        </is>
      </c>
      <c r="Q1009" t="inlineStr">
        <is>
          <t>Aspects of Greek and Roman life</t>
        </is>
      </c>
      <c r="R1009" t="inlineStr">
        <is>
          <t xml:space="preserve">DG </t>
        </is>
      </c>
      <c r="S1009" t="n">
        <v>6</v>
      </c>
      <c r="T1009" t="n">
        <v>6</v>
      </c>
      <c r="U1009" t="inlineStr">
        <is>
          <t>2002-12-07</t>
        </is>
      </c>
      <c r="V1009" t="inlineStr">
        <is>
          <t>2002-12-07</t>
        </is>
      </c>
      <c r="W1009" t="inlineStr">
        <is>
          <t>1990-05-08</t>
        </is>
      </c>
      <c r="X1009" t="inlineStr">
        <is>
          <t>1990-05-08</t>
        </is>
      </c>
      <c r="Y1009" t="n">
        <v>938</v>
      </c>
      <c r="Z1009" t="n">
        <v>870</v>
      </c>
      <c r="AA1009" t="n">
        <v>981</v>
      </c>
      <c r="AB1009" t="n">
        <v>5</v>
      </c>
      <c r="AC1009" t="n">
        <v>5</v>
      </c>
      <c r="AD1009" t="n">
        <v>38</v>
      </c>
      <c r="AE1009" t="n">
        <v>41</v>
      </c>
      <c r="AF1009" t="n">
        <v>16</v>
      </c>
      <c r="AG1009" t="n">
        <v>18</v>
      </c>
      <c r="AH1009" t="n">
        <v>9</v>
      </c>
      <c r="AI1009" t="n">
        <v>10</v>
      </c>
      <c r="AJ1009" t="n">
        <v>19</v>
      </c>
      <c r="AK1009" t="n">
        <v>20</v>
      </c>
      <c r="AL1009" t="n">
        <v>4</v>
      </c>
      <c r="AM1009" t="n">
        <v>4</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HYPERLINK("https://creighton-primo.hosted.exlibrisgroup.com/primo-explore/search?tab=default_tab&amp;search_scope=EVERYTHING&amp;vid=01CRU&amp;lang=en_US&amp;offset=0&amp;query=any,contains,991002708739702656","Catalog Record")</f>
        <v/>
      </c>
      <c r="AT1009">
        <f>HYPERLINK("http://www.worldcat.org/oclc/408310","WorldCat Record")</f>
        <v/>
      </c>
      <c r="AU1009" t="inlineStr">
        <is>
          <t>62025685:eng</t>
        </is>
      </c>
      <c r="AV1009" t="inlineStr">
        <is>
          <t>408310</t>
        </is>
      </c>
      <c r="AW1009" t="inlineStr">
        <is>
          <t>991002708739702656</t>
        </is>
      </c>
      <c r="AX1009" t="inlineStr">
        <is>
          <t>991002708739702656</t>
        </is>
      </c>
      <c r="AY1009" t="inlineStr">
        <is>
          <t>2264256840002656</t>
        </is>
      </c>
      <c r="AZ1009" t="inlineStr">
        <is>
          <t>BOOK</t>
        </is>
      </c>
      <c r="BC1009" t="inlineStr">
        <is>
          <t>32285000137009</t>
        </is>
      </c>
      <c r="BD1009" t="inlineStr">
        <is>
          <t>893880297</t>
        </is>
      </c>
    </row>
    <row r="1010">
      <c r="A1010" t="inlineStr">
        <is>
          <t>No</t>
        </is>
      </c>
      <c r="B1010" t="inlineStr">
        <is>
          <t>DG223 .S85</t>
        </is>
      </c>
      <c r="C1010" t="inlineStr">
        <is>
          <t>0                      DG 0223000S  85</t>
        </is>
      </c>
      <c r="D1010" t="inlineStr">
        <is>
          <t>Etruscan culture, land and people; archaeological research and studies conducted in San Giovenale and its environs by members of the Swedish Institute in Rome.</t>
        </is>
      </c>
      <c r="F1010" t="inlineStr">
        <is>
          <t>No</t>
        </is>
      </c>
      <c r="G1010" t="inlineStr">
        <is>
          <t>1</t>
        </is>
      </c>
      <c r="H1010" t="inlineStr">
        <is>
          <t>No</t>
        </is>
      </c>
      <c r="I1010" t="inlineStr">
        <is>
          <t>No</t>
        </is>
      </c>
      <c r="J1010" t="inlineStr">
        <is>
          <t>0</t>
        </is>
      </c>
      <c r="K1010" t="inlineStr">
        <is>
          <t>Svenska institutet i Rom.</t>
        </is>
      </c>
      <c r="L1010" t="inlineStr">
        <is>
          <t>New York, Columbia University Press [1963, c1962]</t>
        </is>
      </c>
      <c r="M1010" t="inlineStr">
        <is>
          <t>1963</t>
        </is>
      </c>
      <c r="O1010" t="inlineStr">
        <is>
          <t>eng</t>
        </is>
      </c>
      <c r="P1010" t="inlineStr">
        <is>
          <t xml:space="preserve">xx </t>
        </is>
      </c>
      <c r="R1010" t="inlineStr">
        <is>
          <t xml:space="preserve">DG </t>
        </is>
      </c>
      <c r="S1010" t="n">
        <v>5</v>
      </c>
      <c r="T1010" t="n">
        <v>5</v>
      </c>
      <c r="U1010" t="inlineStr">
        <is>
          <t>2002-12-07</t>
        </is>
      </c>
      <c r="V1010" t="inlineStr">
        <is>
          <t>2002-12-07</t>
        </is>
      </c>
      <c r="W1010" t="inlineStr">
        <is>
          <t>1997-02-03</t>
        </is>
      </c>
      <c r="X1010" t="inlineStr">
        <is>
          <t>1997-02-03</t>
        </is>
      </c>
      <c r="Y1010" t="n">
        <v>434</v>
      </c>
      <c r="Z1010" t="n">
        <v>413</v>
      </c>
      <c r="AA1010" t="n">
        <v>565</v>
      </c>
      <c r="AB1010" t="n">
        <v>4</v>
      </c>
      <c r="AC1010" t="n">
        <v>5</v>
      </c>
      <c r="AD1010" t="n">
        <v>15</v>
      </c>
      <c r="AE1010" t="n">
        <v>22</v>
      </c>
      <c r="AF1010" t="n">
        <v>8</v>
      </c>
      <c r="AG1010" t="n">
        <v>10</v>
      </c>
      <c r="AH1010" t="n">
        <v>3</v>
      </c>
      <c r="AI1010" t="n">
        <v>3</v>
      </c>
      <c r="AJ1010" t="n">
        <v>4</v>
      </c>
      <c r="AK1010" t="n">
        <v>8</v>
      </c>
      <c r="AL1010" t="n">
        <v>2</v>
      </c>
      <c r="AM1010" t="n">
        <v>3</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HYPERLINK("https://creighton-primo.hosted.exlibrisgroup.com/primo-explore/search?tab=default_tab&amp;search_scope=EVERYTHING&amp;vid=01CRU&amp;lang=en_US&amp;offset=0&amp;query=any,contains,991003302519702656","Catalog Record")</f>
        <v/>
      </c>
      <c r="AT1010">
        <f>HYPERLINK("http://www.worldcat.org/oclc/825557","WorldCat Record")</f>
        <v/>
      </c>
      <c r="AU1010" t="inlineStr">
        <is>
          <t>9490602507:eng</t>
        </is>
      </c>
      <c r="AV1010" t="inlineStr">
        <is>
          <t>825557</t>
        </is>
      </c>
      <c r="AW1010" t="inlineStr">
        <is>
          <t>991003302519702656</t>
        </is>
      </c>
      <c r="AX1010" t="inlineStr">
        <is>
          <t>991003302519702656</t>
        </is>
      </c>
      <c r="AY1010" t="inlineStr">
        <is>
          <t>2270575700002656</t>
        </is>
      </c>
      <c r="AZ1010" t="inlineStr">
        <is>
          <t>BOOK</t>
        </is>
      </c>
      <c r="BC1010" t="inlineStr">
        <is>
          <t>32285002420197</t>
        </is>
      </c>
      <c r="BD1010" t="inlineStr">
        <is>
          <t>893868278</t>
        </is>
      </c>
    </row>
    <row r="1011">
      <c r="A1011" t="inlineStr">
        <is>
          <t>No</t>
        </is>
      </c>
      <c r="B1011" t="inlineStr">
        <is>
          <t>DG223 .T67 1980</t>
        </is>
      </c>
      <c r="C1011" t="inlineStr">
        <is>
          <t>0                      DG 0223000T  67          1980</t>
        </is>
      </c>
      <c r="D1011" t="inlineStr">
        <is>
          <t>Etruria / Mario Torelli.</t>
        </is>
      </c>
      <c r="F1011" t="inlineStr">
        <is>
          <t>No</t>
        </is>
      </c>
      <c r="G1011" t="inlineStr">
        <is>
          <t>1</t>
        </is>
      </c>
      <c r="H1011" t="inlineStr">
        <is>
          <t>No</t>
        </is>
      </c>
      <c r="I1011" t="inlineStr">
        <is>
          <t>No</t>
        </is>
      </c>
      <c r="J1011" t="inlineStr">
        <is>
          <t>0</t>
        </is>
      </c>
      <c r="K1011" t="inlineStr">
        <is>
          <t>Torelli, Mario.</t>
        </is>
      </c>
      <c r="L1011" t="inlineStr">
        <is>
          <t>Roma ; Bari : Laterza, 1980.</t>
        </is>
      </c>
      <c r="M1011" t="inlineStr">
        <is>
          <t>1980</t>
        </is>
      </c>
      <c r="O1011" t="inlineStr">
        <is>
          <t>ita</t>
        </is>
      </c>
      <c r="P1011" t="inlineStr">
        <is>
          <t xml:space="preserve">it </t>
        </is>
      </c>
      <c r="Q1011" t="inlineStr">
        <is>
          <t>Guide archeologiche Laterza ; 3</t>
        </is>
      </c>
      <c r="R1011" t="inlineStr">
        <is>
          <t xml:space="preserve">DG </t>
        </is>
      </c>
      <c r="S1011" t="n">
        <v>1</v>
      </c>
      <c r="T1011" t="n">
        <v>1</v>
      </c>
      <c r="U1011" t="inlineStr">
        <is>
          <t>2003-03-31</t>
        </is>
      </c>
      <c r="V1011" t="inlineStr">
        <is>
          <t>2003-03-31</t>
        </is>
      </c>
      <c r="W1011" t="inlineStr">
        <is>
          <t>2003-03-31</t>
        </is>
      </c>
      <c r="X1011" t="inlineStr">
        <is>
          <t>2003-03-31</t>
        </is>
      </c>
      <c r="Y1011" t="n">
        <v>71</v>
      </c>
      <c r="Z1011" t="n">
        <v>31</v>
      </c>
      <c r="AA1011" t="n">
        <v>59</v>
      </c>
      <c r="AB1011" t="n">
        <v>1</v>
      </c>
      <c r="AC1011" t="n">
        <v>1</v>
      </c>
      <c r="AD1011" t="n">
        <v>0</v>
      </c>
      <c r="AE1011" t="n">
        <v>1</v>
      </c>
      <c r="AF1011" t="n">
        <v>0</v>
      </c>
      <c r="AG1011" t="n">
        <v>0</v>
      </c>
      <c r="AH1011" t="n">
        <v>0</v>
      </c>
      <c r="AI1011" t="n">
        <v>0</v>
      </c>
      <c r="AJ1011" t="n">
        <v>0</v>
      </c>
      <c r="AK1011" t="n">
        <v>1</v>
      </c>
      <c r="AL1011" t="n">
        <v>0</v>
      </c>
      <c r="AM1011" t="n">
        <v>0</v>
      </c>
      <c r="AN1011" t="n">
        <v>0</v>
      </c>
      <c r="AO1011" t="n">
        <v>0</v>
      </c>
      <c r="AP1011" t="inlineStr">
        <is>
          <t>No</t>
        </is>
      </c>
      <c r="AQ1011" t="inlineStr">
        <is>
          <t>Yes</t>
        </is>
      </c>
      <c r="AR1011">
        <f>HYPERLINK("http://catalog.hathitrust.org/Record/101877674","HathiTrust Record")</f>
        <v/>
      </c>
      <c r="AS1011">
        <f>HYPERLINK("https://creighton-primo.hosted.exlibrisgroup.com/primo-explore/search?tab=default_tab&amp;search_scope=EVERYTHING&amp;vid=01CRU&amp;lang=en_US&amp;offset=0&amp;query=any,contains,991004035209702656","Catalog Record")</f>
        <v/>
      </c>
      <c r="AT1011">
        <f>HYPERLINK("http://www.worldcat.org/oclc/8346140","WorldCat Record")</f>
        <v/>
      </c>
      <c r="AU1011" t="inlineStr">
        <is>
          <t>7995781:ita</t>
        </is>
      </c>
      <c r="AV1011" t="inlineStr">
        <is>
          <t>8346140</t>
        </is>
      </c>
      <c r="AW1011" t="inlineStr">
        <is>
          <t>991004035209702656</t>
        </is>
      </c>
      <c r="AX1011" t="inlineStr">
        <is>
          <t>991004035209702656</t>
        </is>
      </c>
      <c r="AY1011" t="inlineStr">
        <is>
          <t>2263376280002656</t>
        </is>
      </c>
      <c r="AZ1011" t="inlineStr">
        <is>
          <t>BOOK</t>
        </is>
      </c>
      <c r="BC1011" t="inlineStr">
        <is>
          <t>32285004688171</t>
        </is>
      </c>
      <c r="BD1011" t="inlineStr">
        <is>
          <t>893512720</t>
        </is>
      </c>
    </row>
    <row r="1012">
      <c r="A1012" t="inlineStr">
        <is>
          <t>No</t>
        </is>
      </c>
      <c r="B1012" t="inlineStr">
        <is>
          <t>DG223.2 .P67 1979</t>
        </is>
      </c>
      <c r="C1012" t="inlineStr">
        <is>
          <t>0                      DG 0223200P  67          1979</t>
        </is>
      </c>
      <c r="D1012" t="inlineStr">
        <is>
          <t>The changing landscape of South Etruria / T. W. Potter.</t>
        </is>
      </c>
      <c r="F1012" t="inlineStr">
        <is>
          <t>No</t>
        </is>
      </c>
      <c r="G1012" t="inlineStr">
        <is>
          <t>1</t>
        </is>
      </c>
      <c r="H1012" t="inlineStr">
        <is>
          <t>No</t>
        </is>
      </c>
      <c r="I1012" t="inlineStr">
        <is>
          <t>No</t>
        </is>
      </c>
      <c r="J1012" t="inlineStr">
        <is>
          <t>0</t>
        </is>
      </c>
      <c r="K1012" t="inlineStr">
        <is>
          <t>Potter, T. W. (Timothy W.)</t>
        </is>
      </c>
      <c r="L1012" t="inlineStr">
        <is>
          <t>New York : St. Martin's Press, 1979.</t>
        </is>
      </c>
      <c r="M1012" t="inlineStr">
        <is>
          <t>1979</t>
        </is>
      </c>
      <c r="O1012" t="inlineStr">
        <is>
          <t>eng</t>
        </is>
      </c>
      <c r="P1012" t="inlineStr">
        <is>
          <t>nyu</t>
        </is>
      </c>
      <c r="R1012" t="inlineStr">
        <is>
          <t xml:space="preserve">DG </t>
        </is>
      </c>
      <c r="S1012" t="n">
        <v>1</v>
      </c>
      <c r="T1012" t="n">
        <v>1</v>
      </c>
      <c r="U1012" t="inlineStr">
        <is>
          <t>1992-10-06</t>
        </is>
      </c>
      <c r="V1012" t="inlineStr">
        <is>
          <t>1992-10-06</t>
        </is>
      </c>
      <c r="W1012" t="inlineStr">
        <is>
          <t>1991-03-28</t>
        </is>
      </c>
      <c r="X1012" t="inlineStr">
        <is>
          <t>1991-03-28</t>
        </is>
      </c>
      <c r="Y1012" t="n">
        <v>188</v>
      </c>
      <c r="Z1012" t="n">
        <v>154</v>
      </c>
      <c r="AA1012" t="n">
        <v>197</v>
      </c>
      <c r="AB1012" t="n">
        <v>1</v>
      </c>
      <c r="AC1012" t="n">
        <v>3</v>
      </c>
      <c r="AD1012" t="n">
        <v>7</v>
      </c>
      <c r="AE1012" t="n">
        <v>11</v>
      </c>
      <c r="AF1012" t="n">
        <v>0</v>
      </c>
      <c r="AG1012" t="n">
        <v>1</v>
      </c>
      <c r="AH1012" t="n">
        <v>2</v>
      </c>
      <c r="AI1012" t="n">
        <v>3</v>
      </c>
      <c r="AJ1012" t="n">
        <v>6</v>
      </c>
      <c r="AK1012" t="n">
        <v>7</v>
      </c>
      <c r="AL1012" t="n">
        <v>0</v>
      </c>
      <c r="AM1012" t="n">
        <v>2</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HYPERLINK("https://creighton-primo.hosted.exlibrisgroup.com/primo-explore/search?tab=default_tab&amp;search_scope=EVERYTHING&amp;vid=01CRU&amp;lang=en_US&amp;offset=0&amp;query=any,contains,991004605859702656","Catalog Record")</f>
        <v/>
      </c>
      <c r="AT1012">
        <f>HYPERLINK("http://www.worldcat.org/oclc/4194476","WorldCat Record")</f>
        <v/>
      </c>
      <c r="AU1012" t="inlineStr">
        <is>
          <t>441875:eng</t>
        </is>
      </c>
      <c r="AV1012" t="inlineStr">
        <is>
          <t>4194476</t>
        </is>
      </c>
      <c r="AW1012" t="inlineStr">
        <is>
          <t>991004605859702656</t>
        </is>
      </c>
      <c r="AX1012" t="inlineStr">
        <is>
          <t>991004605859702656</t>
        </is>
      </c>
      <c r="AY1012" t="inlineStr">
        <is>
          <t>2262499750002656</t>
        </is>
      </c>
      <c r="AZ1012" t="inlineStr">
        <is>
          <t>BOOK</t>
        </is>
      </c>
      <c r="BB1012" t="inlineStr">
        <is>
          <t>9780312129538</t>
        </is>
      </c>
      <c r="BC1012" t="inlineStr">
        <is>
          <t>32285000521491</t>
        </is>
      </c>
      <c r="BD1012" t="inlineStr">
        <is>
          <t>893687909</t>
        </is>
      </c>
    </row>
    <row r="1013">
      <c r="A1013" t="inlineStr">
        <is>
          <t>No</t>
        </is>
      </c>
      <c r="B1013" t="inlineStr">
        <is>
          <t>DG223.3 .B89 1984</t>
        </is>
      </c>
      <c r="C1013" t="inlineStr">
        <is>
          <t>0                      DG 0223300B  89          1984</t>
        </is>
      </c>
      <c r="D1013" t="inlineStr">
        <is>
          <t>Guida alla civiltà etrusca / Giancarlo Buzzi ; consulenza e prefazione di Antonio Giuliano.</t>
        </is>
      </c>
      <c r="F1013" t="inlineStr">
        <is>
          <t>No</t>
        </is>
      </c>
      <c r="G1013" t="inlineStr">
        <is>
          <t>1</t>
        </is>
      </c>
      <c r="H1013" t="inlineStr">
        <is>
          <t>No</t>
        </is>
      </c>
      <c r="I1013" t="inlineStr">
        <is>
          <t>No</t>
        </is>
      </c>
      <c r="J1013" t="inlineStr">
        <is>
          <t>0</t>
        </is>
      </c>
      <c r="K1013" t="inlineStr">
        <is>
          <t>Buzzi, Giancarlo.</t>
        </is>
      </c>
      <c r="L1013" t="inlineStr">
        <is>
          <t>Milano : A. Mondadori, 1984.</t>
        </is>
      </c>
      <c r="M1013" t="inlineStr">
        <is>
          <t>1984</t>
        </is>
      </c>
      <c r="N1013" t="inlineStr">
        <is>
          <t>1a ed.</t>
        </is>
      </c>
      <c r="O1013" t="inlineStr">
        <is>
          <t>ita</t>
        </is>
      </c>
      <c r="P1013" t="inlineStr">
        <is>
          <t xml:space="preserve">it </t>
        </is>
      </c>
      <c r="Q1013" t="inlineStr">
        <is>
          <t>Libri illustrati Mondadori</t>
        </is>
      </c>
      <c r="R1013" t="inlineStr">
        <is>
          <t xml:space="preserve">DG </t>
        </is>
      </c>
      <c r="S1013" t="n">
        <v>1</v>
      </c>
      <c r="T1013" t="n">
        <v>1</v>
      </c>
      <c r="U1013" t="inlineStr">
        <is>
          <t>2008-06-10</t>
        </is>
      </c>
      <c r="V1013" t="inlineStr">
        <is>
          <t>2008-06-10</t>
        </is>
      </c>
      <c r="W1013" t="inlineStr">
        <is>
          <t>2008-06-10</t>
        </is>
      </c>
      <c r="X1013" t="inlineStr">
        <is>
          <t>2008-06-10</t>
        </is>
      </c>
      <c r="Y1013" t="n">
        <v>40</v>
      </c>
      <c r="Z1013" t="n">
        <v>22</v>
      </c>
      <c r="AA1013" t="n">
        <v>22</v>
      </c>
      <c r="AB1013" t="n">
        <v>1</v>
      </c>
      <c r="AC1013" t="n">
        <v>1</v>
      </c>
      <c r="AD1013" t="n">
        <v>0</v>
      </c>
      <c r="AE1013" t="n">
        <v>0</v>
      </c>
      <c r="AF1013" t="n">
        <v>0</v>
      </c>
      <c r="AG1013" t="n">
        <v>0</v>
      </c>
      <c r="AH1013" t="n">
        <v>0</v>
      </c>
      <c r="AI1013" t="n">
        <v>0</v>
      </c>
      <c r="AJ1013" t="n">
        <v>0</v>
      </c>
      <c r="AK1013" t="n">
        <v>0</v>
      </c>
      <c r="AL1013" t="n">
        <v>0</v>
      </c>
      <c r="AM1013" t="n">
        <v>0</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HYPERLINK("https://creighton-primo.hosted.exlibrisgroup.com/primo-explore/search?tab=default_tab&amp;search_scope=EVERYTHING&amp;vid=01CRU&amp;lang=en_US&amp;offset=0&amp;query=any,contains,991005232959702656","Catalog Record")</f>
        <v/>
      </c>
      <c r="AT1013">
        <f>HYPERLINK("http://www.worldcat.org/oclc/13398115","WorldCat Record")</f>
        <v/>
      </c>
      <c r="AU1013" t="inlineStr">
        <is>
          <t>7873327:ita</t>
        </is>
      </c>
      <c r="AV1013" t="inlineStr">
        <is>
          <t>13398115</t>
        </is>
      </c>
      <c r="AW1013" t="inlineStr">
        <is>
          <t>991005232959702656</t>
        </is>
      </c>
      <c r="AX1013" t="inlineStr">
        <is>
          <t>991005232959702656</t>
        </is>
      </c>
      <c r="AY1013" t="inlineStr">
        <is>
          <t>2264883480002656</t>
        </is>
      </c>
      <c r="AZ1013" t="inlineStr">
        <is>
          <t>BOOK</t>
        </is>
      </c>
      <c r="BC1013" t="inlineStr">
        <is>
          <t>32285005444004</t>
        </is>
      </c>
      <c r="BD1013" t="inlineStr">
        <is>
          <t>893607052</t>
        </is>
      </c>
    </row>
    <row r="1014">
      <c r="A1014" t="inlineStr">
        <is>
          <t>No</t>
        </is>
      </c>
      <c r="B1014" t="inlineStr">
        <is>
          <t>DG223.3 .M3 1987</t>
        </is>
      </c>
      <c r="C1014" t="inlineStr">
        <is>
          <t>0                      DG 0223300M  3           1987</t>
        </is>
      </c>
      <c r="D1014" t="inlineStr">
        <is>
          <t>Everyday life of the Etruscans / Ellen Macnamara ; drawings by Eva Wilson.</t>
        </is>
      </c>
      <c r="F1014" t="inlineStr">
        <is>
          <t>No</t>
        </is>
      </c>
      <c r="G1014" t="inlineStr">
        <is>
          <t>1</t>
        </is>
      </c>
      <c r="H1014" t="inlineStr">
        <is>
          <t>No</t>
        </is>
      </c>
      <c r="I1014" t="inlineStr">
        <is>
          <t>No</t>
        </is>
      </c>
      <c r="J1014" t="inlineStr">
        <is>
          <t>0</t>
        </is>
      </c>
      <c r="K1014" t="inlineStr">
        <is>
          <t>Macnamara, Ellen.</t>
        </is>
      </c>
      <c r="L1014" t="inlineStr">
        <is>
          <t>New York : Dorset Press, 1987.</t>
        </is>
      </c>
      <c r="M1014" t="inlineStr">
        <is>
          <t>1987</t>
        </is>
      </c>
      <c r="O1014" t="inlineStr">
        <is>
          <t>eng</t>
        </is>
      </c>
      <c r="P1014" t="inlineStr">
        <is>
          <t>nyu</t>
        </is>
      </c>
      <c r="R1014" t="inlineStr">
        <is>
          <t xml:space="preserve">DG </t>
        </is>
      </c>
      <c r="S1014" t="n">
        <v>1</v>
      </c>
      <c r="T1014" t="n">
        <v>1</v>
      </c>
      <c r="U1014" t="inlineStr">
        <is>
          <t>1992-10-06</t>
        </is>
      </c>
      <c r="V1014" t="inlineStr">
        <is>
          <t>1992-10-06</t>
        </is>
      </c>
      <c r="W1014" t="inlineStr">
        <is>
          <t>1990-04-30</t>
        </is>
      </c>
      <c r="X1014" t="inlineStr">
        <is>
          <t>1990-04-30</t>
        </is>
      </c>
      <c r="Y1014" t="n">
        <v>488</v>
      </c>
      <c r="Z1014" t="n">
        <v>454</v>
      </c>
      <c r="AA1014" t="n">
        <v>873</v>
      </c>
      <c r="AB1014" t="n">
        <v>5</v>
      </c>
      <c r="AC1014" t="n">
        <v>6</v>
      </c>
      <c r="AD1014" t="n">
        <v>17</v>
      </c>
      <c r="AE1014" t="n">
        <v>23</v>
      </c>
      <c r="AF1014" t="n">
        <v>6</v>
      </c>
      <c r="AG1014" t="n">
        <v>7</v>
      </c>
      <c r="AH1014" t="n">
        <v>5</v>
      </c>
      <c r="AI1014" t="n">
        <v>6</v>
      </c>
      <c r="AJ1014" t="n">
        <v>9</v>
      </c>
      <c r="AK1014" t="n">
        <v>14</v>
      </c>
      <c r="AL1014" t="n">
        <v>1</v>
      </c>
      <c r="AM1014" t="n">
        <v>2</v>
      </c>
      <c r="AN1014" t="n">
        <v>0</v>
      </c>
      <c r="AO1014" t="n">
        <v>0</v>
      </c>
      <c r="AP1014" t="inlineStr">
        <is>
          <t>No</t>
        </is>
      </c>
      <c r="AQ1014" t="inlineStr">
        <is>
          <t>Yes</t>
        </is>
      </c>
      <c r="AR1014">
        <f>HYPERLINK("http://catalog.hathitrust.org/Record/101982463","HathiTrust Record")</f>
        <v/>
      </c>
      <c r="AS1014">
        <f>HYPERLINK("https://creighton-primo.hosted.exlibrisgroup.com/primo-explore/search?tab=default_tab&amp;search_scope=EVERYTHING&amp;vid=01CRU&amp;lang=en_US&amp;offset=0&amp;query=any,contains,991001072909702656","Catalog Record")</f>
        <v/>
      </c>
      <c r="AT1014">
        <f>HYPERLINK("http://www.worldcat.org/oclc/16002785","WorldCat Record")</f>
        <v/>
      </c>
      <c r="AU1014" t="inlineStr">
        <is>
          <t>1784091:eng</t>
        </is>
      </c>
      <c r="AV1014" t="inlineStr">
        <is>
          <t>16002785</t>
        </is>
      </c>
      <c r="AW1014" t="inlineStr">
        <is>
          <t>991001072909702656</t>
        </is>
      </c>
      <c r="AX1014" t="inlineStr">
        <is>
          <t>991001072909702656</t>
        </is>
      </c>
      <c r="AY1014" t="inlineStr">
        <is>
          <t>2272069220002656</t>
        </is>
      </c>
      <c r="AZ1014" t="inlineStr">
        <is>
          <t>BOOK</t>
        </is>
      </c>
      <c r="BB1014" t="inlineStr">
        <is>
          <t>9780880291262</t>
        </is>
      </c>
      <c r="BC1014" t="inlineStr">
        <is>
          <t>32285000128743</t>
        </is>
      </c>
      <c r="BD1014" t="inlineStr">
        <is>
          <t>893891271</t>
        </is>
      </c>
    </row>
    <row r="1015">
      <c r="A1015" t="inlineStr">
        <is>
          <t>No</t>
        </is>
      </c>
      <c r="B1015" t="inlineStr">
        <is>
          <t>DG223.3 .W44</t>
        </is>
      </c>
      <c r="C1015" t="inlineStr">
        <is>
          <t>0                      DG 0223300W  44</t>
        </is>
      </c>
      <c r="D1015" t="inlineStr">
        <is>
          <t>The search for the Etruscans [by] James Wellard.</t>
        </is>
      </c>
      <c r="F1015" t="inlineStr">
        <is>
          <t>No</t>
        </is>
      </c>
      <c r="G1015" t="inlineStr">
        <is>
          <t>1</t>
        </is>
      </c>
      <c r="H1015" t="inlineStr">
        <is>
          <t>No</t>
        </is>
      </c>
      <c r="I1015" t="inlineStr">
        <is>
          <t>No</t>
        </is>
      </c>
      <c r="J1015" t="inlineStr">
        <is>
          <t>0</t>
        </is>
      </c>
      <c r="K1015" t="inlineStr">
        <is>
          <t>Wellard, James, 1909-1987.</t>
        </is>
      </c>
      <c r="L1015" t="inlineStr">
        <is>
          <t>London, Nelson, 1973.</t>
        </is>
      </c>
      <c r="M1015" t="inlineStr">
        <is>
          <t>1973</t>
        </is>
      </c>
      <c r="O1015" t="inlineStr">
        <is>
          <t>eng</t>
        </is>
      </c>
      <c r="P1015" t="inlineStr">
        <is>
          <t>enk</t>
        </is>
      </c>
      <c r="R1015" t="inlineStr">
        <is>
          <t xml:space="preserve">DG </t>
        </is>
      </c>
      <c r="S1015" t="n">
        <v>3</v>
      </c>
      <c r="T1015" t="n">
        <v>3</v>
      </c>
      <c r="U1015" t="inlineStr">
        <is>
          <t>2002-11-19</t>
        </is>
      </c>
      <c r="V1015" t="inlineStr">
        <is>
          <t>2002-11-19</t>
        </is>
      </c>
      <c r="W1015" t="inlineStr">
        <is>
          <t>1997-02-03</t>
        </is>
      </c>
      <c r="X1015" t="inlineStr">
        <is>
          <t>1997-02-03</t>
        </is>
      </c>
      <c r="Y1015" t="n">
        <v>117</v>
      </c>
      <c r="Z1015" t="n">
        <v>55</v>
      </c>
      <c r="AA1015" t="n">
        <v>852</v>
      </c>
      <c r="AB1015" t="n">
        <v>1</v>
      </c>
      <c r="AC1015" t="n">
        <v>4</v>
      </c>
      <c r="AD1015" t="n">
        <v>1</v>
      </c>
      <c r="AE1015" t="n">
        <v>24</v>
      </c>
      <c r="AF1015" t="n">
        <v>0</v>
      </c>
      <c r="AG1015" t="n">
        <v>11</v>
      </c>
      <c r="AH1015" t="n">
        <v>1</v>
      </c>
      <c r="AI1015" t="n">
        <v>4</v>
      </c>
      <c r="AJ1015" t="n">
        <v>0</v>
      </c>
      <c r="AK1015" t="n">
        <v>17</v>
      </c>
      <c r="AL1015" t="n">
        <v>0</v>
      </c>
      <c r="AM1015" t="n">
        <v>1</v>
      </c>
      <c r="AN1015" t="n">
        <v>0</v>
      </c>
      <c r="AO1015" t="n">
        <v>0</v>
      </c>
      <c r="AP1015" t="inlineStr">
        <is>
          <t>No</t>
        </is>
      </c>
      <c r="AQ1015" t="inlineStr">
        <is>
          <t>Yes</t>
        </is>
      </c>
      <c r="AR1015">
        <f>HYPERLINK("http://catalog.hathitrust.org/Record/009182105","HathiTrust Record")</f>
        <v/>
      </c>
      <c r="AS1015">
        <f>HYPERLINK("https://creighton-primo.hosted.exlibrisgroup.com/primo-explore/search?tab=default_tab&amp;search_scope=EVERYTHING&amp;vid=01CRU&amp;lang=en_US&amp;offset=0&amp;query=any,contains,991003307849702656","Catalog Record")</f>
        <v/>
      </c>
      <c r="AT1015">
        <f>HYPERLINK("http://www.worldcat.org/oclc/831415","WorldCat Record")</f>
        <v/>
      </c>
      <c r="AU1015" t="inlineStr">
        <is>
          <t>495766295:eng</t>
        </is>
      </c>
      <c r="AV1015" t="inlineStr">
        <is>
          <t>831415</t>
        </is>
      </c>
      <c r="AW1015" t="inlineStr">
        <is>
          <t>991003307849702656</t>
        </is>
      </c>
      <c r="AX1015" t="inlineStr">
        <is>
          <t>991003307849702656</t>
        </is>
      </c>
      <c r="AY1015" t="inlineStr">
        <is>
          <t>2271892970002656</t>
        </is>
      </c>
      <c r="AZ1015" t="inlineStr">
        <is>
          <t>BOOK</t>
        </is>
      </c>
      <c r="BB1015" t="inlineStr">
        <is>
          <t>9780171440089</t>
        </is>
      </c>
      <c r="BC1015" t="inlineStr">
        <is>
          <t>32285002420221</t>
        </is>
      </c>
      <c r="BD1015" t="inlineStr">
        <is>
          <t>893342447</t>
        </is>
      </c>
    </row>
    <row r="1016">
      <c r="A1016" t="inlineStr">
        <is>
          <t>No</t>
        </is>
      </c>
      <c r="B1016" t="inlineStr">
        <is>
          <t>DG223.7.M55 C67 1987, v...</t>
        </is>
      </c>
      <c r="C1016" t="inlineStr">
        <is>
          <t>0                      DG 0223700M  55                 C  67          1987                  v...</t>
        </is>
      </c>
      <c r="D1016" t="inlineStr">
        <is>
          <t>Corpus speculorum Etruscorum. U.S.A.</t>
        </is>
      </c>
      <c r="E1016" t="inlineStr">
        <is>
          <t>V.1</t>
        </is>
      </c>
      <c r="F1016" t="inlineStr">
        <is>
          <t>No</t>
        </is>
      </c>
      <c r="G1016" t="inlineStr">
        <is>
          <t>1</t>
        </is>
      </c>
      <c r="H1016" t="inlineStr">
        <is>
          <t>No</t>
        </is>
      </c>
      <c r="I1016" t="inlineStr">
        <is>
          <t>No</t>
        </is>
      </c>
      <c r="J1016" t="inlineStr">
        <is>
          <t>0</t>
        </is>
      </c>
      <c r="L1016" t="inlineStr">
        <is>
          <t>Ames : Iowa State University Press, 1987-</t>
        </is>
      </c>
      <c r="M1016" t="inlineStr">
        <is>
          <t>1987</t>
        </is>
      </c>
      <c r="N1016" t="inlineStr">
        <is>
          <t>1st ed.</t>
        </is>
      </c>
      <c r="O1016" t="inlineStr">
        <is>
          <t>eng</t>
        </is>
      </c>
      <c r="P1016" t="inlineStr">
        <is>
          <t>iau</t>
        </is>
      </c>
      <c r="R1016" t="inlineStr">
        <is>
          <t xml:space="preserve">DG </t>
        </is>
      </c>
      <c r="S1016" t="n">
        <v>1</v>
      </c>
      <c r="T1016" t="n">
        <v>1</v>
      </c>
      <c r="U1016" t="inlineStr">
        <is>
          <t>2000-01-20</t>
        </is>
      </c>
      <c r="V1016" t="inlineStr">
        <is>
          <t>2000-01-20</t>
        </is>
      </c>
      <c r="W1016" t="inlineStr">
        <is>
          <t>1991-03-28</t>
        </is>
      </c>
      <c r="X1016" t="inlineStr">
        <is>
          <t>1991-03-28</t>
        </is>
      </c>
      <c r="Y1016" t="n">
        <v>165</v>
      </c>
      <c r="Z1016" t="n">
        <v>150</v>
      </c>
      <c r="AA1016" t="n">
        <v>153</v>
      </c>
      <c r="AB1016" t="n">
        <v>3</v>
      </c>
      <c r="AC1016" t="n">
        <v>3</v>
      </c>
      <c r="AD1016" t="n">
        <v>8</v>
      </c>
      <c r="AE1016" t="n">
        <v>8</v>
      </c>
      <c r="AF1016" t="n">
        <v>2</v>
      </c>
      <c r="AG1016" t="n">
        <v>2</v>
      </c>
      <c r="AH1016" t="n">
        <v>2</v>
      </c>
      <c r="AI1016" t="n">
        <v>2</v>
      </c>
      <c r="AJ1016" t="n">
        <v>4</v>
      </c>
      <c r="AK1016" t="n">
        <v>4</v>
      </c>
      <c r="AL1016" t="n">
        <v>1</v>
      </c>
      <c r="AM1016" t="n">
        <v>1</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HYPERLINK("https://creighton-primo.hosted.exlibrisgroup.com/primo-explore/search?tab=default_tab&amp;search_scope=EVERYTHING&amp;vid=01CRU&amp;lang=en_US&amp;offset=0&amp;query=any,contains,991000968219702656","Catalog Record")</f>
        <v/>
      </c>
      <c r="AT1016">
        <f>HYPERLINK("http://www.worldcat.org/oclc/14932033","WorldCat Record")</f>
        <v/>
      </c>
      <c r="AU1016" t="inlineStr">
        <is>
          <t>2863902270:eng</t>
        </is>
      </c>
      <c r="AV1016" t="inlineStr">
        <is>
          <t>14932033</t>
        </is>
      </c>
      <c r="AW1016" t="inlineStr">
        <is>
          <t>991000968219702656</t>
        </is>
      </c>
      <c r="AX1016" t="inlineStr">
        <is>
          <t>991000968219702656</t>
        </is>
      </c>
      <c r="AY1016" t="inlineStr">
        <is>
          <t>2263557360002656</t>
        </is>
      </c>
      <c r="AZ1016" t="inlineStr">
        <is>
          <t>BOOK</t>
        </is>
      </c>
      <c r="BB1016" t="inlineStr">
        <is>
          <t>9780813803630</t>
        </is>
      </c>
      <c r="BC1016" t="inlineStr">
        <is>
          <t>32285000521509</t>
        </is>
      </c>
      <c r="BD1016" t="inlineStr">
        <is>
          <t>893225496</t>
        </is>
      </c>
    </row>
    <row r="1017">
      <c r="A1017" t="inlineStr">
        <is>
          <t>No</t>
        </is>
      </c>
      <c r="B1017" t="inlineStr">
        <is>
          <t>DG231 .D95 1992</t>
        </is>
      </c>
      <c r="C1017" t="inlineStr">
        <is>
          <t>0                      DG 0231000D  95          1992</t>
        </is>
      </c>
      <c r="D1017" t="inlineStr">
        <is>
          <t>Community and society in Roman Italy / Stephen L. Dyson.</t>
        </is>
      </c>
      <c r="F1017" t="inlineStr">
        <is>
          <t>No</t>
        </is>
      </c>
      <c r="G1017" t="inlineStr">
        <is>
          <t>1</t>
        </is>
      </c>
      <c r="H1017" t="inlineStr">
        <is>
          <t>No</t>
        </is>
      </c>
      <c r="I1017" t="inlineStr">
        <is>
          <t>No</t>
        </is>
      </c>
      <c r="J1017" t="inlineStr">
        <is>
          <t>0</t>
        </is>
      </c>
      <c r="K1017" t="inlineStr">
        <is>
          <t>Dyson, Stephen L.</t>
        </is>
      </c>
      <c r="L1017" t="inlineStr">
        <is>
          <t>Baltimore : Johns Hopkins University Press, c1992.</t>
        </is>
      </c>
      <c r="M1017" t="inlineStr">
        <is>
          <t>1992</t>
        </is>
      </c>
      <c r="O1017" t="inlineStr">
        <is>
          <t>eng</t>
        </is>
      </c>
      <c r="P1017" t="inlineStr">
        <is>
          <t>mdu</t>
        </is>
      </c>
      <c r="Q1017" t="inlineStr">
        <is>
          <t>Ancient society and history</t>
        </is>
      </c>
      <c r="R1017" t="inlineStr">
        <is>
          <t xml:space="preserve">DG </t>
        </is>
      </c>
      <c r="S1017" t="n">
        <v>4</v>
      </c>
      <c r="T1017" t="n">
        <v>4</v>
      </c>
      <c r="U1017" t="inlineStr">
        <is>
          <t>1998-04-20</t>
        </is>
      </c>
      <c r="V1017" t="inlineStr">
        <is>
          <t>1998-04-20</t>
        </is>
      </c>
      <c r="W1017" t="inlineStr">
        <is>
          <t>1992-06-03</t>
        </is>
      </c>
      <c r="X1017" t="inlineStr">
        <is>
          <t>1992-06-03</t>
        </is>
      </c>
      <c r="Y1017" t="n">
        <v>585</v>
      </c>
      <c r="Z1017" t="n">
        <v>487</v>
      </c>
      <c r="AA1017" t="n">
        <v>514</v>
      </c>
      <c r="AB1017" t="n">
        <v>3</v>
      </c>
      <c r="AC1017" t="n">
        <v>4</v>
      </c>
      <c r="AD1017" t="n">
        <v>30</v>
      </c>
      <c r="AE1017" t="n">
        <v>32</v>
      </c>
      <c r="AF1017" t="n">
        <v>15</v>
      </c>
      <c r="AG1017" t="n">
        <v>15</v>
      </c>
      <c r="AH1017" t="n">
        <v>6</v>
      </c>
      <c r="AI1017" t="n">
        <v>7</v>
      </c>
      <c r="AJ1017" t="n">
        <v>13</v>
      </c>
      <c r="AK1017" t="n">
        <v>14</v>
      </c>
      <c r="AL1017" t="n">
        <v>2</v>
      </c>
      <c r="AM1017" t="n">
        <v>3</v>
      </c>
      <c r="AN1017" t="n">
        <v>0</v>
      </c>
      <c r="AO1017" t="n">
        <v>0</v>
      </c>
      <c r="AP1017" t="inlineStr">
        <is>
          <t>No</t>
        </is>
      </c>
      <c r="AQ1017" t="inlineStr">
        <is>
          <t>Yes</t>
        </is>
      </c>
      <c r="AR1017">
        <f>HYPERLINK("http://catalog.hathitrust.org/Record/004519469","HathiTrust Record")</f>
        <v/>
      </c>
      <c r="AS1017">
        <f>HYPERLINK("https://creighton-primo.hosted.exlibrisgroup.com/primo-explore/search?tab=default_tab&amp;search_scope=EVERYTHING&amp;vid=01CRU&amp;lang=en_US&amp;offset=0&amp;query=any,contains,991001897409702656","Catalog Record")</f>
        <v/>
      </c>
      <c r="AT1017">
        <f>HYPERLINK("http://www.worldcat.org/oclc/23973032","WorldCat Record")</f>
        <v/>
      </c>
      <c r="AU1017" t="inlineStr">
        <is>
          <t>25210961:eng</t>
        </is>
      </c>
      <c r="AV1017" t="inlineStr">
        <is>
          <t>23973032</t>
        </is>
      </c>
      <c r="AW1017" t="inlineStr">
        <is>
          <t>991001897409702656</t>
        </is>
      </c>
      <c r="AX1017" t="inlineStr">
        <is>
          <t>991001897409702656</t>
        </is>
      </c>
      <c r="AY1017" t="inlineStr">
        <is>
          <t>2259231680002656</t>
        </is>
      </c>
      <c r="AZ1017" t="inlineStr">
        <is>
          <t>BOOK</t>
        </is>
      </c>
      <c r="BB1017" t="inlineStr">
        <is>
          <t>9780801841750</t>
        </is>
      </c>
      <c r="BC1017" t="inlineStr">
        <is>
          <t>32285001126522</t>
        </is>
      </c>
      <c r="BD1017" t="inlineStr">
        <is>
          <t>893797905</t>
        </is>
      </c>
    </row>
    <row r="1018">
      <c r="A1018" t="inlineStr">
        <is>
          <t>No</t>
        </is>
      </c>
      <c r="B1018" t="inlineStr">
        <is>
          <t>DG231 .M28 2003</t>
        </is>
      </c>
      <c r="C1018" t="inlineStr">
        <is>
          <t>0                      DG 0231000M  28          2003</t>
        </is>
      </c>
      <c r="D1018" t="inlineStr">
        <is>
          <t>Chronicle of the Roman Republic : the rulers of ancient Rome from Romulus to Augustus / Philip Matyszak.</t>
        </is>
      </c>
      <c r="F1018" t="inlineStr">
        <is>
          <t>No</t>
        </is>
      </c>
      <c r="G1018" t="inlineStr">
        <is>
          <t>1</t>
        </is>
      </c>
      <c r="H1018" t="inlineStr">
        <is>
          <t>No</t>
        </is>
      </c>
      <c r="I1018" t="inlineStr">
        <is>
          <t>No</t>
        </is>
      </c>
      <c r="J1018" t="inlineStr">
        <is>
          <t>0</t>
        </is>
      </c>
      <c r="K1018" t="inlineStr">
        <is>
          <t>Matyszak, Philip.</t>
        </is>
      </c>
      <c r="L1018" t="inlineStr">
        <is>
          <t>New York : Thames &amp; Hudson, 2003.</t>
        </is>
      </c>
      <c r="M1018" t="inlineStr">
        <is>
          <t>2003</t>
        </is>
      </c>
      <c r="O1018" t="inlineStr">
        <is>
          <t>eng</t>
        </is>
      </c>
      <c r="P1018" t="inlineStr">
        <is>
          <t>nyu</t>
        </is>
      </c>
      <c r="R1018" t="inlineStr">
        <is>
          <t xml:space="preserve">DG </t>
        </is>
      </c>
      <c r="S1018" t="n">
        <v>4</v>
      </c>
      <c r="T1018" t="n">
        <v>4</v>
      </c>
      <c r="U1018" t="inlineStr">
        <is>
          <t>2005-03-10</t>
        </is>
      </c>
      <c r="V1018" t="inlineStr">
        <is>
          <t>2005-03-10</t>
        </is>
      </c>
      <c r="W1018" t="inlineStr">
        <is>
          <t>2004-02-12</t>
        </is>
      </c>
      <c r="X1018" t="inlineStr">
        <is>
          <t>2004-02-12</t>
        </is>
      </c>
      <c r="Y1018" t="n">
        <v>794</v>
      </c>
      <c r="Z1018" t="n">
        <v>685</v>
      </c>
      <c r="AA1018" t="n">
        <v>737</v>
      </c>
      <c r="AB1018" t="n">
        <v>5</v>
      </c>
      <c r="AC1018" t="n">
        <v>5</v>
      </c>
      <c r="AD1018" t="n">
        <v>23</v>
      </c>
      <c r="AE1018" t="n">
        <v>23</v>
      </c>
      <c r="AF1018" t="n">
        <v>10</v>
      </c>
      <c r="AG1018" t="n">
        <v>10</v>
      </c>
      <c r="AH1018" t="n">
        <v>3</v>
      </c>
      <c r="AI1018" t="n">
        <v>3</v>
      </c>
      <c r="AJ1018" t="n">
        <v>13</v>
      </c>
      <c r="AK1018" t="n">
        <v>13</v>
      </c>
      <c r="AL1018" t="n">
        <v>3</v>
      </c>
      <c r="AM1018" t="n">
        <v>3</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HYPERLINK("https://creighton-primo.hosted.exlibrisgroup.com/primo-explore/search?tab=default_tab&amp;search_scope=EVERYTHING&amp;vid=01CRU&amp;lang=en_US&amp;offset=0&amp;query=any,contains,991004213039702656","Catalog Record")</f>
        <v/>
      </c>
      <c r="AT1018">
        <f>HYPERLINK("http://www.worldcat.org/oclc/52432670","WorldCat Record")</f>
        <v/>
      </c>
      <c r="AU1018" t="inlineStr">
        <is>
          <t>50161619:eng</t>
        </is>
      </c>
      <c r="AV1018" t="inlineStr">
        <is>
          <t>52432670</t>
        </is>
      </c>
      <c r="AW1018" t="inlineStr">
        <is>
          <t>991004213039702656</t>
        </is>
      </c>
      <c r="AX1018" t="inlineStr">
        <is>
          <t>991004213039702656</t>
        </is>
      </c>
      <c r="AY1018" t="inlineStr">
        <is>
          <t>2267785130002656</t>
        </is>
      </c>
      <c r="AZ1018" t="inlineStr">
        <is>
          <t>BOOK</t>
        </is>
      </c>
      <c r="BB1018" t="inlineStr">
        <is>
          <t>9780500051214</t>
        </is>
      </c>
      <c r="BC1018" t="inlineStr">
        <is>
          <t>32285004638671</t>
        </is>
      </c>
      <c r="BD1018" t="inlineStr">
        <is>
          <t>893525798</t>
        </is>
      </c>
    </row>
    <row r="1019">
      <c r="A1019" t="inlineStr">
        <is>
          <t>No</t>
        </is>
      </c>
      <c r="B1019" t="inlineStr">
        <is>
          <t>DG231 .M33 2004</t>
        </is>
      </c>
      <c r="C1019" t="inlineStr">
        <is>
          <t>0                      DG 0231000M  33          2004</t>
        </is>
      </c>
      <c r="D1019" t="inlineStr">
        <is>
          <t>Ancient Rome : a military and political history / Christopher S. Mackay.</t>
        </is>
      </c>
      <c r="F1019" t="inlineStr">
        <is>
          <t>No</t>
        </is>
      </c>
      <c r="G1019" t="inlineStr">
        <is>
          <t>1</t>
        </is>
      </c>
      <c r="H1019" t="inlineStr">
        <is>
          <t>No</t>
        </is>
      </c>
      <c r="I1019" t="inlineStr">
        <is>
          <t>No</t>
        </is>
      </c>
      <c r="J1019" t="inlineStr">
        <is>
          <t>0</t>
        </is>
      </c>
      <c r="K1019" t="inlineStr">
        <is>
          <t>Mackay, Christopher S., 1962-</t>
        </is>
      </c>
      <c r="L1019" t="inlineStr">
        <is>
          <t>Cambridge ; New York : Cambridge University Press, 2004</t>
        </is>
      </c>
      <c r="M1019" t="inlineStr">
        <is>
          <t>2004</t>
        </is>
      </c>
      <c r="O1019" t="inlineStr">
        <is>
          <t>eng</t>
        </is>
      </c>
      <c r="P1019" t="inlineStr">
        <is>
          <t>nyu</t>
        </is>
      </c>
      <c r="R1019" t="inlineStr">
        <is>
          <t xml:space="preserve">DG </t>
        </is>
      </c>
      <c r="S1019" t="n">
        <v>4</v>
      </c>
      <c r="T1019" t="n">
        <v>4</v>
      </c>
      <c r="U1019" t="inlineStr">
        <is>
          <t>2009-08-08</t>
        </is>
      </c>
      <c r="V1019" t="inlineStr">
        <is>
          <t>2009-08-08</t>
        </is>
      </c>
      <c r="W1019" t="inlineStr">
        <is>
          <t>2008-05-16</t>
        </is>
      </c>
      <c r="X1019" t="inlineStr">
        <is>
          <t>2008-05-16</t>
        </is>
      </c>
      <c r="Y1019" t="n">
        <v>664</v>
      </c>
      <c r="Z1019" t="n">
        <v>518</v>
      </c>
      <c r="AA1019" t="n">
        <v>577</v>
      </c>
      <c r="AB1019" t="n">
        <v>3</v>
      </c>
      <c r="AC1019" t="n">
        <v>4</v>
      </c>
      <c r="AD1019" t="n">
        <v>24</v>
      </c>
      <c r="AE1019" t="n">
        <v>25</v>
      </c>
      <c r="AF1019" t="n">
        <v>8</v>
      </c>
      <c r="AG1019" t="n">
        <v>8</v>
      </c>
      <c r="AH1019" t="n">
        <v>6</v>
      </c>
      <c r="AI1019" t="n">
        <v>6</v>
      </c>
      <c r="AJ1019" t="n">
        <v>14</v>
      </c>
      <c r="AK1019" t="n">
        <v>14</v>
      </c>
      <c r="AL1019" t="n">
        <v>2</v>
      </c>
      <c r="AM1019" t="n">
        <v>3</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HYPERLINK("https://creighton-primo.hosted.exlibrisgroup.com/primo-explore/search?tab=default_tab&amp;search_scope=EVERYTHING&amp;vid=01CRU&amp;lang=en_US&amp;offset=0&amp;query=any,contains,991005221489702656","Catalog Record")</f>
        <v/>
      </c>
      <c r="AT1019">
        <f>HYPERLINK("http://www.worldcat.org/oclc/54024144","WorldCat Record")</f>
        <v/>
      </c>
      <c r="AU1019" t="inlineStr">
        <is>
          <t>77952:eng</t>
        </is>
      </c>
      <c r="AV1019" t="inlineStr">
        <is>
          <t>54024144</t>
        </is>
      </c>
      <c r="AW1019" t="inlineStr">
        <is>
          <t>991005221489702656</t>
        </is>
      </c>
      <c r="AX1019" t="inlineStr">
        <is>
          <t>991005221489702656</t>
        </is>
      </c>
      <c r="AY1019" t="inlineStr">
        <is>
          <t>2269152110002656</t>
        </is>
      </c>
      <c r="AZ1019" t="inlineStr">
        <is>
          <t>BOOK</t>
        </is>
      </c>
      <c r="BB1019" t="inlineStr">
        <is>
          <t>9780521711494</t>
        </is>
      </c>
      <c r="BC1019" t="inlineStr">
        <is>
          <t>32285005408827</t>
        </is>
      </c>
      <c r="BD1019" t="inlineStr">
        <is>
          <t>893443608</t>
        </is>
      </c>
    </row>
    <row r="1020">
      <c r="A1020" t="inlineStr">
        <is>
          <t>No</t>
        </is>
      </c>
      <c r="B1020" t="inlineStr">
        <is>
          <t>DG235 .C7 1982</t>
        </is>
      </c>
      <c r="C1020" t="inlineStr">
        <is>
          <t>0                      DG 0235000C  7           1982</t>
        </is>
      </c>
      <c r="D1020" t="inlineStr">
        <is>
          <t>The Roman Republic / Michael Crawford.</t>
        </is>
      </c>
      <c r="F1020" t="inlineStr">
        <is>
          <t>No</t>
        </is>
      </c>
      <c r="G1020" t="inlineStr">
        <is>
          <t>1</t>
        </is>
      </c>
      <c r="H1020" t="inlineStr">
        <is>
          <t>No</t>
        </is>
      </c>
      <c r="I1020" t="inlineStr">
        <is>
          <t>No</t>
        </is>
      </c>
      <c r="J1020" t="inlineStr">
        <is>
          <t>0</t>
        </is>
      </c>
      <c r="K1020" t="inlineStr">
        <is>
          <t>Crawford, Michael H. (Michael Hewson), 1939-</t>
        </is>
      </c>
      <c r="L1020" t="inlineStr">
        <is>
          <t>Cambridge, Mass. : Harvard University Press, [1982], c1978.</t>
        </is>
      </c>
      <c r="M1020" t="inlineStr">
        <is>
          <t>1982</t>
        </is>
      </c>
      <c r="O1020" t="inlineStr">
        <is>
          <t>eng</t>
        </is>
      </c>
      <c r="P1020" t="inlineStr">
        <is>
          <t>mau</t>
        </is>
      </c>
      <c r="R1020" t="inlineStr">
        <is>
          <t xml:space="preserve">DG </t>
        </is>
      </c>
      <c r="S1020" t="n">
        <v>6</v>
      </c>
      <c r="T1020" t="n">
        <v>6</v>
      </c>
      <c r="U1020" t="inlineStr">
        <is>
          <t>2010-10-07</t>
        </is>
      </c>
      <c r="V1020" t="inlineStr">
        <is>
          <t>2010-10-07</t>
        </is>
      </c>
      <c r="W1020" t="inlineStr">
        <is>
          <t>1991-03-28</t>
        </is>
      </c>
      <c r="X1020" t="inlineStr">
        <is>
          <t>1991-03-28</t>
        </is>
      </c>
      <c r="Y1020" t="n">
        <v>252</v>
      </c>
      <c r="Z1020" t="n">
        <v>227</v>
      </c>
      <c r="AA1020" t="n">
        <v>931</v>
      </c>
      <c r="AB1020" t="n">
        <v>2</v>
      </c>
      <c r="AC1020" t="n">
        <v>6</v>
      </c>
      <c r="AD1020" t="n">
        <v>13</v>
      </c>
      <c r="AE1020" t="n">
        <v>38</v>
      </c>
      <c r="AF1020" t="n">
        <v>6</v>
      </c>
      <c r="AG1020" t="n">
        <v>18</v>
      </c>
      <c r="AH1020" t="n">
        <v>3</v>
      </c>
      <c r="AI1020" t="n">
        <v>7</v>
      </c>
      <c r="AJ1020" t="n">
        <v>6</v>
      </c>
      <c r="AK1020" t="n">
        <v>20</v>
      </c>
      <c r="AL1020" t="n">
        <v>0</v>
      </c>
      <c r="AM1020" t="n">
        <v>3</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HYPERLINK("https://creighton-primo.hosted.exlibrisgroup.com/primo-explore/search?tab=default_tab&amp;search_scope=EVERYTHING&amp;vid=01CRU&amp;lang=en_US&amp;offset=0&amp;query=any,contains,991005187259702656","Catalog Record")</f>
        <v/>
      </c>
      <c r="AT1020">
        <f>HYPERLINK("http://www.worldcat.org/oclc/7977163","WorldCat Record")</f>
        <v/>
      </c>
      <c r="AU1020" t="inlineStr">
        <is>
          <t>2070174549:eng</t>
        </is>
      </c>
      <c r="AV1020" t="inlineStr">
        <is>
          <t>7977163</t>
        </is>
      </c>
      <c r="AW1020" t="inlineStr">
        <is>
          <t>991005187259702656</t>
        </is>
      </c>
      <c r="AX1020" t="inlineStr">
        <is>
          <t>991005187259702656</t>
        </is>
      </c>
      <c r="AY1020" t="inlineStr">
        <is>
          <t>2272364570002656</t>
        </is>
      </c>
      <c r="AZ1020" t="inlineStr">
        <is>
          <t>BOOK</t>
        </is>
      </c>
      <c r="BB1020" t="inlineStr">
        <is>
          <t>9780674779310</t>
        </is>
      </c>
      <c r="BC1020" t="inlineStr">
        <is>
          <t>32285000521525</t>
        </is>
      </c>
      <c r="BD1020" t="inlineStr">
        <is>
          <t>893613268</t>
        </is>
      </c>
    </row>
    <row r="1021">
      <c r="A1021" t="inlineStr">
        <is>
          <t>No</t>
        </is>
      </c>
      <c r="B1021" t="inlineStr">
        <is>
          <t>DG235 .L58 1994</t>
        </is>
      </c>
      <c r="C1021" t="inlineStr">
        <is>
          <t>0                      DG 0235000L  58          1994</t>
        </is>
      </c>
      <c r="D1021" t="inlineStr">
        <is>
          <t>Ab vrbe condita. Book VI / Livy ; edited by Christina Shuttleworth Kraus.</t>
        </is>
      </c>
      <c r="F1021" t="inlineStr">
        <is>
          <t>No</t>
        </is>
      </c>
      <c r="G1021" t="inlineStr">
        <is>
          <t>1</t>
        </is>
      </c>
      <c r="H1021" t="inlineStr">
        <is>
          <t>No</t>
        </is>
      </c>
      <c r="I1021" t="inlineStr">
        <is>
          <t>No</t>
        </is>
      </c>
      <c r="J1021" t="inlineStr">
        <is>
          <t>0</t>
        </is>
      </c>
      <c r="K1021" t="inlineStr">
        <is>
          <t>Livy.</t>
        </is>
      </c>
      <c r="L1021" t="inlineStr">
        <is>
          <t>Cambridge [England] ; New York : Cambridge University Press, 1994.</t>
        </is>
      </c>
      <c r="M1021" t="inlineStr">
        <is>
          <t>1994</t>
        </is>
      </c>
      <c r="O1021" t="inlineStr">
        <is>
          <t>lat</t>
        </is>
      </c>
      <c r="P1021" t="inlineStr">
        <is>
          <t>enk</t>
        </is>
      </c>
      <c r="Q1021" t="inlineStr">
        <is>
          <t>Cambridge Greek and Latin classics</t>
        </is>
      </c>
      <c r="R1021" t="inlineStr">
        <is>
          <t xml:space="preserve">DG </t>
        </is>
      </c>
      <c r="S1021" t="n">
        <v>1</v>
      </c>
      <c r="T1021" t="n">
        <v>1</v>
      </c>
      <c r="U1021" t="inlineStr">
        <is>
          <t>2010-08-16</t>
        </is>
      </c>
      <c r="V1021" t="inlineStr">
        <is>
          <t>2010-08-16</t>
        </is>
      </c>
      <c r="W1021" t="inlineStr">
        <is>
          <t>1996-03-05</t>
        </is>
      </c>
      <c r="X1021" t="inlineStr">
        <is>
          <t>1996-03-05</t>
        </is>
      </c>
      <c r="Y1021" t="n">
        <v>280</v>
      </c>
      <c r="Z1021" t="n">
        <v>214</v>
      </c>
      <c r="AA1021" t="n">
        <v>219</v>
      </c>
      <c r="AB1021" t="n">
        <v>2</v>
      </c>
      <c r="AC1021" t="n">
        <v>2</v>
      </c>
      <c r="AD1021" t="n">
        <v>17</v>
      </c>
      <c r="AE1021" t="n">
        <v>17</v>
      </c>
      <c r="AF1021" t="n">
        <v>6</v>
      </c>
      <c r="AG1021" t="n">
        <v>6</v>
      </c>
      <c r="AH1021" t="n">
        <v>4</v>
      </c>
      <c r="AI1021" t="n">
        <v>4</v>
      </c>
      <c r="AJ1021" t="n">
        <v>14</v>
      </c>
      <c r="AK1021" t="n">
        <v>14</v>
      </c>
      <c r="AL1021" t="n">
        <v>1</v>
      </c>
      <c r="AM1021" t="n">
        <v>1</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HYPERLINK("https://creighton-primo.hosted.exlibrisgroup.com/primo-explore/search?tab=default_tab&amp;search_scope=EVERYTHING&amp;vid=01CRU&amp;lang=en_US&amp;offset=0&amp;query=any,contains,991002290079702656","Catalog Record")</f>
        <v/>
      </c>
      <c r="AT1021">
        <f>HYPERLINK("http://www.worldcat.org/oclc/29671966","WorldCat Record")</f>
        <v/>
      </c>
      <c r="AU1021" t="inlineStr">
        <is>
          <t>10585874067:lat</t>
        </is>
      </c>
      <c r="AV1021" t="inlineStr">
        <is>
          <t>29671966</t>
        </is>
      </c>
      <c r="AW1021" t="inlineStr">
        <is>
          <t>991002290079702656</t>
        </is>
      </c>
      <c r="AX1021" t="inlineStr">
        <is>
          <t>991002290079702656</t>
        </is>
      </c>
      <c r="AY1021" t="inlineStr">
        <is>
          <t>2255176300002656</t>
        </is>
      </c>
      <c r="AZ1021" t="inlineStr">
        <is>
          <t>BOOK</t>
        </is>
      </c>
      <c r="BB1021" t="inlineStr">
        <is>
          <t>9780521410021</t>
        </is>
      </c>
      <c r="BC1021" t="inlineStr">
        <is>
          <t>32285002140209</t>
        </is>
      </c>
      <c r="BD1021" t="inlineStr">
        <is>
          <t>893886080</t>
        </is>
      </c>
    </row>
    <row r="1022">
      <c r="A1022" t="inlineStr">
        <is>
          <t>No</t>
        </is>
      </c>
      <c r="B1022" t="inlineStr">
        <is>
          <t>DG241 .G77</t>
        </is>
      </c>
      <c r="C1022" t="inlineStr">
        <is>
          <t>0                      DG 0241000G  77</t>
        </is>
      </c>
      <c r="D1022" t="inlineStr">
        <is>
          <t>Imperialism in the Roman Republic, edited by Erich S. Gruen.</t>
        </is>
      </c>
      <c r="F1022" t="inlineStr">
        <is>
          <t>No</t>
        </is>
      </c>
      <c r="G1022" t="inlineStr">
        <is>
          <t>1</t>
        </is>
      </c>
      <c r="H1022" t="inlineStr">
        <is>
          <t>No</t>
        </is>
      </c>
      <c r="I1022" t="inlineStr">
        <is>
          <t>No</t>
        </is>
      </c>
      <c r="J1022" t="inlineStr">
        <is>
          <t>0</t>
        </is>
      </c>
      <c r="K1022" t="inlineStr">
        <is>
          <t>Gruen, Erich S. compiler.</t>
        </is>
      </c>
      <c r="L1022" t="inlineStr">
        <is>
          <t>New York, Holt, Rinehart and Winston [1970]</t>
        </is>
      </c>
      <c r="M1022" t="inlineStr">
        <is>
          <t>1970</t>
        </is>
      </c>
      <c r="O1022" t="inlineStr">
        <is>
          <t>eng</t>
        </is>
      </c>
      <c r="P1022" t="inlineStr">
        <is>
          <t>nyu</t>
        </is>
      </c>
      <c r="Q1022" t="inlineStr">
        <is>
          <t>European problem studies</t>
        </is>
      </c>
      <c r="R1022" t="inlineStr">
        <is>
          <t xml:space="preserve">DG </t>
        </is>
      </c>
      <c r="S1022" t="n">
        <v>3</v>
      </c>
      <c r="T1022" t="n">
        <v>3</v>
      </c>
      <c r="U1022" t="inlineStr">
        <is>
          <t>2001-09-26</t>
        </is>
      </c>
      <c r="V1022" t="inlineStr">
        <is>
          <t>2001-09-26</t>
        </is>
      </c>
      <c r="W1022" t="inlineStr">
        <is>
          <t>1997-02-03</t>
        </is>
      </c>
      <c r="X1022" t="inlineStr">
        <is>
          <t>1997-02-03</t>
        </is>
      </c>
      <c r="Y1022" t="n">
        <v>366</v>
      </c>
      <c r="Z1022" t="n">
        <v>268</v>
      </c>
      <c r="AA1022" t="n">
        <v>274</v>
      </c>
      <c r="AB1022" t="n">
        <v>2</v>
      </c>
      <c r="AC1022" t="n">
        <v>2</v>
      </c>
      <c r="AD1022" t="n">
        <v>13</v>
      </c>
      <c r="AE1022" t="n">
        <v>13</v>
      </c>
      <c r="AF1022" t="n">
        <v>3</v>
      </c>
      <c r="AG1022" t="n">
        <v>3</v>
      </c>
      <c r="AH1022" t="n">
        <v>2</v>
      </c>
      <c r="AI1022" t="n">
        <v>2</v>
      </c>
      <c r="AJ1022" t="n">
        <v>9</v>
      </c>
      <c r="AK1022" t="n">
        <v>9</v>
      </c>
      <c r="AL1022" t="n">
        <v>1</v>
      </c>
      <c r="AM1022" t="n">
        <v>1</v>
      </c>
      <c r="AN1022" t="n">
        <v>0</v>
      </c>
      <c r="AO1022" t="n">
        <v>0</v>
      </c>
      <c r="AP1022" t="inlineStr">
        <is>
          <t>No</t>
        </is>
      </c>
      <c r="AQ1022" t="inlineStr">
        <is>
          <t>Yes</t>
        </is>
      </c>
      <c r="AR1022">
        <f>HYPERLINK("http://catalog.hathitrust.org/Record/000654544","HathiTrust Record")</f>
        <v/>
      </c>
      <c r="AS1022">
        <f>HYPERLINK("https://creighton-primo.hosted.exlibrisgroup.com/primo-explore/search?tab=default_tab&amp;search_scope=EVERYTHING&amp;vid=01CRU&amp;lang=en_US&amp;offset=0&amp;query=any,contains,991000563949702656","Catalog Record")</f>
        <v/>
      </c>
      <c r="AT1022">
        <f>HYPERLINK("http://www.worldcat.org/oclc/93713","WorldCat Record")</f>
        <v/>
      </c>
      <c r="AU1022" t="inlineStr">
        <is>
          <t>1310942:eng</t>
        </is>
      </c>
      <c r="AV1022" t="inlineStr">
        <is>
          <t>93713</t>
        </is>
      </c>
      <c r="AW1022" t="inlineStr">
        <is>
          <t>991000563949702656</t>
        </is>
      </c>
      <c r="AX1022" t="inlineStr">
        <is>
          <t>991000563949702656</t>
        </is>
      </c>
      <c r="AY1022" t="inlineStr">
        <is>
          <t>2265733550002656</t>
        </is>
      </c>
      <c r="AZ1022" t="inlineStr">
        <is>
          <t>BOOK</t>
        </is>
      </c>
      <c r="BB1022" t="inlineStr">
        <is>
          <t>9780030776205</t>
        </is>
      </c>
      <c r="BC1022" t="inlineStr">
        <is>
          <t>32285002420312</t>
        </is>
      </c>
      <c r="BD1022" t="inlineStr">
        <is>
          <t>893321154</t>
        </is>
      </c>
    </row>
    <row r="1023">
      <c r="A1023" t="inlineStr">
        <is>
          <t>No</t>
        </is>
      </c>
      <c r="B1023" t="inlineStr">
        <is>
          <t>DG241.2 .E34 1987</t>
        </is>
      </c>
      <c r="C1023" t="inlineStr">
        <is>
          <t>0                      DG 0241200E  34          1987</t>
        </is>
      </c>
      <c r="D1023" t="inlineStr">
        <is>
          <t>Senate and general : individual decision making and Roman foreign relations, 264-194 B.C. / Arthur M. Eckstein.</t>
        </is>
      </c>
      <c r="F1023" t="inlineStr">
        <is>
          <t>No</t>
        </is>
      </c>
      <c r="G1023" t="inlineStr">
        <is>
          <t>1</t>
        </is>
      </c>
      <c r="H1023" t="inlineStr">
        <is>
          <t>No</t>
        </is>
      </c>
      <c r="I1023" t="inlineStr">
        <is>
          <t>No</t>
        </is>
      </c>
      <c r="J1023" t="inlineStr">
        <is>
          <t>0</t>
        </is>
      </c>
      <c r="K1023" t="inlineStr">
        <is>
          <t>Eckstein, Arthur M.</t>
        </is>
      </c>
      <c r="L1023" t="inlineStr">
        <is>
          <t>Berkeley : University of California Press, c1987.</t>
        </is>
      </c>
      <c r="M1023" t="inlineStr">
        <is>
          <t>1987</t>
        </is>
      </c>
      <c r="O1023" t="inlineStr">
        <is>
          <t>eng</t>
        </is>
      </c>
      <c r="P1023" t="inlineStr">
        <is>
          <t>cau</t>
        </is>
      </c>
      <c r="R1023" t="inlineStr">
        <is>
          <t xml:space="preserve">DG </t>
        </is>
      </c>
      <c r="S1023" t="n">
        <v>1</v>
      </c>
      <c r="T1023" t="n">
        <v>1</v>
      </c>
      <c r="U1023" t="inlineStr">
        <is>
          <t>1993-01-25</t>
        </is>
      </c>
      <c r="V1023" t="inlineStr">
        <is>
          <t>1993-01-25</t>
        </is>
      </c>
      <c r="W1023" t="inlineStr">
        <is>
          <t>1991-03-28</t>
        </is>
      </c>
      <c r="X1023" t="inlineStr">
        <is>
          <t>1991-03-28</t>
        </is>
      </c>
      <c r="Y1023" t="n">
        <v>402</v>
      </c>
      <c r="Z1023" t="n">
        <v>293</v>
      </c>
      <c r="AA1023" t="n">
        <v>312</v>
      </c>
      <c r="AB1023" t="n">
        <v>3</v>
      </c>
      <c r="AC1023" t="n">
        <v>3</v>
      </c>
      <c r="AD1023" t="n">
        <v>15</v>
      </c>
      <c r="AE1023" t="n">
        <v>15</v>
      </c>
      <c r="AF1023" t="n">
        <v>4</v>
      </c>
      <c r="AG1023" t="n">
        <v>4</v>
      </c>
      <c r="AH1023" t="n">
        <v>5</v>
      </c>
      <c r="AI1023" t="n">
        <v>5</v>
      </c>
      <c r="AJ1023" t="n">
        <v>11</v>
      </c>
      <c r="AK1023" t="n">
        <v>11</v>
      </c>
      <c r="AL1023" t="n">
        <v>2</v>
      </c>
      <c r="AM1023" t="n">
        <v>2</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HYPERLINK("https://creighton-primo.hosted.exlibrisgroup.com/primo-explore/search?tab=default_tab&amp;search_scope=EVERYTHING&amp;vid=01CRU&amp;lang=en_US&amp;offset=0&amp;query=any,contains,991000728639702656","Catalog Record")</f>
        <v/>
      </c>
      <c r="AT1023">
        <f>HYPERLINK("http://www.worldcat.org/oclc/12721091","WorldCat Record")</f>
        <v/>
      </c>
      <c r="AU1023" t="inlineStr">
        <is>
          <t>3855440721:eng</t>
        </is>
      </c>
      <c r="AV1023" t="inlineStr">
        <is>
          <t>12721091</t>
        </is>
      </c>
      <c r="AW1023" t="inlineStr">
        <is>
          <t>991000728639702656</t>
        </is>
      </c>
      <c r="AX1023" t="inlineStr">
        <is>
          <t>991000728639702656</t>
        </is>
      </c>
      <c r="AY1023" t="inlineStr">
        <is>
          <t>2260379210002656</t>
        </is>
      </c>
      <c r="AZ1023" t="inlineStr">
        <is>
          <t>BOOK</t>
        </is>
      </c>
      <c r="BB1023" t="inlineStr">
        <is>
          <t>9780520055827</t>
        </is>
      </c>
      <c r="BC1023" t="inlineStr">
        <is>
          <t>32285000521541</t>
        </is>
      </c>
      <c r="BD1023" t="inlineStr">
        <is>
          <t>893865622</t>
        </is>
      </c>
    </row>
    <row r="1024">
      <c r="A1024" t="inlineStr">
        <is>
          <t>No</t>
        </is>
      </c>
      <c r="B1024" t="inlineStr">
        <is>
          <t>DG241.2 .E67 1987</t>
        </is>
      </c>
      <c r="C1024" t="inlineStr">
        <is>
          <t>0                      DG 0241200E  67          1987</t>
        </is>
      </c>
      <c r="D1024" t="inlineStr">
        <is>
          <t>Personal enmity in Roman politics, 218-43 B.C. / David F. Epstein.</t>
        </is>
      </c>
      <c r="F1024" t="inlineStr">
        <is>
          <t>No</t>
        </is>
      </c>
      <c r="G1024" t="inlineStr">
        <is>
          <t>1</t>
        </is>
      </c>
      <c r="H1024" t="inlineStr">
        <is>
          <t>No</t>
        </is>
      </c>
      <c r="I1024" t="inlineStr">
        <is>
          <t>No</t>
        </is>
      </c>
      <c r="J1024" t="inlineStr">
        <is>
          <t>0</t>
        </is>
      </c>
      <c r="K1024" t="inlineStr">
        <is>
          <t>Epstein, David F., 1954-</t>
        </is>
      </c>
      <c r="L1024" t="inlineStr">
        <is>
          <t>London ; New York : Croom Helm, c1987.</t>
        </is>
      </c>
      <c r="M1024" t="inlineStr">
        <is>
          <t>1987</t>
        </is>
      </c>
      <c r="O1024" t="inlineStr">
        <is>
          <t>eng</t>
        </is>
      </c>
      <c r="P1024" t="inlineStr">
        <is>
          <t>enk</t>
        </is>
      </c>
      <c r="R1024" t="inlineStr">
        <is>
          <t xml:space="preserve">DG </t>
        </is>
      </c>
      <c r="S1024" t="n">
        <v>2</v>
      </c>
      <c r="T1024" t="n">
        <v>2</v>
      </c>
      <c r="U1024" t="inlineStr">
        <is>
          <t>2005-03-28</t>
        </is>
      </c>
      <c r="V1024" t="inlineStr">
        <is>
          <t>2005-03-28</t>
        </is>
      </c>
      <c r="W1024" t="inlineStr">
        <is>
          <t>1991-03-28</t>
        </is>
      </c>
      <c r="X1024" t="inlineStr">
        <is>
          <t>1991-03-28</t>
        </is>
      </c>
      <c r="Y1024" t="n">
        <v>300</v>
      </c>
      <c r="Z1024" t="n">
        <v>208</v>
      </c>
      <c r="AA1024" t="n">
        <v>212</v>
      </c>
      <c r="AB1024" t="n">
        <v>3</v>
      </c>
      <c r="AC1024" t="n">
        <v>3</v>
      </c>
      <c r="AD1024" t="n">
        <v>12</v>
      </c>
      <c r="AE1024" t="n">
        <v>12</v>
      </c>
      <c r="AF1024" t="n">
        <v>2</v>
      </c>
      <c r="AG1024" t="n">
        <v>2</v>
      </c>
      <c r="AH1024" t="n">
        <v>3</v>
      </c>
      <c r="AI1024" t="n">
        <v>3</v>
      </c>
      <c r="AJ1024" t="n">
        <v>9</v>
      </c>
      <c r="AK1024" t="n">
        <v>9</v>
      </c>
      <c r="AL1024" t="n">
        <v>2</v>
      </c>
      <c r="AM1024" t="n">
        <v>2</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HYPERLINK("https://creighton-primo.hosted.exlibrisgroup.com/primo-explore/search?tab=default_tab&amp;search_scope=EVERYTHING&amp;vid=01CRU&amp;lang=en_US&amp;offset=0&amp;query=any,contains,991001070349702656","Catalog Record")</f>
        <v/>
      </c>
      <c r="AT1024">
        <f>HYPERLINK("http://www.worldcat.org/oclc/15860435","WorldCat Record")</f>
        <v/>
      </c>
      <c r="AU1024" t="inlineStr">
        <is>
          <t>5609169139:eng</t>
        </is>
      </c>
      <c r="AV1024" t="inlineStr">
        <is>
          <t>15860435</t>
        </is>
      </c>
      <c r="AW1024" t="inlineStr">
        <is>
          <t>991001070349702656</t>
        </is>
      </c>
      <c r="AX1024" t="inlineStr">
        <is>
          <t>991001070349702656</t>
        </is>
      </c>
      <c r="AY1024" t="inlineStr">
        <is>
          <t>2258989420002656</t>
        </is>
      </c>
      <c r="AZ1024" t="inlineStr">
        <is>
          <t>BOOK</t>
        </is>
      </c>
      <c r="BB1024" t="inlineStr">
        <is>
          <t>9780709953043</t>
        </is>
      </c>
      <c r="BC1024" t="inlineStr">
        <is>
          <t>32285000521558</t>
        </is>
      </c>
      <c r="BD1024" t="inlineStr">
        <is>
          <t>893515878</t>
        </is>
      </c>
    </row>
    <row r="1025">
      <c r="A1025" t="inlineStr">
        <is>
          <t>No</t>
        </is>
      </c>
      <c r="B1025" t="inlineStr">
        <is>
          <t>DG241.2 .R38 1985</t>
        </is>
      </c>
      <c r="C1025" t="inlineStr">
        <is>
          <t>0                      DG 0241200R  38          1985</t>
        </is>
      </c>
      <c r="D1025" t="inlineStr">
        <is>
          <t>Intellectual life in the late Roman Republic / Elizabeth Rawson.</t>
        </is>
      </c>
      <c r="F1025" t="inlineStr">
        <is>
          <t>No</t>
        </is>
      </c>
      <c r="G1025" t="inlineStr">
        <is>
          <t>1</t>
        </is>
      </c>
      <c r="H1025" t="inlineStr">
        <is>
          <t>No</t>
        </is>
      </c>
      <c r="I1025" t="inlineStr">
        <is>
          <t>No</t>
        </is>
      </c>
      <c r="J1025" t="inlineStr">
        <is>
          <t>0</t>
        </is>
      </c>
      <c r="K1025" t="inlineStr">
        <is>
          <t>Rawson, Elizabeth.</t>
        </is>
      </c>
      <c r="L1025" t="inlineStr">
        <is>
          <t>Baltimore, Md. : Johns Hopkins University Press, 1985.</t>
        </is>
      </c>
      <c r="M1025" t="inlineStr">
        <is>
          <t>1985</t>
        </is>
      </c>
      <c r="O1025" t="inlineStr">
        <is>
          <t>eng</t>
        </is>
      </c>
      <c r="P1025" t="inlineStr">
        <is>
          <t>mdu</t>
        </is>
      </c>
      <c r="R1025" t="inlineStr">
        <is>
          <t xml:space="preserve">DG </t>
        </is>
      </c>
      <c r="S1025" t="n">
        <v>12</v>
      </c>
      <c r="T1025" t="n">
        <v>12</v>
      </c>
      <c r="U1025" t="inlineStr">
        <is>
          <t>2006-03-21</t>
        </is>
      </c>
      <c r="V1025" t="inlineStr">
        <is>
          <t>2006-03-21</t>
        </is>
      </c>
      <c r="W1025" t="inlineStr">
        <is>
          <t>1991-03-28</t>
        </is>
      </c>
      <c r="X1025" t="inlineStr">
        <is>
          <t>1991-03-28</t>
        </is>
      </c>
      <c r="Y1025" t="n">
        <v>487</v>
      </c>
      <c r="Z1025" t="n">
        <v>422</v>
      </c>
      <c r="AA1025" t="n">
        <v>479</v>
      </c>
      <c r="AB1025" t="n">
        <v>3</v>
      </c>
      <c r="AC1025" t="n">
        <v>4</v>
      </c>
      <c r="AD1025" t="n">
        <v>26</v>
      </c>
      <c r="AE1025" t="n">
        <v>27</v>
      </c>
      <c r="AF1025" t="n">
        <v>12</v>
      </c>
      <c r="AG1025" t="n">
        <v>12</v>
      </c>
      <c r="AH1025" t="n">
        <v>8</v>
      </c>
      <c r="AI1025" t="n">
        <v>8</v>
      </c>
      <c r="AJ1025" t="n">
        <v>16</v>
      </c>
      <c r="AK1025" t="n">
        <v>16</v>
      </c>
      <c r="AL1025" t="n">
        <v>2</v>
      </c>
      <c r="AM1025" t="n">
        <v>3</v>
      </c>
      <c r="AN1025" t="n">
        <v>0</v>
      </c>
      <c r="AO1025" t="n">
        <v>0</v>
      </c>
      <c r="AP1025" t="inlineStr">
        <is>
          <t>No</t>
        </is>
      </c>
      <c r="AQ1025" t="inlineStr">
        <is>
          <t>Yes</t>
        </is>
      </c>
      <c r="AR1025">
        <f>HYPERLINK("http://catalog.hathitrust.org/Record/000378277","HathiTrust Record")</f>
        <v/>
      </c>
      <c r="AS1025">
        <f>HYPERLINK("https://creighton-primo.hosted.exlibrisgroup.com/primo-explore/search?tab=default_tab&amp;search_scope=EVERYTHING&amp;vid=01CRU&amp;lang=en_US&amp;offset=0&amp;query=any,contains,991000631969702656","Catalog Record")</f>
        <v/>
      </c>
      <c r="AT1025">
        <f>HYPERLINK("http://www.worldcat.org/oclc/12053092","WorldCat Record")</f>
        <v/>
      </c>
      <c r="AU1025" t="inlineStr">
        <is>
          <t>4387727:eng</t>
        </is>
      </c>
      <c r="AV1025" t="inlineStr">
        <is>
          <t>12053092</t>
        </is>
      </c>
      <c r="AW1025" t="inlineStr">
        <is>
          <t>991000631969702656</t>
        </is>
      </c>
      <c r="AX1025" t="inlineStr">
        <is>
          <t>991000631969702656</t>
        </is>
      </c>
      <c r="AY1025" t="inlineStr">
        <is>
          <t>2261722830002656</t>
        </is>
      </c>
      <c r="AZ1025" t="inlineStr">
        <is>
          <t>BOOK</t>
        </is>
      </c>
      <c r="BB1025" t="inlineStr">
        <is>
          <t>9780801828997</t>
        </is>
      </c>
      <c r="BC1025" t="inlineStr">
        <is>
          <t>32285000521582</t>
        </is>
      </c>
      <c r="BD1025" t="inlineStr">
        <is>
          <t>893595734</t>
        </is>
      </c>
    </row>
    <row r="1026">
      <c r="A1026" t="inlineStr">
        <is>
          <t>No</t>
        </is>
      </c>
      <c r="B1026" t="inlineStr">
        <is>
          <t>DG247 .L39 1978</t>
        </is>
      </c>
      <c r="C1026" t="inlineStr">
        <is>
          <t>0                      DG 0247000L  39          1978</t>
        </is>
      </c>
      <c r="D1026" t="inlineStr">
        <is>
          <t>Hannibal's war : a military history of the Second Punic War / [by] J. F. Lazenby.</t>
        </is>
      </c>
      <c r="F1026" t="inlineStr">
        <is>
          <t>No</t>
        </is>
      </c>
      <c r="G1026" t="inlineStr">
        <is>
          <t>1</t>
        </is>
      </c>
      <c r="H1026" t="inlineStr">
        <is>
          <t>No</t>
        </is>
      </c>
      <c r="I1026" t="inlineStr">
        <is>
          <t>No</t>
        </is>
      </c>
      <c r="J1026" t="inlineStr">
        <is>
          <t>0</t>
        </is>
      </c>
      <c r="K1026" t="inlineStr">
        <is>
          <t>Lazenby, J. F. (John Francis)</t>
        </is>
      </c>
      <c r="L1026" t="inlineStr">
        <is>
          <t>Warminster, Eng. : Aris and Phillips, 1978.</t>
        </is>
      </c>
      <c r="M1026" t="inlineStr">
        <is>
          <t>1978</t>
        </is>
      </c>
      <c r="O1026" t="inlineStr">
        <is>
          <t>eng</t>
        </is>
      </c>
      <c r="P1026" t="inlineStr">
        <is>
          <t>enk</t>
        </is>
      </c>
      <c r="R1026" t="inlineStr">
        <is>
          <t xml:space="preserve">DG </t>
        </is>
      </c>
      <c r="S1026" t="n">
        <v>5</v>
      </c>
      <c r="T1026" t="n">
        <v>5</v>
      </c>
      <c r="U1026" t="inlineStr">
        <is>
          <t>2000-11-01</t>
        </is>
      </c>
      <c r="V1026" t="inlineStr">
        <is>
          <t>2000-11-01</t>
        </is>
      </c>
      <c r="W1026" t="inlineStr">
        <is>
          <t>1991-03-28</t>
        </is>
      </c>
      <c r="X1026" t="inlineStr">
        <is>
          <t>1991-03-28</t>
        </is>
      </c>
      <c r="Y1026" t="n">
        <v>378</v>
      </c>
      <c r="Z1026" t="n">
        <v>238</v>
      </c>
      <c r="AA1026" t="n">
        <v>420</v>
      </c>
      <c r="AB1026" t="n">
        <v>1</v>
      </c>
      <c r="AC1026" t="n">
        <v>2</v>
      </c>
      <c r="AD1026" t="n">
        <v>16</v>
      </c>
      <c r="AE1026" t="n">
        <v>24</v>
      </c>
      <c r="AF1026" t="n">
        <v>6</v>
      </c>
      <c r="AG1026" t="n">
        <v>10</v>
      </c>
      <c r="AH1026" t="n">
        <v>5</v>
      </c>
      <c r="AI1026" t="n">
        <v>7</v>
      </c>
      <c r="AJ1026" t="n">
        <v>13</v>
      </c>
      <c r="AK1026" t="n">
        <v>15</v>
      </c>
      <c r="AL1026" t="n">
        <v>0</v>
      </c>
      <c r="AM1026" t="n">
        <v>1</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HYPERLINK("https://creighton-primo.hosted.exlibrisgroup.com/primo-explore/search?tab=default_tab&amp;search_scope=EVERYTHING&amp;vid=01CRU&amp;lang=en_US&amp;offset=0&amp;query=any,contains,991004675379702656","Catalog Record")</f>
        <v/>
      </c>
      <c r="AT1026">
        <f>HYPERLINK("http://www.worldcat.org/oclc/4535626","WorldCat Record")</f>
        <v/>
      </c>
      <c r="AU1026" t="inlineStr">
        <is>
          <t>836731518:eng</t>
        </is>
      </c>
      <c r="AV1026" t="inlineStr">
        <is>
          <t>4535626</t>
        </is>
      </c>
      <c r="AW1026" t="inlineStr">
        <is>
          <t>991004675379702656</t>
        </is>
      </c>
      <c r="AX1026" t="inlineStr">
        <is>
          <t>991004675379702656</t>
        </is>
      </c>
      <c r="AY1026" t="inlineStr">
        <is>
          <t>2271525630002656</t>
        </is>
      </c>
      <c r="AZ1026" t="inlineStr">
        <is>
          <t>BOOK</t>
        </is>
      </c>
      <c r="BB1026" t="inlineStr">
        <is>
          <t>9780856680809</t>
        </is>
      </c>
      <c r="BC1026" t="inlineStr">
        <is>
          <t>32285000521608</t>
        </is>
      </c>
      <c r="BD1026" t="inlineStr">
        <is>
          <t>893688009</t>
        </is>
      </c>
    </row>
    <row r="1027">
      <c r="A1027" t="inlineStr">
        <is>
          <t>No</t>
        </is>
      </c>
      <c r="B1027" t="inlineStr">
        <is>
          <t>DG247 .S43 1996</t>
        </is>
      </c>
      <c r="C1027" t="inlineStr">
        <is>
          <t>0                      DG 0247000S  43          1996</t>
        </is>
      </c>
      <c r="D1027" t="inlineStr">
        <is>
          <t>The Second Punic War : a reappraisal / edited by Tim Cornell, Boris Rankov, and Philip Sabin ; with contributions by Tim Cornell ... [et al.].</t>
        </is>
      </c>
      <c r="F1027" t="inlineStr">
        <is>
          <t>No</t>
        </is>
      </c>
      <c r="G1027" t="inlineStr">
        <is>
          <t>1</t>
        </is>
      </c>
      <c r="H1027" t="inlineStr">
        <is>
          <t>No</t>
        </is>
      </c>
      <c r="I1027" t="inlineStr">
        <is>
          <t>No</t>
        </is>
      </c>
      <c r="J1027" t="inlineStr">
        <is>
          <t>0</t>
        </is>
      </c>
      <c r="L1027" t="inlineStr">
        <is>
          <t>London : Institute of Classical Studies, School of Advanced Study, University of London, 1996.</t>
        </is>
      </c>
      <c r="M1027" t="inlineStr">
        <is>
          <t>1996</t>
        </is>
      </c>
      <c r="O1027" t="inlineStr">
        <is>
          <t>eng</t>
        </is>
      </c>
      <c r="P1027" t="inlineStr">
        <is>
          <t>enk</t>
        </is>
      </c>
      <c r="Q1027" t="inlineStr">
        <is>
          <t>Bulletin of the Institute of Classical Studies. Supplement ; 67</t>
        </is>
      </c>
      <c r="R1027" t="inlineStr">
        <is>
          <t xml:space="preserve">DG </t>
        </is>
      </c>
      <c r="S1027" t="n">
        <v>5</v>
      </c>
      <c r="T1027" t="n">
        <v>5</v>
      </c>
      <c r="U1027" t="inlineStr">
        <is>
          <t>2005-10-13</t>
        </is>
      </c>
      <c r="V1027" t="inlineStr">
        <is>
          <t>2005-10-13</t>
        </is>
      </c>
      <c r="W1027" t="inlineStr">
        <is>
          <t>1997-10-20</t>
        </is>
      </c>
      <c r="X1027" t="inlineStr">
        <is>
          <t>1997-10-20</t>
        </is>
      </c>
      <c r="Y1027" t="n">
        <v>186</v>
      </c>
      <c r="Z1027" t="n">
        <v>109</v>
      </c>
      <c r="AA1027" t="n">
        <v>111</v>
      </c>
      <c r="AB1027" t="n">
        <v>1</v>
      </c>
      <c r="AC1027" t="n">
        <v>1</v>
      </c>
      <c r="AD1027" t="n">
        <v>5</v>
      </c>
      <c r="AE1027" t="n">
        <v>5</v>
      </c>
      <c r="AF1027" t="n">
        <v>1</v>
      </c>
      <c r="AG1027" t="n">
        <v>1</v>
      </c>
      <c r="AH1027" t="n">
        <v>2</v>
      </c>
      <c r="AI1027" t="n">
        <v>2</v>
      </c>
      <c r="AJ1027" t="n">
        <v>5</v>
      </c>
      <c r="AK1027" t="n">
        <v>5</v>
      </c>
      <c r="AL1027" t="n">
        <v>0</v>
      </c>
      <c r="AM1027" t="n">
        <v>0</v>
      </c>
      <c r="AN1027" t="n">
        <v>0</v>
      </c>
      <c r="AO1027" t="n">
        <v>0</v>
      </c>
      <c r="AP1027" t="inlineStr">
        <is>
          <t>No</t>
        </is>
      </c>
      <c r="AQ1027" t="inlineStr">
        <is>
          <t>Yes</t>
        </is>
      </c>
      <c r="AR1027">
        <f>HYPERLINK("http://catalog.hathitrust.org/Record/003085943","HathiTrust Record")</f>
        <v/>
      </c>
      <c r="AS1027">
        <f>HYPERLINK("https://creighton-primo.hosted.exlibrisgroup.com/primo-explore/search?tab=default_tab&amp;search_scope=EVERYTHING&amp;vid=01CRU&amp;lang=en_US&amp;offset=0&amp;query=any,contains,991002833529702656","Catalog Record")</f>
        <v/>
      </c>
      <c r="AT1027">
        <f>HYPERLINK("http://www.worldcat.org/oclc/37315476","WorldCat Record")</f>
        <v/>
      </c>
      <c r="AU1027" t="inlineStr">
        <is>
          <t>806673473:eng</t>
        </is>
      </c>
      <c r="AV1027" t="inlineStr">
        <is>
          <t>37315476</t>
        </is>
      </c>
      <c r="AW1027" t="inlineStr">
        <is>
          <t>991002833529702656</t>
        </is>
      </c>
      <c r="AX1027" t="inlineStr">
        <is>
          <t>991002833529702656</t>
        </is>
      </c>
      <c r="AY1027" t="inlineStr">
        <is>
          <t>2258668410002656</t>
        </is>
      </c>
      <c r="AZ1027" t="inlineStr">
        <is>
          <t>BOOK</t>
        </is>
      </c>
      <c r="BB1027" t="inlineStr">
        <is>
          <t>9780900587788</t>
        </is>
      </c>
      <c r="BC1027" t="inlineStr">
        <is>
          <t>32285003256558</t>
        </is>
      </c>
      <c r="BD1027" t="inlineStr">
        <is>
          <t>893604103</t>
        </is>
      </c>
    </row>
    <row r="1028">
      <c r="A1028" t="inlineStr">
        <is>
          <t>No</t>
        </is>
      </c>
      <c r="B1028" t="inlineStr">
        <is>
          <t>DG247.2 .P75</t>
        </is>
      </c>
      <c r="C1028" t="inlineStr">
        <is>
          <t>0                      DG 0247200P  75</t>
        </is>
      </c>
      <c r="D1028" t="inlineStr">
        <is>
          <t>Hannibal's march in history.</t>
        </is>
      </c>
      <c r="F1028" t="inlineStr">
        <is>
          <t>No</t>
        </is>
      </c>
      <c r="G1028" t="inlineStr">
        <is>
          <t>1</t>
        </is>
      </c>
      <c r="H1028" t="inlineStr">
        <is>
          <t>No</t>
        </is>
      </c>
      <c r="I1028" t="inlineStr">
        <is>
          <t>No</t>
        </is>
      </c>
      <c r="J1028" t="inlineStr">
        <is>
          <t>0</t>
        </is>
      </c>
      <c r="K1028" t="inlineStr">
        <is>
          <t>Proctor, Dennis.</t>
        </is>
      </c>
      <c r="L1028" t="inlineStr">
        <is>
          <t>Oxford : Clarendon Press, 1971.</t>
        </is>
      </c>
      <c r="M1028" t="inlineStr">
        <is>
          <t>1971</t>
        </is>
      </c>
      <c r="O1028" t="inlineStr">
        <is>
          <t>eng</t>
        </is>
      </c>
      <c r="P1028" t="inlineStr">
        <is>
          <t>enk</t>
        </is>
      </c>
      <c r="R1028" t="inlineStr">
        <is>
          <t xml:space="preserve">DG </t>
        </is>
      </c>
      <c r="S1028" t="n">
        <v>4</v>
      </c>
      <c r="T1028" t="n">
        <v>4</v>
      </c>
      <c r="U1028" t="inlineStr">
        <is>
          <t>2003-12-19</t>
        </is>
      </c>
      <c r="V1028" t="inlineStr">
        <is>
          <t>2003-12-19</t>
        </is>
      </c>
      <c r="W1028" t="inlineStr">
        <is>
          <t>1991-12-13</t>
        </is>
      </c>
      <c r="X1028" t="inlineStr">
        <is>
          <t>1991-12-13</t>
        </is>
      </c>
      <c r="Y1028" t="n">
        <v>466</v>
      </c>
      <c r="Z1028" t="n">
        <v>331</v>
      </c>
      <c r="AA1028" t="n">
        <v>334</v>
      </c>
      <c r="AB1028" t="n">
        <v>3</v>
      </c>
      <c r="AC1028" t="n">
        <v>3</v>
      </c>
      <c r="AD1028" t="n">
        <v>14</v>
      </c>
      <c r="AE1028" t="n">
        <v>14</v>
      </c>
      <c r="AF1028" t="n">
        <v>2</v>
      </c>
      <c r="AG1028" t="n">
        <v>2</v>
      </c>
      <c r="AH1028" t="n">
        <v>4</v>
      </c>
      <c r="AI1028" t="n">
        <v>4</v>
      </c>
      <c r="AJ1028" t="n">
        <v>10</v>
      </c>
      <c r="AK1028" t="n">
        <v>10</v>
      </c>
      <c r="AL1028" t="n">
        <v>2</v>
      </c>
      <c r="AM1028" t="n">
        <v>2</v>
      </c>
      <c r="AN1028" t="n">
        <v>0</v>
      </c>
      <c r="AO1028" t="n">
        <v>0</v>
      </c>
      <c r="AP1028" t="inlineStr">
        <is>
          <t>No</t>
        </is>
      </c>
      <c r="AQ1028" t="inlineStr">
        <is>
          <t>Yes</t>
        </is>
      </c>
      <c r="AR1028">
        <f>HYPERLINK("http://catalog.hathitrust.org/Record/000614177","HathiTrust Record")</f>
        <v/>
      </c>
      <c r="AS1028">
        <f>HYPERLINK("https://creighton-primo.hosted.exlibrisgroup.com/primo-explore/search?tab=default_tab&amp;search_scope=EVERYTHING&amp;vid=01CRU&amp;lang=en_US&amp;offset=0&amp;query=any,contains,991001365669702656","Catalog Record")</f>
        <v/>
      </c>
      <c r="AT1028">
        <f>HYPERLINK("http://www.worldcat.org/oclc/222386","WorldCat Record")</f>
        <v/>
      </c>
      <c r="AU1028" t="inlineStr">
        <is>
          <t>1328465:eng</t>
        </is>
      </c>
      <c r="AV1028" t="inlineStr">
        <is>
          <t>222386</t>
        </is>
      </c>
      <c r="AW1028" t="inlineStr">
        <is>
          <t>991001365669702656</t>
        </is>
      </c>
      <c r="AX1028" t="inlineStr">
        <is>
          <t>991001365669702656</t>
        </is>
      </c>
      <c r="AY1028" t="inlineStr">
        <is>
          <t>2262184720002656</t>
        </is>
      </c>
      <c r="AZ1028" t="inlineStr">
        <is>
          <t>BOOK</t>
        </is>
      </c>
      <c r="BB1028" t="inlineStr">
        <is>
          <t>9780198142980</t>
        </is>
      </c>
      <c r="BC1028" t="inlineStr">
        <is>
          <t>32285000877182</t>
        </is>
      </c>
      <c r="BD1028" t="inlineStr">
        <is>
          <t>893690562</t>
        </is>
      </c>
    </row>
    <row r="1029">
      <c r="A1029" t="inlineStr">
        <is>
          <t>No</t>
        </is>
      </c>
      <c r="B1029" t="inlineStr">
        <is>
          <t>DG249 .D37 1969</t>
        </is>
      </c>
      <c r="C1029" t="inlineStr">
        <is>
          <t>0                      DG 0249000D  37          1969</t>
        </is>
      </c>
      <c r="D1029" t="inlineStr">
        <is>
          <t>Hannibal : challenging Rome's supremacy / [by] Sir Gavin de Beer.</t>
        </is>
      </c>
      <c r="F1029" t="inlineStr">
        <is>
          <t>No</t>
        </is>
      </c>
      <c r="G1029" t="inlineStr">
        <is>
          <t>1</t>
        </is>
      </c>
      <c r="H1029" t="inlineStr">
        <is>
          <t>No</t>
        </is>
      </c>
      <c r="I1029" t="inlineStr">
        <is>
          <t>No</t>
        </is>
      </c>
      <c r="J1029" t="inlineStr">
        <is>
          <t>0</t>
        </is>
      </c>
      <c r="K1029" t="inlineStr">
        <is>
          <t>De Beer, Gavin, Sir, 1899-1972.</t>
        </is>
      </c>
      <c r="L1029" t="inlineStr">
        <is>
          <t>New York : Viking Press, [1969]</t>
        </is>
      </c>
      <c r="M1029" t="inlineStr">
        <is>
          <t>1969</t>
        </is>
      </c>
      <c r="O1029" t="inlineStr">
        <is>
          <t>eng</t>
        </is>
      </c>
      <c r="P1029" t="inlineStr">
        <is>
          <t>nyu</t>
        </is>
      </c>
      <c r="Q1029" t="inlineStr">
        <is>
          <t>A Studio book</t>
        </is>
      </c>
      <c r="R1029" t="inlineStr">
        <is>
          <t xml:space="preserve">DG </t>
        </is>
      </c>
      <c r="S1029" t="n">
        <v>2</v>
      </c>
      <c r="T1029" t="n">
        <v>2</v>
      </c>
      <c r="U1029" t="inlineStr">
        <is>
          <t>1994-12-06</t>
        </is>
      </c>
      <c r="V1029" t="inlineStr">
        <is>
          <t>1994-12-06</t>
        </is>
      </c>
      <c r="W1029" t="inlineStr">
        <is>
          <t>1991-12-05</t>
        </is>
      </c>
      <c r="X1029" t="inlineStr">
        <is>
          <t>1991-12-05</t>
        </is>
      </c>
      <c r="Y1029" t="n">
        <v>853</v>
      </c>
      <c r="Z1029" t="n">
        <v>825</v>
      </c>
      <c r="AA1029" t="n">
        <v>825</v>
      </c>
      <c r="AB1029" t="n">
        <v>3</v>
      </c>
      <c r="AC1029" t="n">
        <v>3</v>
      </c>
      <c r="AD1029" t="n">
        <v>22</v>
      </c>
      <c r="AE1029" t="n">
        <v>22</v>
      </c>
      <c r="AF1029" t="n">
        <v>8</v>
      </c>
      <c r="AG1029" t="n">
        <v>8</v>
      </c>
      <c r="AH1029" t="n">
        <v>7</v>
      </c>
      <c r="AI1029" t="n">
        <v>7</v>
      </c>
      <c r="AJ1029" t="n">
        <v>13</v>
      </c>
      <c r="AK1029" t="n">
        <v>13</v>
      </c>
      <c r="AL1029" t="n">
        <v>2</v>
      </c>
      <c r="AM1029" t="n">
        <v>2</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HYPERLINK("https://creighton-primo.hosted.exlibrisgroup.com/primo-explore/search?tab=default_tab&amp;search_scope=EVERYTHING&amp;vid=01CRU&amp;lang=en_US&amp;offset=0&amp;query=any,contains,991000077259702656","Catalog Record")</f>
        <v/>
      </c>
      <c r="AT1029">
        <f>HYPERLINK("http://www.worldcat.org/oclc/30324","WorldCat Record")</f>
        <v/>
      </c>
      <c r="AU1029" t="inlineStr">
        <is>
          <t>3943925113:eng</t>
        </is>
      </c>
      <c r="AV1029" t="inlineStr">
        <is>
          <t>30324</t>
        </is>
      </c>
      <c r="AW1029" t="inlineStr">
        <is>
          <t>991000077259702656</t>
        </is>
      </c>
      <c r="AX1029" t="inlineStr">
        <is>
          <t>991000077259702656</t>
        </is>
      </c>
      <c r="AY1029" t="inlineStr">
        <is>
          <t>2262329630002656</t>
        </is>
      </c>
      <c r="AZ1029" t="inlineStr">
        <is>
          <t>BOOK</t>
        </is>
      </c>
      <c r="BC1029" t="inlineStr">
        <is>
          <t>32285000847276</t>
        </is>
      </c>
      <c r="BD1029" t="inlineStr">
        <is>
          <t>893249065</t>
        </is>
      </c>
    </row>
    <row r="1030">
      <c r="A1030" t="inlineStr">
        <is>
          <t>No</t>
        </is>
      </c>
      <c r="B1030" t="inlineStr">
        <is>
          <t>DG249 .H6 1962</t>
        </is>
      </c>
      <c r="C1030" t="inlineStr">
        <is>
          <t>0                      DG 0249000H  6           1962</t>
        </is>
      </c>
      <c r="D1030" t="inlineStr">
        <is>
          <t>Hannibal / Wilhelm Hoffmann.</t>
        </is>
      </c>
      <c r="F1030" t="inlineStr">
        <is>
          <t>No</t>
        </is>
      </c>
      <c r="G1030" t="inlineStr">
        <is>
          <t>1</t>
        </is>
      </c>
      <c r="H1030" t="inlineStr">
        <is>
          <t>No</t>
        </is>
      </c>
      <c r="I1030" t="inlineStr">
        <is>
          <t>No</t>
        </is>
      </c>
      <c r="J1030" t="inlineStr">
        <is>
          <t>0</t>
        </is>
      </c>
      <c r="K1030" t="inlineStr">
        <is>
          <t>Hoffmann, Wilhelm, 1909-1969.</t>
        </is>
      </c>
      <c r="L1030" t="inlineStr">
        <is>
          <t>Göttingen : Vandenhoeck &amp; Ruprecht, c1962.</t>
        </is>
      </c>
      <c r="M1030" t="inlineStr">
        <is>
          <t>1962</t>
        </is>
      </c>
      <c r="O1030" t="inlineStr">
        <is>
          <t>ger</t>
        </is>
      </c>
      <c r="P1030" t="inlineStr">
        <is>
          <t xml:space="preserve">gw </t>
        </is>
      </c>
      <c r="Q1030" t="inlineStr">
        <is>
          <t>Kleine Vandenhoeck-Reihe ; 133-135</t>
        </is>
      </c>
      <c r="R1030" t="inlineStr">
        <is>
          <t xml:space="preserve">DG </t>
        </is>
      </c>
      <c r="S1030" t="n">
        <v>1</v>
      </c>
      <c r="T1030" t="n">
        <v>1</v>
      </c>
      <c r="U1030" t="inlineStr">
        <is>
          <t>2001-08-29</t>
        </is>
      </c>
      <c r="V1030" t="inlineStr">
        <is>
          <t>2001-08-29</t>
        </is>
      </c>
      <c r="W1030" t="inlineStr">
        <is>
          <t>2001-08-29</t>
        </is>
      </c>
      <c r="X1030" t="inlineStr">
        <is>
          <t>2001-08-29</t>
        </is>
      </c>
      <c r="Y1030" t="n">
        <v>123</v>
      </c>
      <c r="Z1030" t="n">
        <v>41</v>
      </c>
      <c r="AA1030" t="n">
        <v>42</v>
      </c>
      <c r="AB1030" t="n">
        <v>1</v>
      </c>
      <c r="AC1030" t="n">
        <v>1</v>
      </c>
      <c r="AD1030" t="n">
        <v>3</v>
      </c>
      <c r="AE1030" t="n">
        <v>3</v>
      </c>
      <c r="AF1030" t="n">
        <v>2</v>
      </c>
      <c r="AG1030" t="n">
        <v>2</v>
      </c>
      <c r="AH1030" t="n">
        <v>0</v>
      </c>
      <c r="AI1030" t="n">
        <v>0</v>
      </c>
      <c r="AJ1030" t="n">
        <v>1</v>
      </c>
      <c r="AK1030" t="n">
        <v>1</v>
      </c>
      <c r="AL1030" t="n">
        <v>0</v>
      </c>
      <c r="AM1030" t="n">
        <v>0</v>
      </c>
      <c r="AN1030" t="n">
        <v>0</v>
      </c>
      <c r="AO1030" t="n">
        <v>0</v>
      </c>
      <c r="AP1030" t="inlineStr">
        <is>
          <t>No</t>
        </is>
      </c>
      <c r="AQ1030" t="inlineStr">
        <is>
          <t>Yes</t>
        </is>
      </c>
      <c r="AR1030">
        <f>HYPERLINK("http://catalog.hathitrust.org/Record/000649810","HathiTrust Record")</f>
        <v/>
      </c>
      <c r="AS1030">
        <f>HYPERLINK("https://creighton-primo.hosted.exlibrisgroup.com/primo-explore/search?tab=default_tab&amp;search_scope=EVERYTHING&amp;vid=01CRU&amp;lang=en_US&amp;offset=0&amp;query=any,contains,991003614379702656","Catalog Record")</f>
        <v/>
      </c>
      <c r="AT1030">
        <f>HYPERLINK("http://www.worldcat.org/oclc/4877171","WorldCat Record")</f>
        <v/>
      </c>
      <c r="AU1030" t="inlineStr">
        <is>
          <t>59131191:ger</t>
        </is>
      </c>
      <c r="AV1030" t="inlineStr">
        <is>
          <t>4877171</t>
        </is>
      </c>
      <c r="AW1030" t="inlineStr">
        <is>
          <t>991003614379702656</t>
        </is>
      </c>
      <c r="AX1030" t="inlineStr">
        <is>
          <t>991003614379702656</t>
        </is>
      </c>
      <c r="AY1030" t="inlineStr">
        <is>
          <t>2264446150002656</t>
        </is>
      </c>
      <c r="AZ1030" t="inlineStr">
        <is>
          <t>BOOK</t>
        </is>
      </c>
      <c r="BC1030" t="inlineStr">
        <is>
          <t>32285004382809</t>
        </is>
      </c>
      <c r="BD1030" t="inlineStr">
        <is>
          <t>893887673</t>
        </is>
      </c>
    </row>
    <row r="1031">
      <c r="A1031" t="inlineStr">
        <is>
          <t>No</t>
        </is>
      </c>
      <c r="B1031" t="inlineStr">
        <is>
          <t>DG249 .M87</t>
        </is>
      </c>
      <c r="C1031" t="inlineStr">
        <is>
          <t>0                      DG 0249000M  87</t>
        </is>
      </c>
      <c r="D1031" t="inlineStr">
        <is>
          <t>Hannibal : soldier, statesman, patriot : and the crisis of the struggle between Carthage and Rome / by William O'Connor Morris.</t>
        </is>
      </c>
      <c r="F1031" t="inlineStr">
        <is>
          <t>No</t>
        </is>
      </c>
      <c r="G1031" t="inlineStr">
        <is>
          <t>1</t>
        </is>
      </c>
      <c r="H1031" t="inlineStr">
        <is>
          <t>No</t>
        </is>
      </c>
      <c r="I1031" t="inlineStr">
        <is>
          <t>No</t>
        </is>
      </c>
      <c r="J1031" t="inlineStr">
        <is>
          <t>0</t>
        </is>
      </c>
      <c r="K1031" t="inlineStr">
        <is>
          <t>Morris, William O'Connor, 1824-1904.</t>
        </is>
      </c>
      <c r="L1031" t="inlineStr">
        <is>
          <t>New York [etc.] : G. P. Putnam's sons, 1897.</t>
        </is>
      </c>
      <c r="M1031" t="inlineStr">
        <is>
          <t>1897</t>
        </is>
      </c>
      <c r="O1031" t="inlineStr">
        <is>
          <t>eng</t>
        </is>
      </c>
      <c r="P1031" t="inlineStr">
        <is>
          <t xml:space="preserve">xx </t>
        </is>
      </c>
      <c r="Q1031" t="inlineStr">
        <is>
          <t>Heroes of the nations</t>
        </is>
      </c>
      <c r="R1031" t="inlineStr">
        <is>
          <t xml:space="preserve">DG </t>
        </is>
      </c>
      <c r="S1031" t="n">
        <v>2</v>
      </c>
      <c r="T1031" t="n">
        <v>2</v>
      </c>
      <c r="U1031" t="inlineStr">
        <is>
          <t>1993-04-03</t>
        </is>
      </c>
      <c r="V1031" t="inlineStr">
        <is>
          <t>1993-04-03</t>
        </is>
      </c>
      <c r="W1031" t="inlineStr">
        <is>
          <t>1991-12-05</t>
        </is>
      </c>
      <c r="X1031" t="inlineStr">
        <is>
          <t>1991-12-05</t>
        </is>
      </c>
      <c r="Y1031" t="n">
        <v>248</v>
      </c>
      <c r="Z1031" t="n">
        <v>212</v>
      </c>
      <c r="AA1031" t="n">
        <v>229</v>
      </c>
      <c r="AB1031" t="n">
        <v>3</v>
      </c>
      <c r="AC1031" t="n">
        <v>3</v>
      </c>
      <c r="AD1031" t="n">
        <v>11</v>
      </c>
      <c r="AE1031" t="n">
        <v>11</v>
      </c>
      <c r="AF1031" t="n">
        <v>5</v>
      </c>
      <c r="AG1031" t="n">
        <v>5</v>
      </c>
      <c r="AH1031" t="n">
        <v>3</v>
      </c>
      <c r="AI1031" t="n">
        <v>3</v>
      </c>
      <c r="AJ1031" t="n">
        <v>5</v>
      </c>
      <c r="AK1031" t="n">
        <v>5</v>
      </c>
      <c r="AL1031" t="n">
        <v>1</v>
      </c>
      <c r="AM1031" t="n">
        <v>1</v>
      </c>
      <c r="AN1031" t="n">
        <v>0</v>
      </c>
      <c r="AO1031" t="n">
        <v>0</v>
      </c>
      <c r="AP1031" t="inlineStr">
        <is>
          <t>Yes</t>
        </is>
      </c>
      <c r="AQ1031" t="inlineStr">
        <is>
          <t>No</t>
        </is>
      </c>
      <c r="AR1031">
        <f>HYPERLINK("http://catalog.hathitrust.org/Record/005918695","HathiTrust Record")</f>
        <v/>
      </c>
      <c r="AS1031">
        <f>HYPERLINK("https://creighton-primo.hosted.exlibrisgroup.com/primo-explore/search?tab=default_tab&amp;search_scope=EVERYTHING&amp;vid=01CRU&amp;lang=en_US&amp;offset=0&amp;query=any,contains,991003207599702656","Catalog Record")</f>
        <v/>
      </c>
      <c r="AT1031">
        <f>HYPERLINK("http://www.worldcat.org/oclc/732811","WorldCat Record")</f>
        <v/>
      </c>
      <c r="AU1031" t="inlineStr">
        <is>
          <t>475972:eng</t>
        </is>
      </c>
      <c r="AV1031" t="inlineStr">
        <is>
          <t>732811</t>
        </is>
      </c>
      <c r="AW1031" t="inlineStr">
        <is>
          <t>991003207599702656</t>
        </is>
      </c>
      <c r="AX1031" t="inlineStr">
        <is>
          <t>991003207599702656</t>
        </is>
      </c>
      <c r="AY1031" t="inlineStr">
        <is>
          <t>2258494020002656</t>
        </is>
      </c>
      <c r="AZ1031" t="inlineStr">
        <is>
          <t>BOOK</t>
        </is>
      </c>
      <c r="BC1031" t="inlineStr">
        <is>
          <t>32285000847284</t>
        </is>
      </c>
      <c r="BD1031" t="inlineStr">
        <is>
          <t>893904286</t>
        </is>
      </c>
    </row>
    <row r="1032">
      <c r="A1032" t="inlineStr">
        <is>
          <t>No</t>
        </is>
      </c>
      <c r="B1032" t="inlineStr">
        <is>
          <t>DG250 .S3 1973b</t>
        </is>
      </c>
      <c r="C1032" t="inlineStr">
        <is>
          <t>0                      DG 0250000S  3           1973b</t>
        </is>
      </c>
      <c r="D1032" t="inlineStr">
        <is>
          <t>Roman politics, 220-150 B.C.</t>
        </is>
      </c>
      <c r="F1032" t="inlineStr">
        <is>
          <t>No</t>
        </is>
      </c>
      <c r="G1032" t="inlineStr">
        <is>
          <t>1</t>
        </is>
      </c>
      <c r="H1032" t="inlineStr">
        <is>
          <t>No</t>
        </is>
      </c>
      <c r="I1032" t="inlineStr">
        <is>
          <t>No</t>
        </is>
      </c>
      <c r="J1032" t="inlineStr">
        <is>
          <t>0</t>
        </is>
      </c>
      <c r="K1032" t="inlineStr">
        <is>
          <t>Scullard, H. H. (Howard Hayes), 1903-1983.</t>
        </is>
      </c>
      <c r="L1032" t="inlineStr">
        <is>
          <t>Oxford : Clarendon Press, 1951.</t>
        </is>
      </c>
      <c r="M1032" t="inlineStr">
        <is>
          <t>1973</t>
        </is>
      </c>
      <c r="O1032" t="inlineStr">
        <is>
          <t>eng</t>
        </is>
      </c>
      <c r="P1032" t="inlineStr">
        <is>
          <t>miu</t>
        </is>
      </c>
      <c r="R1032" t="inlineStr">
        <is>
          <t xml:space="preserve">DG </t>
        </is>
      </c>
      <c r="S1032" t="n">
        <v>3</v>
      </c>
      <c r="T1032" t="n">
        <v>3</v>
      </c>
      <c r="U1032" t="inlineStr">
        <is>
          <t>2001-09-26</t>
        </is>
      </c>
      <c r="V1032" t="inlineStr">
        <is>
          <t>2001-09-26</t>
        </is>
      </c>
      <c r="W1032" t="inlineStr">
        <is>
          <t>1991-12-05</t>
        </is>
      </c>
      <c r="X1032" t="inlineStr">
        <is>
          <t>1991-12-05</t>
        </is>
      </c>
      <c r="Y1032" t="n">
        <v>5</v>
      </c>
      <c r="Z1032" t="n">
        <v>5</v>
      </c>
      <c r="AA1032" t="n">
        <v>463</v>
      </c>
      <c r="AB1032" t="n">
        <v>1</v>
      </c>
      <c r="AC1032" t="n">
        <v>3</v>
      </c>
      <c r="AD1032" t="n">
        <v>0</v>
      </c>
      <c r="AE1032" t="n">
        <v>28</v>
      </c>
      <c r="AF1032" t="n">
        <v>0</v>
      </c>
      <c r="AG1032" t="n">
        <v>10</v>
      </c>
      <c r="AH1032" t="n">
        <v>0</v>
      </c>
      <c r="AI1032" t="n">
        <v>7</v>
      </c>
      <c r="AJ1032" t="n">
        <v>0</v>
      </c>
      <c r="AK1032" t="n">
        <v>16</v>
      </c>
      <c r="AL1032" t="n">
        <v>0</v>
      </c>
      <c r="AM1032" t="n">
        <v>2</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HYPERLINK("https://creighton-primo.hosted.exlibrisgroup.com/primo-explore/search?tab=default_tab&amp;search_scope=EVERYTHING&amp;vid=01CRU&amp;lang=en_US&amp;offset=0&amp;query=any,contains,991000598859702656","Catalog Record")</f>
        <v/>
      </c>
      <c r="AT1032">
        <f>HYPERLINK("http://www.worldcat.org/oclc/11819718","WorldCat Record")</f>
        <v/>
      </c>
      <c r="AU1032" t="inlineStr">
        <is>
          <t>62025519:eng</t>
        </is>
      </c>
      <c r="AV1032" t="inlineStr">
        <is>
          <t>11819718</t>
        </is>
      </c>
      <c r="AW1032" t="inlineStr">
        <is>
          <t>991000598859702656</t>
        </is>
      </c>
      <c r="AX1032" t="inlineStr">
        <is>
          <t>991000598859702656</t>
        </is>
      </c>
      <c r="AY1032" t="inlineStr">
        <is>
          <t>2263520060002656</t>
        </is>
      </c>
      <c r="AZ1032" t="inlineStr">
        <is>
          <t>BOOK</t>
        </is>
      </c>
      <c r="BC1032" t="inlineStr">
        <is>
          <t>32285000847300</t>
        </is>
      </c>
      <c r="BD1032" t="inlineStr">
        <is>
          <t>893620623</t>
        </is>
      </c>
    </row>
    <row r="1033">
      <c r="A1033" t="inlineStr">
        <is>
          <t>No</t>
        </is>
      </c>
      <c r="B1033" t="inlineStr">
        <is>
          <t>DG250 .S6</t>
        </is>
      </c>
      <c r="C1033" t="inlineStr">
        <is>
          <t>0                      DG 0250000S  6</t>
        </is>
      </c>
      <c r="D1033" t="inlineStr">
        <is>
          <t>The failure of the Roman Republic.</t>
        </is>
      </c>
      <c r="F1033" t="inlineStr">
        <is>
          <t>No</t>
        </is>
      </c>
      <c r="G1033" t="inlineStr">
        <is>
          <t>1</t>
        </is>
      </c>
      <c r="H1033" t="inlineStr">
        <is>
          <t>No</t>
        </is>
      </c>
      <c r="I1033" t="inlineStr">
        <is>
          <t>No</t>
        </is>
      </c>
      <c r="J1033" t="inlineStr">
        <is>
          <t>0</t>
        </is>
      </c>
      <c r="K1033" t="inlineStr">
        <is>
          <t>Smith, Richard Edwin.</t>
        </is>
      </c>
      <c r="L1033" t="inlineStr">
        <is>
          <t>Cambridge [Eng.] University Press, 1955.</t>
        </is>
      </c>
      <c r="M1033" t="inlineStr">
        <is>
          <t>1955</t>
        </is>
      </c>
      <c r="O1033" t="inlineStr">
        <is>
          <t>eng</t>
        </is>
      </c>
      <c r="P1033" t="inlineStr">
        <is>
          <t xml:space="preserve">xx </t>
        </is>
      </c>
      <c r="R1033" t="inlineStr">
        <is>
          <t xml:space="preserve">DG </t>
        </is>
      </c>
      <c r="S1033" t="n">
        <v>2</v>
      </c>
      <c r="T1033" t="n">
        <v>2</v>
      </c>
      <c r="U1033" t="inlineStr">
        <is>
          <t>2001-11-30</t>
        </is>
      </c>
      <c r="V1033" t="inlineStr">
        <is>
          <t>2001-11-30</t>
        </is>
      </c>
      <c r="W1033" t="inlineStr">
        <is>
          <t>1997-02-03</t>
        </is>
      </c>
      <c r="X1033" t="inlineStr">
        <is>
          <t>1997-02-03</t>
        </is>
      </c>
      <c r="Y1033" t="n">
        <v>434</v>
      </c>
      <c r="Z1033" t="n">
        <v>337</v>
      </c>
      <c r="AA1033" t="n">
        <v>469</v>
      </c>
      <c r="AB1033" t="n">
        <v>2</v>
      </c>
      <c r="AC1033" t="n">
        <v>3</v>
      </c>
      <c r="AD1033" t="n">
        <v>23</v>
      </c>
      <c r="AE1033" t="n">
        <v>28</v>
      </c>
      <c r="AF1033" t="n">
        <v>8</v>
      </c>
      <c r="AG1033" t="n">
        <v>12</v>
      </c>
      <c r="AH1033" t="n">
        <v>6</v>
      </c>
      <c r="AI1033" t="n">
        <v>7</v>
      </c>
      <c r="AJ1033" t="n">
        <v>15</v>
      </c>
      <c r="AK1033" t="n">
        <v>18</v>
      </c>
      <c r="AL1033" t="n">
        <v>1</v>
      </c>
      <c r="AM1033" t="n">
        <v>2</v>
      </c>
      <c r="AN1033" t="n">
        <v>0</v>
      </c>
      <c r="AO1033" t="n">
        <v>0</v>
      </c>
      <c r="AP1033" t="inlineStr">
        <is>
          <t>No</t>
        </is>
      </c>
      <c r="AQ1033" t="inlineStr">
        <is>
          <t>Yes</t>
        </is>
      </c>
      <c r="AR1033">
        <f>HYPERLINK("http://catalog.hathitrust.org/Record/000655790","HathiTrust Record")</f>
        <v/>
      </c>
      <c r="AS1033">
        <f>HYPERLINK("https://creighton-primo.hosted.exlibrisgroup.com/primo-explore/search?tab=default_tab&amp;search_scope=EVERYTHING&amp;vid=01CRU&amp;lang=en_US&amp;offset=0&amp;query=any,contains,991003679369702656","Catalog Record")</f>
        <v/>
      </c>
      <c r="AT1033">
        <f>HYPERLINK("http://www.worldcat.org/oclc/1303765","WorldCat Record")</f>
        <v/>
      </c>
      <c r="AU1033" t="inlineStr">
        <is>
          <t>476921:eng</t>
        </is>
      </c>
      <c r="AV1033" t="inlineStr">
        <is>
          <t>1303765</t>
        </is>
      </c>
      <c r="AW1033" t="inlineStr">
        <is>
          <t>991003679369702656</t>
        </is>
      </c>
      <c r="AX1033" t="inlineStr">
        <is>
          <t>991003679369702656</t>
        </is>
      </c>
      <c r="AY1033" t="inlineStr">
        <is>
          <t>2267752640002656</t>
        </is>
      </c>
      <c r="AZ1033" t="inlineStr">
        <is>
          <t>BOOK</t>
        </is>
      </c>
      <c r="BC1033" t="inlineStr">
        <is>
          <t>32285002420320</t>
        </is>
      </c>
      <c r="BD1033" t="inlineStr">
        <is>
          <t>893875033</t>
        </is>
      </c>
    </row>
    <row r="1034">
      <c r="A1034" t="inlineStr">
        <is>
          <t>No</t>
        </is>
      </c>
      <c r="B1034" t="inlineStr">
        <is>
          <t>DG253.C3 F67</t>
        </is>
      </c>
      <c r="C1034" t="inlineStr">
        <is>
          <t>0                      DG 0253000C  3                  F  67</t>
        </is>
      </c>
      <c r="D1034" t="inlineStr">
        <is>
          <t>Cato the censor / by Nels W. Forde.</t>
        </is>
      </c>
      <c r="F1034" t="inlineStr">
        <is>
          <t>No</t>
        </is>
      </c>
      <c r="G1034" t="inlineStr">
        <is>
          <t>1</t>
        </is>
      </c>
      <c r="H1034" t="inlineStr">
        <is>
          <t>No</t>
        </is>
      </c>
      <c r="I1034" t="inlineStr">
        <is>
          <t>No</t>
        </is>
      </c>
      <c r="J1034" t="inlineStr">
        <is>
          <t>0</t>
        </is>
      </c>
      <c r="K1034" t="inlineStr">
        <is>
          <t>Forde, Nels W.</t>
        </is>
      </c>
      <c r="L1034" t="inlineStr">
        <is>
          <t>New York : Twayne, [1975]</t>
        </is>
      </c>
      <c r="M1034" t="inlineStr">
        <is>
          <t>1975</t>
        </is>
      </c>
      <c r="O1034" t="inlineStr">
        <is>
          <t>eng</t>
        </is>
      </c>
      <c r="P1034" t="inlineStr">
        <is>
          <t>nyu</t>
        </is>
      </c>
      <c r="Q1034" t="inlineStr">
        <is>
          <t>Twayne's world leaders series ; TWLS 49</t>
        </is>
      </c>
      <c r="R1034" t="inlineStr">
        <is>
          <t xml:space="preserve">DG </t>
        </is>
      </c>
      <c r="S1034" t="n">
        <v>3</v>
      </c>
      <c r="T1034" t="n">
        <v>3</v>
      </c>
      <c r="U1034" t="inlineStr">
        <is>
          <t>2001-09-26</t>
        </is>
      </c>
      <c r="V1034" t="inlineStr">
        <is>
          <t>2001-09-26</t>
        </is>
      </c>
      <c r="W1034" t="inlineStr">
        <is>
          <t>1997-02-03</t>
        </is>
      </c>
      <c r="X1034" t="inlineStr">
        <is>
          <t>1997-02-03</t>
        </is>
      </c>
      <c r="Y1034" t="n">
        <v>472</v>
      </c>
      <c r="Z1034" t="n">
        <v>400</v>
      </c>
      <c r="AA1034" t="n">
        <v>402</v>
      </c>
      <c r="AB1034" t="n">
        <v>4</v>
      </c>
      <c r="AC1034" t="n">
        <v>4</v>
      </c>
      <c r="AD1034" t="n">
        <v>15</v>
      </c>
      <c r="AE1034" t="n">
        <v>15</v>
      </c>
      <c r="AF1034" t="n">
        <v>4</v>
      </c>
      <c r="AG1034" t="n">
        <v>4</v>
      </c>
      <c r="AH1034" t="n">
        <v>4</v>
      </c>
      <c r="AI1034" t="n">
        <v>4</v>
      </c>
      <c r="AJ1034" t="n">
        <v>8</v>
      </c>
      <c r="AK1034" t="n">
        <v>8</v>
      </c>
      <c r="AL1034" t="n">
        <v>3</v>
      </c>
      <c r="AM1034" t="n">
        <v>3</v>
      </c>
      <c r="AN1034" t="n">
        <v>0</v>
      </c>
      <c r="AO1034" t="n">
        <v>0</v>
      </c>
      <c r="AP1034" t="inlineStr">
        <is>
          <t>No</t>
        </is>
      </c>
      <c r="AQ1034" t="inlineStr">
        <is>
          <t>Yes</t>
        </is>
      </c>
      <c r="AR1034">
        <f>HYPERLINK("http://catalog.hathitrust.org/Record/000032958","HathiTrust Record")</f>
        <v/>
      </c>
      <c r="AS1034">
        <f>HYPERLINK("https://creighton-primo.hosted.exlibrisgroup.com/primo-explore/search?tab=default_tab&amp;search_scope=EVERYTHING&amp;vid=01CRU&amp;lang=en_US&amp;offset=0&amp;query=any,contains,991003539949702656","Catalog Record")</f>
        <v/>
      </c>
      <c r="AT1034">
        <f>HYPERLINK("http://www.worldcat.org/oclc/1104227","WorldCat Record")</f>
        <v/>
      </c>
      <c r="AU1034" t="inlineStr">
        <is>
          <t>1974219:eng</t>
        </is>
      </c>
      <c r="AV1034" t="inlineStr">
        <is>
          <t>1104227</t>
        </is>
      </c>
      <c r="AW1034" t="inlineStr">
        <is>
          <t>991003539949702656</t>
        </is>
      </c>
      <c r="AX1034" t="inlineStr">
        <is>
          <t>991003539949702656</t>
        </is>
      </c>
      <c r="AY1034" t="inlineStr">
        <is>
          <t>2256385760002656</t>
        </is>
      </c>
      <c r="AZ1034" t="inlineStr">
        <is>
          <t>BOOK</t>
        </is>
      </c>
      <c r="BB1034" t="inlineStr">
        <is>
          <t>9780805730173</t>
        </is>
      </c>
      <c r="BC1034" t="inlineStr">
        <is>
          <t>32285002420338</t>
        </is>
      </c>
      <c r="BD1034" t="inlineStr">
        <is>
          <t>893518588</t>
        </is>
      </c>
    </row>
    <row r="1035">
      <c r="A1035" t="inlineStr">
        <is>
          <t>No</t>
        </is>
      </c>
      <c r="B1035" t="inlineStr">
        <is>
          <t>DG254 .B37 1985</t>
        </is>
      </c>
      <c r="C1035" t="inlineStr">
        <is>
          <t>0                      DG 0254000B  37          1985</t>
        </is>
      </c>
      <c r="D1035" t="inlineStr">
        <is>
          <t>Rome in the late Republic / Mary Beard &amp; Michael Crawford.</t>
        </is>
      </c>
      <c r="F1035" t="inlineStr">
        <is>
          <t>No</t>
        </is>
      </c>
      <c r="G1035" t="inlineStr">
        <is>
          <t>1</t>
        </is>
      </c>
      <c r="H1035" t="inlineStr">
        <is>
          <t>No</t>
        </is>
      </c>
      <c r="I1035" t="inlineStr">
        <is>
          <t>No</t>
        </is>
      </c>
      <c r="J1035" t="inlineStr">
        <is>
          <t>0</t>
        </is>
      </c>
      <c r="K1035" t="inlineStr">
        <is>
          <t>Beard, Mary, 1955-</t>
        </is>
      </c>
      <c r="L1035" t="inlineStr">
        <is>
          <t>Ithaca : Cornell University Press, 1985.</t>
        </is>
      </c>
      <c r="M1035" t="inlineStr">
        <is>
          <t>1985</t>
        </is>
      </c>
      <c r="O1035" t="inlineStr">
        <is>
          <t>eng</t>
        </is>
      </c>
      <c r="P1035" t="inlineStr">
        <is>
          <t>nyu</t>
        </is>
      </c>
      <c r="R1035" t="inlineStr">
        <is>
          <t xml:space="preserve">DG </t>
        </is>
      </c>
      <c r="S1035" t="n">
        <v>6</v>
      </c>
      <c r="T1035" t="n">
        <v>6</v>
      </c>
      <c r="U1035" t="inlineStr">
        <is>
          <t>2000-11-04</t>
        </is>
      </c>
      <c r="V1035" t="inlineStr">
        <is>
          <t>2000-11-04</t>
        </is>
      </c>
      <c r="W1035" t="inlineStr">
        <is>
          <t>1990-07-09</t>
        </is>
      </c>
      <c r="X1035" t="inlineStr">
        <is>
          <t>1990-07-09</t>
        </is>
      </c>
      <c r="Y1035" t="n">
        <v>534</v>
      </c>
      <c r="Z1035" t="n">
        <v>474</v>
      </c>
      <c r="AA1035" t="n">
        <v>547</v>
      </c>
      <c r="AB1035" t="n">
        <v>1</v>
      </c>
      <c r="AC1035" t="n">
        <v>3</v>
      </c>
      <c r="AD1035" t="n">
        <v>26</v>
      </c>
      <c r="AE1035" t="n">
        <v>30</v>
      </c>
      <c r="AF1035" t="n">
        <v>13</v>
      </c>
      <c r="AG1035" t="n">
        <v>14</v>
      </c>
      <c r="AH1035" t="n">
        <v>9</v>
      </c>
      <c r="AI1035" t="n">
        <v>9</v>
      </c>
      <c r="AJ1035" t="n">
        <v>16</v>
      </c>
      <c r="AK1035" t="n">
        <v>17</v>
      </c>
      <c r="AL1035" t="n">
        <v>0</v>
      </c>
      <c r="AM1035" t="n">
        <v>2</v>
      </c>
      <c r="AN1035" t="n">
        <v>0</v>
      </c>
      <c r="AO1035" t="n">
        <v>0</v>
      </c>
      <c r="AP1035" t="inlineStr">
        <is>
          <t>No</t>
        </is>
      </c>
      <c r="AQ1035" t="inlineStr">
        <is>
          <t>Yes</t>
        </is>
      </c>
      <c r="AR1035">
        <f>HYPERLINK("http://catalog.hathitrust.org/Record/000613424","HathiTrust Record")</f>
        <v/>
      </c>
      <c r="AS1035">
        <f>HYPERLINK("https://creighton-primo.hosted.exlibrisgroup.com/primo-explore/search?tab=default_tab&amp;search_scope=EVERYTHING&amp;vid=01CRU&amp;lang=en_US&amp;offset=0&amp;query=any,contains,991000574469702656","Catalog Record")</f>
        <v/>
      </c>
      <c r="AT1035">
        <f>HYPERLINK("http://www.worldcat.org/oclc/11676607","WorldCat Record")</f>
        <v/>
      </c>
      <c r="AU1035" t="inlineStr">
        <is>
          <t>292568627:eng</t>
        </is>
      </c>
      <c r="AV1035" t="inlineStr">
        <is>
          <t>11676607</t>
        </is>
      </c>
      <c r="AW1035" t="inlineStr">
        <is>
          <t>991000574469702656</t>
        </is>
      </c>
      <c r="AX1035" t="inlineStr">
        <is>
          <t>991000574469702656</t>
        </is>
      </c>
      <c r="AY1035" t="inlineStr">
        <is>
          <t>2256565800002656</t>
        </is>
      </c>
      <c r="AZ1035" t="inlineStr">
        <is>
          <t>BOOK</t>
        </is>
      </c>
      <c r="BB1035" t="inlineStr">
        <is>
          <t>9780801418242</t>
        </is>
      </c>
      <c r="BC1035" t="inlineStr">
        <is>
          <t>32285000226851</t>
        </is>
      </c>
      <c r="BD1035" t="inlineStr">
        <is>
          <t>893620595</t>
        </is>
      </c>
    </row>
    <row r="1036">
      <c r="A1036" t="inlineStr">
        <is>
          <t>No</t>
        </is>
      </c>
      <c r="B1036" t="inlineStr">
        <is>
          <t>DG254 .M34 1963</t>
        </is>
      </c>
      <c r="C1036" t="inlineStr">
        <is>
          <t>0                      DG 0254000M  34          1963</t>
        </is>
      </c>
      <c r="D1036" t="inlineStr">
        <is>
          <t>A history of the Roman world from 146 to 30 B.C. / rev. with additional notes by H. H. Scullard.</t>
        </is>
      </c>
      <c r="F1036" t="inlineStr">
        <is>
          <t>No</t>
        </is>
      </c>
      <c r="G1036" t="inlineStr">
        <is>
          <t>1</t>
        </is>
      </c>
      <c r="H1036" t="inlineStr">
        <is>
          <t>No</t>
        </is>
      </c>
      <c r="I1036" t="inlineStr">
        <is>
          <t>No</t>
        </is>
      </c>
      <c r="J1036" t="inlineStr">
        <is>
          <t>0</t>
        </is>
      </c>
      <c r="K1036" t="inlineStr">
        <is>
          <t>Marsh, Frank Burr, 1880-1940.</t>
        </is>
      </c>
      <c r="L1036" t="inlineStr">
        <is>
          <t>London : Methuen ; New York : Barnes &amp; Noble, [1963]</t>
        </is>
      </c>
      <c r="M1036" t="inlineStr">
        <is>
          <t>1963</t>
        </is>
      </c>
      <c r="N1036" t="inlineStr">
        <is>
          <t>[3d ed.]</t>
        </is>
      </c>
      <c r="O1036" t="inlineStr">
        <is>
          <t>eng</t>
        </is>
      </c>
      <c r="P1036" t="inlineStr">
        <is>
          <t>enk</t>
        </is>
      </c>
      <c r="Q1036" t="inlineStr">
        <is>
          <t>Methuen's history of the Greek and Roman world ; 5</t>
        </is>
      </c>
      <c r="R1036" t="inlineStr">
        <is>
          <t xml:space="preserve">DG </t>
        </is>
      </c>
      <c r="S1036" t="n">
        <v>2</v>
      </c>
      <c r="T1036" t="n">
        <v>2</v>
      </c>
      <c r="U1036" t="inlineStr">
        <is>
          <t>2005-04-10</t>
        </is>
      </c>
      <c r="V1036" t="inlineStr">
        <is>
          <t>2005-04-10</t>
        </is>
      </c>
      <c r="W1036" t="inlineStr">
        <is>
          <t>1990-12-18</t>
        </is>
      </c>
      <c r="X1036" t="inlineStr">
        <is>
          <t>1990-12-18</t>
        </is>
      </c>
      <c r="Y1036" t="n">
        <v>519</v>
      </c>
      <c r="Z1036" t="n">
        <v>438</v>
      </c>
      <c r="AA1036" t="n">
        <v>819</v>
      </c>
      <c r="AB1036" t="n">
        <v>3</v>
      </c>
      <c r="AC1036" t="n">
        <v>5</v>
      </c>
      <c r="AD1036" t="n">
        <v>17</v>
      </c>
      <c r="AE1036" t="n">
        <v>45</v>
      </c>
      <c r="AF1036" t="n">
        <v>7</v>
      </c>
      <c r="AG1036" t="n">
        <v>21</v>
      </c>
      <c r="AH1036" t="n">
        <v>3</v>
      </c>
      <c r="AI1036" t="n">
        <v>9</v>
      </c>
      <c r="AJ1036" t="n">
        <v>8</v>
      </c>
      <c r="AK1036" t="n">
        <v>23</v>
      </c>
      <c r="AL1036" t="n">
        <v>2</v>
      </c>
      <c r="AM1036" t="n">
        <v>4</v>
      </c>
      <c r="AN1036" t="n">
        <v>0</v>
      </c>
      <c r="AO1036" t="n">
        <v>0</v>
      </c>
      <c r="AP1036" t="inlineStr">
        <is>
          <t>No</t>
        </is>
      </c>
      <c r="AQ1036" t="inlineStr">
        <is>
          <t>Yes</t>
        </is>
      </c>
      <c r="AR1036">
        <f>HYPERLINK("http://catalog.hathitrust.org/Record/000649823","HathiTrust Record")</f>
        <v/>
      </c>
      <c r="AS1036">
        <f>HYPERLINK("https://creighton-primo.hosted.exlibrisgroup.com/primo-explore/search?tab=default_tab&amp;search_scope=EVERYTHING&amp;vid=01CRU&amp;lang=en_US&amp;offset=0&amp;query=any,contains,991002735149702656","Catalog Record")</f>
        <v/>
      </c>
      <c r="AT1036">
        <f>HYPERLINK("http://www.worldcat.org/oclc/418946","WorldCat Record")</f>
        <v/>
      </c>
      <c r="AU1036" t="inlineStr">
        <is>
          <t>4922995420:eng</t>
        </is>
      </c>
      <c r="AV1036" t="inlineStr">
        <is>
          <t>418946</t>
        </is>
      </c>
      <c r="AW1036" t="inlineStr">
        <is>
          <t>991002735149702656</t>
        </is>
      </c>
      <c r="AX1036" t="inlineStr">
        <is>
          <t>991002735149702656</t>
        </is>
      </c>
      <c r="AY1036" t="inlineStr">
        <is>
          <t>2261197480002656</t>
        </is>
      </c>
      <c r="AZ1036" t="inlineStr">
        <is>
          <t>BOOK</t>
        </is>
      </c>
      <c r="BC1036" t="inlineStr">
        <is>
          <t>32285000425719</t>
        </is>
      </c>
      <c r="BD1036" t="inlineStr">
        <is>
          <t>893627280</t>
        </is>
      </c>
    </row>
    <row r="1037">
      <c r="A1037" t="inlineStr">
        <is>
          <t>No</t>
        </is>
      </c>
      <c r="B1037" t="inlineStr">
        <is>
          <t>DG254.2 .B3 1968b</t>
        </is>
      </c>
      <c r="C1037" t="inlineStr">
        <is>
          <t>0                      DG 0254200B  3           1968b</t>
        </is>
      </c>
      <c r="D1037" t="inlineStr">
        <is>
          <t>Roman imperialism in the late republic, by E. Badian.</t>
        </is>
      </c>
      <c r="F1037" t="inlineStr">
        <is>
          <t>No</t>
        </is>
      </c>
      <c r="G1037" t="inlineStr">
        <is>
          <t>1</t>
        </is>
      </c>
      <c r="H1037" t="inlineStr">
        <is>
          <t>No</t>
        </is>
      </c>
      <c r="I1037" t="inlineStr">
        <is>
          <t>No</t>
        </is>
      </c>
      <c r="J1037" t="inlineStr">
        <is>
          <t>0</t>
        </is>
      </c>
      <c r="K1037" t="inlineStr">
        <is>
          <t>Badian, E.</t>
        </is>
      </c>
      <c r="L1037" t="inlineStr">
        <is>
          <t>Ithaca, N.Y., Cornell University Press [1968]</t>
        </is>
      </c>
      <c r="M1037" t="inlineStr">
        <is>
          <t>1968</t>
        </is>
      </c>
      <c r="N1037" t="inlineStr">
        <is>
          <t>[2d ed.]</t>
        </is>
      </c>
      <c r="O1037" t="inlineStr">
        <is>
          <t>eng</t>
        </is>
      </c>
      <c r="P1037" t="inlineStr">
        <is>
          <t>nyu</t>
        </is>
      </c>
      <c r="R1037" t="inlineStr">
        <is>
          <t xml:space="preserve">DG </t>
        </is>
      </c>
      <c r="S1037" t="n">
        <v>4</v>
      </c>
      <c r="T1037" t="n">
        <v>4</v>
      </c>
      <c r="U1037" t="inlineStr">
        <is>
          <t>2001-03-14</t>
        </is>
      </c>
      <c r="V1037" t="inlineStr">
        <is>
          <t>2001-03-14</t>
        </is>
      </c>
      <c r="W1037" t="inlineStr">
        <is>
          <t>1997-02-03</t>
        </is>
      </c>
      <c r="X1037" t="inlineStr">
        <is>
          <t>1997-02-03</t>
        </is>
      </c>
      <c r="Y1037" t="n">
        <v>712</v>
      </c>
      <c r="Z1037" t="n">
        <v>664</v>
      </c>
      <c r="AA1037" t="n">
        <v>835</v>
      </c>
      <c r="AB1037" t="n">
        <v>8</v>
      </c>
      <c r="AC1037" t="n">
        <v>10</v>
      </c>
      <c r="AD1037" t="n">
        <v>32</v>
      </c>
      <c r="AE1037" t="n">
        <v>44</v>
      </c>
      <c r="AF1037" t="n">
        <v>11</v>
      </c>
      <c r="AG1037" t="n">
        <v>17</v>
      </c>
      <c r="AH1037" t="n">
        <v>7</v>
      </c>
      <c r="AI1037" t="n">
        <v>10</v>
      </c>
      <c r="AJ1037" t="n">
        <v>15</v>
      </c>
      <c r="AK1037" t="n">
        <v>19</v>
      </c>
      <c r="AL1037" t="n">
        <v>7</v>
      </c>
      <c r="AM1037" t="n">
        <v>9</v>
      </c>
      <c r="AN1037" t="n">
        <v>0</v>
      </c>
      <c r="AO1037" t="n">
        <v>0</v>
      </c>
      <c r="AP1037" t="inlineStr">
        <is>
          <t>No</t>
        </is>
      </c>
      <c r="AQ1037" t="inlineStr">
        <is>
          <t>Yes</t>
        </is>
      </c>
      <c r="AR1037">
        <f>HYPERLINK("http://catalog.hathitrust.org/Record/000614404","HathiTrust Record")</f>
        <v/>
      </c>
      <c r="AS1037">
        <f>HYPERLINK("https://creighton-primo.hosted.exlibrisgroup.com/primo-explore/search?tab=default_tab&amp;search_scope=EVERYTHING&amp;vid=01CRU&amp;lang=en_US&amp;offset=0&amp;query=any,contains,991005431589702656","Catalog Record")</f>
        <v/>
      </c>
      <c r="AT1037">
        <f>HYPERLINK("http://www.worldcat.org/oclc/651","WorldCat Record")</f>
        <v/>
      </c>
      <c r="AU1037" t="inlineStr">
        <is>
          <t>449987:eng</t>
        </is>
      </c>
      <c r="AV1037" t="inlineStr">
        <is>
          <t>651</t>
        </is>
      </c>
      <c r="AW1037" t="inlineStr">
        <is>
          <t>991005431589702656</t>
        </is>
      </c>
      <c r="AX1037" t="inlineStr">
        <is>
          <t>991005431589702656</t>
        </is>
      </c>
      <c r="AY1037" t="inlineStr">
        <is>
          <t>2272634090002656</t>
        </is>
      </c>
      <c r="AZ1037" t="inlineStr">
        <is>
          <t>BOOK</t>
        </is>
      </c>
      <c r="BC1037" t="inlineStr">
        <is>
          <t>32285002420395</t>
        </is>
      </c>
      <c r="BD1037" t="inlineStr">
        <is>
          <t>893332960</t>
        </is>
      </c>
    </row>
    <row r="1038">
      <c r="A1038" t="inlineStr">
        <is>
          <t>No</t>
        </is>
      </c>
      <c r="B1038" t="inlineStr">
        <is>
          <t>DG254.2 .B87 2003</t>
        </is>
      </c>
      <c r="C1038" t="inlineStr">
        <is>
          <t>0                      DG 0254200B  87          2003</t>
        </is>
      </c>
      <c r="D1038" t="inlineStr">
        <is>
          <t>Rome and the Barbarians, 100 B.C.-A.D. 400 / Thomas S. Burns.</t>
        </is>
      </c>
      <c r="F1038" t="inlineStr">
        <is>
          <t>No</t>
        </is>
      </c>
      <c r="G1038" t="inlineStr">
        <is>
          <t>1</t>
        </is>
      </c>
      <c r="H1038" t="inlineStr">
        <is>
          <t>No</t>
        </is>
      </c>
      <c r="I1038" t="inlineStr">
        <is>
          <t>No</t>
        </is>
      </c>
      <c r="J1038" t="inlineStr">
        <is>
          <t>0</t>
        </is>
      </c>
      <c r="K1038" t="inlineStr">
        <is>
          <t>Burns, Thomas S. (Thomas Samuel), 1945-</t>
        </is>
      </c>
      <c r="L1038" t="inlineStr">
        <is>
          <t>Baltimore : Johns Hopkins University Press, 2003.</t>
        </is>
      </c>
      <c r="M1038" t="inlineStr">
        <is>
          <t>2003</t>
        </is>
      </c>
      <c r="O1038" t="inlineStr">
        <is>
          <t>eng</t>
        </is>
      </c>
      <c r="P1038" t="inlineStr">
        <is>
          <t>mdu</t>
        </is>
      </c>
      <c r="Q1038" t="inlineStr">
        <is>
          <t>Ancient society and history</t>
        </is>
      </c>
      <c r="R1038" t="inlineStr">
        <is>
          <t xml:space="preserve">DG </t>
        </is>
      </c>
      <c r="S1038" t="n">
        <v>3</v>
      </c>
      <c r="T1038" t="n">
        <v>3</v>
      </c>
      <c r="U1038" t="inlineStr">
        <is>
          <t>2008-05-22</t>
        </is>
      </c>
      <c r="V1038" t="inlineStr">
        <is>
          <t>2008-05-22</t>
        </is>
      </c>
      <c r="W1038" t="inlineStr">
        <is>
          <t>2008-05-22</t>
        </is>
      </c>
      <c r="X1038" t="inlineStr">
        <is>
          <t>2008-05-22</t>
        </is>
      </c>
      <c r="Y1038" t="n">
        <v>616</v>
      </c>
      <c r="Z1038" t="n">
        <v>513</v>
      </c>
      <c r="AA1038" t="n">
        <v>556</v>
      </c>
      <c r="AB1038" t="n">
        <v>5</v>
      </c>
      <c r="AC1038" t="n">
        <v>5</v>
      </c>
      <c r="AD1038" t="n">
        <v>34</v>
      </c>
      <c r="AE1038" t="n">
        <v>36</v>
      </c>
      <c r="AF1038" t="n">
        <v>17</v>
      </c>
      <c r="AG1038" t="n">
        <v>18</v>
      </c>
      <c r="AH1038" t="n">
        <v>8</v>
      </c>
      <c r="AI1038" t="n">
        <v>10</v>
      </c>
      <c r="AJ1038" t="n">
        <v>18</v>
      </c>
      <c r="AK1038" t="n">
        <v>18</v>
      </c>
      <c r="AL1038" t="n">
        <v>4</v>
      </c>
      <c r="AM1038" t="n">
        <v>4</v>
      </c>
      <c r="AN1038" t="n">
        <v>0</v>
      </c>
      <c r="AO1038" t="n">
        <v>0</v>
      </c>
      <c r="AP1038" t="inlineStr">
        <is>
          <t>No</t>
        </is>
      </c>
      <c r="AQ1038" t="inlineStr">
        <is>
          <t>Yes</t>
        </is>
      </c>
      <c r="AR1038">
        <f>HYPERLINK("http://catalog.hathitrust.org/Record/004342156","HathiTrust Record")</f>
        <v/>
      </c>
      <c r="AS1038">
        <f>HYPERLINK("https://creighton-primo.hosted.exlibrisgroup.com/primo-explore/search?tab=default_tab&amp;search_scope=EVERYTHING&amp;vid=01CRU&amp;lang=en_US&amp;offset=0&amp;query=any,contains,991005226609702656","Catalog Record")</f>
        <v/>
      </c>
      <c r="AT1038">
        <f>HYPERLINK("http://www.worldcat.org/oclc/50694886","WorldCat Record")</f>
        <v/>
      </c>
      <c r="AU1038" t="inlineStr">
        <is>
          <t>1056274:eng</t>
        </is>
      </c>
      <c r="AV1038" t="inlineStr">
        <is>
          <t>50694886</t>
        </is>
      </c>
      <c r="AW1038" t="inlineStr">
        <is>
          <t>991005226609702656</t>
        </is>
      </c>
      <c r="AX1038" t="inlineStr">
        <is>
          <t>991005226609702656</t>
        </is>
      </c>
      <c r="AY1038" t="inlineStr">
        <is>
          <t>2255638870002656</t>
        </is>
      </c>
      <c r="AZ1038" t="inlineStr">
        <is>
          <t>BOOK</t>
        </is>
      </c>
      <c r="BB1038" t="inlineStr">
        <is>
          <t>9780801873065</t>
        </is>
      </c>
      <c r="BC1038" t="inlineStr">
        <is>
          <t>32285005440739</t>
        </is>
      </c>
      <c r="BD1038" t="inlineStr">
        <is>
          <t>893418584</t>
        </is>
      </c>
    </row>
    <row r="1039">
      <c r="A1039" t="inlineStr">
        <is>
          <t>No</t>
        </is>
      </c>
      <c r="B1039" t="inlineStr">
        <is>
          <t>DG254.2 .D76 1964</t>
        </is>
      </c>
      <c r="C1039" t="inlineStr">
        <is>
          <t>0                      DG 0254200D  76          1964</t>
        </is>
      </c>
      <c r="D1039"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39" t="inlineStr">
        <is>
          <t>V. 4</t>
        </is>
      </c>
      <c r="F1039" t="inlineStr">
        <is>
          <t>Yes</t>
        </is>
      </c>
      <c r="G1039" t="inlineStr">
        <is>
          <t>1</t>
        </is>
      </c>
      <c r="H1039" t="inlineStr">
        <is>
          <t>No</t>
        </is>
      </c>
      <c r="I1039" t="inlineStr">
        <is>
          <t>No</t>
        </is>
      </c>
      <c r="J1039" t="inlineStr">
        <is>
          <t>0</t>
        </is>
      </c>
      <c r="K1039" t="inlineStr">
        <is>
          <t>Drumann, W. (Wilhelm), 1786-1861.</t>
        </is>
      </c>
      <c r="L1039" t="inlineStr">
        <is>
          <t>Hildesheim : G. Olms, 1964.</t>
        </is>
      </c>
      <c r="M1039" t="inlineStr">
        <is>
          <t>1964</t>
        </is>
      </c>
      <c r="O1039" t="inlineStr">
        <is>
          <t>ger</t>
        </is>
      </c>
      <c r="P1039" t="inlineStr">
        <is>
          <t xml:space="preserve">xx </t>
        </is>
      </c>
      <c r="R1039" t="inlineStr">
        <is>
          <t xml:space="preserve">DG </t>
        </is>
      </c>
      <c r="S1039" t="n">
        <v>3</v>
      </c>
      <c r="T1039" t="n">
        <v>12</v>
      </c>
      <c r="U1039" t="inlineStr">
        <is>
          <t>2005-03-11</t>
        </is>
      </c>
      <c r="V1039" t="inlineStr">
        <is>
          <t>2009-10-21</t>
        </is>
      </c>
      <c r="W1039" t="inlineStr">
        <is>
          <t>2003-12-02</t>
        </is>
      </c>
      <c r="X1039" t="inlineStr">
        <is>
          <t>2003-12-02</t>
        </is>
      </c>
      <c r="Y1039" t="n">
        <v>79</v>
      </c>
      <c r="Z1039" t="n">
        <v>53</v>
      </c>
      <c r="AA1039" t="n">
        <v>108</v>
      </c>
      <c r="AB1039" t="n">
        <v>1</v>
      </c>
      <c r="AC1039" t="n">
        <v>1</v>
      </c>
      <c r="AD1039" t="n">
        <v>4</v>
      </c>
      <c r="AE1039" t="n">
        <v>5</v>
      </c>
      <c r="AF1039" t="n">
        <v>0</v>
      </c>
      <c r="AG1039" t="n">
        <v>0</v>
      </c>
      <c r="AH1039" t="n">
        <v>1</v>
      </c>
      <c r="AI1039" t="n">
        <v>1</v>
      </c>
      <c r="AJ1039" t="n">
        <v>3</v>
      </c>
      <c r="AK1039" t="n">
        <v>4</v>
      </c>
      <c r="AL1039" t="n">
        <v>0</v>
      </c>
      <c r="AM1039" t="n">
        <v>0</v>
      </c>
      <c r="AN1039" t="n">
        <v>0</v>
      </c>
      <c r="AO1039" t="n">
        <v>0</v>
      </c>
      <c r="AP1039" t="inlineStr">
        <is>
          <t>No</t>
        </is>
      </c>
      <c r="AQ1039" t="inlineStr">
        <is>
          <t>Yes</t>
        </is>
      </c>
      <c r="AR1039">
        <f>HYPERLINK("http://catalog.hathitrust.org/Record/010311242","HathiTrust Record")</f>
        <v/>
      </c>
      <c r="AS1039">
        <f>HYPERLINK("https://creighton-primo.hosted.exlibrisgroup.com/primo-explore/search?tab=default_tab&amp;search_scope=EVERYTHING&amp;vid=01CRU&amp;lang=en_US&amp;offset=0&amp;query=any,contains,991004154049702656","Catalog Record")</f>
        <v/>
      </c>
      <c r="AT1039">
        <f>HYPERLINK("http://www.worldcat.org/oclc/1420999","WorldCat Record")</f>
        <v/>
      </c>
      <c r="AU1039" t="inlineStr">
        <is>
          <t>4920234001:ger</t>
        </is>
      </c>
      <c r="AV1039" t="inlineStr">
        <is>
          <t>1420999</t>
        </is>
      </c>
      <c r="AW1039" t="inlineStr">
        <is>
          <t>991004154049702656</t>
        </is>
      </c>
      <c r="AX1039" t="inlineStr">
        <is>
          <t>991004154049702656</t>
        </is>
      </c>
      <c r="AY1039" t="inlineStr">
        <is>
          <t>2268952610002656</t>
        </is>
      </c>
      <c r="AZ1039" t="inlineStr">
        <is>
          <t>BOOK</t>
        </is>
      </c>
      <c r="BC1039" t="inlineStr">
        <is>
          <t>32285004843826</t>
        </is>
      </c>
      <c r="BD1039" t="inlineStr">
        <is>
          <t>893423443</t>
        </is>
      </c>
    </row>
    <row r="1040">
      <c r="A1040" t="inlineStr">
        <is>
          <t>No</t>
        </is>
      </c>
      <c r="B1040" t="inlineStr">
        <is>
          <t>DG254.2 .D76 1964</t>
        </is>
      </c>
      <c r="C1040" t="inlineStr">
        <is>
          <t>0                      DG 0254200D  76          1964</t>
        </is>
      </c>
      <c r="D1040"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0" t="inlineStr">
        <is>
          <t>V. 1</t>
        </is>
      </c>
      <c r="F1040" t="inlineStr">
        <is>
          <t>Yes</t>
        </is>
      </c>
      <c r="G1040" t="inlineStr">
        <is>
          <t>1</t>
        </is>
      </c>
      <c r="H1040" t="inlineStr">
        <is>
          <t>No</t>
        </is>
      </c>
      <c r="I1040" t="inlineStr">
        <is>
          <t>No</t>
        </is>
      </c>
      <c r="J1040" t="inlineStr">
        <is>
          <t>0</t>
        </is>
      </c>
      <c r="K1040" t="inlineStr">
        <is>
          <t>Drumann, W. (Wilhelm), 1786-1861.</t>
        </is>
      </c>
      <c r="L1040" t="inlineStr">
        <is>
          <t>Hildesheim : G. Olms, 1964.</t>
        </is>
      </c>
      <c r="M1040" t="inlineStr">
        <is>
          <t>1964</t>
        </is>
      </c>
      <c r="O1040" t="inlineStr">
        <is>
          <t>ger</t>
        </is>
      </c>
      <c r="P1040" t="inlineStr">
        <is>
          <t xml:space="preserve">xx </t>
        </is>
      </c>
      <c r="R1040" t="inlineStr">
        <is>
          <t xml:space="preserve">DG </t>
        </is>
      </c>
      <c r="S1040" t="n">
        <v>2</v>
      </c>
      <c r="T1040" t="n">
        <v>12</v>
      </c>
      <c r="U1040" t="inlineStr">
        <is>
          <t>2005-03-28</t>
        </is>
      </c>
      <c r="V1040" t="inlineStr">
        <is>
          <t>2009-10-21</t>
        </is>
      </c>
      <c r="W1040" t="inlineStr">
        <is>
          <t>2003-12-02</t>
        </is>
      </c>
      <c r="X1040" t="inlineStr">
        <is>
          <t>2003-12-02</t>
        </is>
      </c>
      <c r="Y1040" t="n">
        <v>79</v>
      </c>
      <c r="Z1040" t="n">
        <v>53</v>
      </c>
      <c r="AA1040" t="n">
        <v>108</v>
      </c>
      <c r="AB1040" t="n">
        <v>1</v>
      </c>
      <c r="AC1040" t="n">
        <v>1</v>
      </c>
      <c r="AD1040" t="n">
        <v>4</v>
      </c>
      <c r="AE1040" t="n">
        <v>5</v>
      </c>
      <c r="AF1040" t="n">
        <v>0</v>
      </c>
      <c r="AG1040" t="n">
        <v>0</v>
      </c>
      <c r="AH1040" t="n">
        <v>1</v>
      </c>
      <c r="AI1040" t="n">
        <v>1</v>
      </c>
      <c r="AJ1040" t="n">
        <v>3</v>
      </c>
      <c r="AK1040" t="n">
        <v>4</v>
      </c>
      <c r="AL1040" t="n">
        <v>0</v>
      </c>
      <c r="AM1040" t="n">
        <v>0</v>
      </c>
      <c r="AN1040" t="n">
        <v>0</v>
      </c>
      <c r="AO1040" t="n">
        <v>0</v>
      </c>
      <c r="AP1040" t="inlineStr">
        <is>
          <t>No</t>
        </is>
      </c>
      <c r="AQ1040" t="inlineStr">
        <is>
          <t>Yes</t>
        </is>
      </c>
      <c r="AR1040">
        <f>HYPERLINK("http://catalog.hathitrust.org/Record/010311242","HathiTrust Record")</f>
        <v/>
      </c>
      <c r="AS1040">
        <f>HYPERLINK("https://creighton-primo.hosted.exlibrisgroup.com/primo-explore/search?tab=default_tab&amp;search_scope=EVERYTHING&amp;vid=01CRU&amp;lang=en_US&amp;offset=0&amp;query=any,contains,991004154049702656","Catalog Record")</f>
        <v/>
      </c>
      <c r="AT1040">
        <f>HYPERLINK("http://www.worldcat.org/oclc/1420999","WorldCat Record")</f>
        <v/>
      </c>
      <c r="AU1040" t="inlineStr">
        <is>
          <t>4920234001:ger</t>
        </is>
      </c>
      <c r="AV1040" t="inlineStr">
        <is>
          <t>1420999</t>
        </is>
      </c>
      <c r="AW1040" t="inlineStr">
        <is>
          <t>991004154049702656</t>
        </is>
      </c>
      <c r="AX1040" t="inlineStr">
        <is>
          <t>991004154049702656</t>
        </is>
      </c>
      <c r="AY1040" t="inlineStr">
        <is>
          <t>2268952610002656</t>
        </is>
      </c>
      <c r="AZ1040" t="inlineStr">
        <is>
          <t>BOOK</t>
        </is>
      </c>
      <c r="BC1040" t="inlineStr">
        <is>
          <t>32285004843792</t>
        </is>
      </c>
      <c r="BD1040" t="inlineStr">
        <is>
          <t>893429723</t>
        </is>
      </c>
    </row>
    <row r="1041">
      <c r="A1041" t="inlineStr">
        <is>
          <t>No</t>
        </is>
      </c>
      <c r="B1041" t="inlineStr">
        <is>
          <t>DG254.2 .D76 1964</t>
        </is>
      </c>
      <c r="C1041" t="inlineStr">
        <is>
          <t>0                      DG 0254200D  76          1964</t>
        </is>
      </c>
      <c r="D1041"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1" t="inlineStr">
        <is>
          <t>V. 2</t>
        </is>
      </c>
      <c r="F1041" t="inlineStr">
        <is>
          <t>Yes</t>
        </is>
      </c>
      <c r="G1041" t="inlineStr">
        <is>
          <t>1</t>
        </is>
      </c>
      <c r="H1041" t="inlineStr">
        <is>
          <t>No</t>
        </is>
      </c>
      <c r="I1041" t="inlineStr">
        <is>
          <t>No</t>
        </is>
      </c>
      <c r="J1041" t="inlineStr">
        <is>
          <t>0</t>
        </is>
      </c>
      <c r="K1041" t="inlineStr">
        <is>
          <t>Drumann, W. (Wilhelm), 1786-1861.</t>
        </is>
      </c>
      <c r="L1041" t="inlineStr">
        <is>
          <t>Hildesheim : G. Olms, 1964.</t>
        </is>
      </c>
      <c r="M1041" t="inlineStr">
        <is>
          <t>1964</t>
        </is>
      </c>
      <c r="O1041" t="inlineStr">
        <is>
          <t>ger</t>
        </is>
      </c>
      <c r="P1041" t="inlineStr">
        <is>
          <t xml:space="preserve">xx </t>
        </is>
      </c>
      <c r="R1041" t="inlineStr">
        <is>
          <t xml:space="preserve">DG </t>
        </is>
      </c>
      <c r="S1041" t="n">
        <v>1</v>
      </c>
      <c r="T1041" t="n">
        <v>12</v>
      </c>
      <c r="U1041" t="inlineStr">
        <is>
          <t>2003-12-02</t>
        </is>
      </c>
      <c r="V1041" t="inlineStr">
        <is>
          <t>2009-10-21</t>
        </is>
      </c>
      <c r="W1041" t="inlineStr">
        <is>
          <t>2003-12-02</t>
        </is>
      </c>
      <c r="X1041" t="inlineStr">
        <is>
          <t>2003-12-02</t>
        </is>
      </c>
      <c r="Y1041" t="n">
        <v>79</v>
      </c>
      <c r="Z1041" t="n">
        <v>53</v>
      </c>
      <c r="AA1041" t="n">
        <v>108</v>
      </c>
      <c r="AB1041" t="n">
        <v>1</v>
      </c>
      <c r="AC1041" t="n">
        <v>1</v>
      </c>
      <c r="AD1041" t="n">
        <v>4</v>
      </c>
      <c r="AE1041" t="n">
        <v>5</v>
      </c>
      <c r="AF1041" t="n">
        <v>0</v>
      </c>
      <c r="AG1041" t="n">
        <v>0</v>
      </c>
      <c r="AH1041" t="n">
        <v>1</v>
      </c>
      <c r="AI1041" t="n">
        <v>1</v>
      </c>
      <c r="AJ1041" t="n">
        <v>3</v>
      </c>
      <c r="AK1041" t="n">
        <v>4</v>
      </c>
      <c r="AL1041" t="n">
        <v>0</v>
      </c>
      <c r="AM1041" t="n">
        <v>0</v>
      </c>
      <c r="AN1041" t="n">
        <v>0</v>
      </c>
      <c r="AO1041" t="n">
        <v>0</v>
      </c>
      <c r="AP1041" t="inlineStr">
        <is>
          <t>No</t>
        </is>
      </c>
      <c r="AQ1041" t="inlineStr">
        <is>
          <t>Yes</t>
        </is>
      </c>
      <c r="AR1041">
        <f>HYPERLINK("http://catalog.hathitrust.org/Record/010311242","HathiTrust Record")</f>
        <v/>
      </c>
      <c r="AS1041">
        <f>HYPERLINK("https://creighton-primo.hosted.exlibrisgroup.com/primo-explore/search?tab=default_tab&amp;search_scope=EVERYTHING&amp;vid=01CRU&amp;lang=en_US&amp;offset=0&amp;query=any,contains,991004154049702656","Catalog Record")</f>
        <v/>
      </c>
      <c r="AT1041">
        <f>HYPERLINK("http://www.worldcat.org/oclc/1420999","WorldCat Record")</f>
        <v/>
      </c>
      <c r="AU1041" t="inlineStr">
        <is>
          <t>4920234001:ger</t>
        </is>
      </c>
      <c r="AV1041" t="inlineStr">
        <is>
          <t>1420999</t>
        </is>
      </c>
      <c r="AW1041" t="inlineStr">
        <is>
          <t>991004154049702656</t>
        </is>
      </c>
      <c r="AX1041" t="inlineStr">
        <is>
          <t>991004154049702656</t>
        </is>
      </c>
      <c r="AY1041" t="inlineStr">
        <is>
          <t>2268952610002656</t>
        </is>
      </c>
      <c r="AZ1041" t="inlineStr">
        <is>
          <t>BOOK</t>
        </is>
      </c>
      <c r="BC1041" t="inlineStr">
        <is>
          <t>32285004843800</t>
        </is>
      </c>
      <c r="BD1041" t="inlineStr">
        <is>
          <t>893423444</t>
        </is>
      </c>
    </row>
    <row r="1042">
      <c r="A1042" t="inlineStr">
        <is>
          <t>No</t>
        </is>
      </c>
      <c r="B1042" t="inlineStr">
        <is>
          <t>DG254.2 .D76 1964</t>
        </is>
      </c>
      <c r="C1042" t="inlineStr">
        <is>
          <t>0                      DG 0254200D  76          1964</t>
        </is>
      </c>
      <c r="D1042"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2" t="inlineStr">
        <is>
          <t>V. 6</t>
        </is>
      </c>
      <c r="F1042" t="inlineStr">
        <is>
          <t>Yes</t>
        </is>
      </c>
      <c r="G1042" t="inlineStr">
        <is>
          <t>1</t>
        </is>
      </c>
      <c r="H1042" t="inlineStr">
        <is>
          <t>No</t>
        </is>
      </c>
      <c r="I1042" t="inlineStr">
        <is>
          <t>No</t>
        </is>
      </c>
      <c r="J1042" t="inlineStr">
        <is>
          <t>0</t>
        </is>
      </c>
      <c r="K1042" t="inlineStr">
        <is>
          <t>Drumann, W. (Wilhelm), 1786-1861.</t>
        </is>
      </c>
      <c r="L1042" t="inlineStr">
        <is>
          <t>Hildesheim : G. Olms, 1964.</t>
        </is>
      </c>
      <c r="M1042" t="inlineStr">
        <is>
          <t>1964</t>
        </is>
      </c>
      <c r="O1042" t="inlineStr">
        <is>
          <t>ger</t>
        </is>
      </c>
      <c r="P1042" t="inlineStr">
        <is>
          <t xml:space="preserve">xx </t>
        </is>
      </c>
      <c r="R1042" t="inlineStr">
        <is>
          <t xml:space="preserve">DG </t>
        </is>
      </c>
      <c r="S1042" t="n">
        <v>2</v>
      </c>
      <c r="T1042" t="n">
        <v>12</v>
      </c>
      <c r="U1042" t="inlineStr">
        <is>
          <t>2004-04-27</t>
        </is>
      </c>
      <c r="V1042" t="inlineStr">
        <is>
          <t>2009-10-21</t>
        </is>
      </c>
      <c r="W1042" t="inlineStr">
        <is>
          <t>2003-12-02</t>
        </is>
      </c>
      <c r="X1042" t="inlineStr">
        <is>
          <t>2003-12-02</t>
        </is>
      </c>
      <c r="Y1042" t="n">
        <v>79</v>
      </c>
      <c r="Z1042" t="n">
        <v>53</v>
      </c>
      <c r="AA1042" t="n">
        <v>108</v>
      </c>
      <c r="AB1042" t="n">
        <v>1</v>
      </c>
      <c r="AC1042" t="n">
        <v>1</v>
      </c>
      <c r="AD1042" t="n">
        <v>4</v>
      </c>
      <c r="AE1042" t="n">
        <v>5</v>
      </c>
      <c r="AF1042" t="n">
        <v>0</v>
      </c>
      <c r="AG1042" t="n">
        <v>0</v>
      </c>
      <c r="AH1042" t="n">
        <v>1</v>
      </c>
      <c r="AI1042" t="n">
        <v>1</v>
      </c>
      <c r="AJ1042" t="n">
        <v>3</v>
      </c>
      <c r="AK1042" t="n">
        <v>4</v>
      </c>
      <c r="AL1042" t="n">
        <v>0</v>
      </c>
      <c r="AM1042" t="n">
        <v>0</v>
      </c>
      <c r="AN1042" t="n">
        <v>0</v>
      </c>
      <c r="AO1042" t="n">
        <v>0</v>
      </c>
      <c r="AP1042" t="inlineStr">
        <is>
          <t>No</t>
        </is>
      </c>
      <c r="AQ1042" t="inlineStr">
        <is>
          <t>Yes</t>
        </is>
      </c>
      <c r="AR1042">
        <f>HYPERLINK("http://catalog.hathitrust.org/Record/010311242","HathiTrust Record")</f>
        <v/>
      </c>
      <c r="AS1042">
        <f>HYPERLINK("https://creighton-primo.hosted.exlibrisgroup.com/primo-explore/search?tab=default_tab&amp;search_scope=EVERYTHING&amp;vid=01CRU&amp;lang=en_US&amp;offset=0&amp;query=any,contains,991004154049702656","Catalog Record")</f>
        <v/>
      </c>
      <c r="AT1042">
        <f>HYPERLINK("http://www.worldcat.org/oclc/1420999","WorldCat Record")</f>
        <v/>
      </c>
      <c r="AU1042" t="inlineStr">
        <is>
          <t>4920234001:ger</t>
        </is>
      </c>
      <c r="AV1042" t="inlineStr">
        <is>
          <t>1420999</t>
        </is>
      </c>
      <c r="AW1042" t="inlineStr">
        <is>
          <t>991004154049702656</t>
        </is>
      </c>
      <c r="AX1042" t="inlineStr">
        <is>
          <t>991004154049702656</t>
        </is>
      </c>
      <c r="AY1042" t="inlineStr">
        <is>
          <t>2268952610002656</t>
        </is>
      </c>
      <c r="AZ1042" t="inlineStr">
        <is>
          <t>BOOK</t>
        </is>
      </c>
      <c r="BC1042" t="inlineStr">
        <is>
          <t>32285004843842</t>
        </is>
      </c>
      <c r="BD1042" t="inlineStr">
        <is>
          <t>893423442</t>
        </is>
      </c>
    </row>
    <row r="1043">
      <c r="A1043" t="inlineStr">
        <is>
          <t>No</t>
        </is>
      </c>
      <c r="B1043" t="inlineStr">
        <is>
          <t>DG254.2 .D76 1964</t>
        </is>
      </c>
      <c r="C1043" t="inlineStr">
        <is>
          <t>0                      DG 0254200D  76          1964</t>
        </is>
      </c>
      <c r="D1043"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3" t="inlineStr">
        <is>
          <t>V. 5</t>
        </is>
      </c>
      <c r="F1043" t="inlineStr">
        <is>
          <t>Yes</t>
        </is>
      </c>
      <c r="G1043" t="inlineStr">
        <is>
          <t>1</t>
        </is>
      </c>
      <c r="H1043" t="inlineStr">
        <is>
          <t>No</t>
        </is>
      </c>
      <c r="I1043" t="inlineStr">
        <is>
          <t>No</t>
        </is>
      </c>
      <c r="J1043" t="inlineStr">
        <is>
          <t>0</t>
        </is>
      </c>
      <c r="K1043" t="inlineStr">
        <is>
          <t>Drumann, W. (Wilhelm), 1786-1861.</t>
        </is>
      </c>
      <c r="L1043" t="inlineStr">
        <is>
          <t>Hildesheim : G. Olms, 1964.</t>
        </is>
      </c>
      <c r="M1043" t="inlineStr">
        <is>
          <t>1964</t>
        </is>
      </c>
      <c r="O1043" t="inlineStr">
        <is>
          <t>ger</t>
        </is>
      </c>
      <c r="P1043" t="inlineStr">
        <is>
          <t xml:space="preserve">xx </t>
        </is>
      </c>
      <c r="R1043" t="inlineStr">
        <is>
          <t xml:space="preserve">DG </t>
        </is>
      </c>
      <c r="S1043" t="n">
        <v>2</v>
      </c>
      <c r="T1043" t="n">
        <v>12</v>
      </c>
      <c r="U1043" t="inlineStr">
        <is>
          <t>2004-04-27</t>
        </is>
      </c>
      <c r="V1043" t="inlineStr">
        <is>
          <t>2009-10-21</t>
        </is>
      </c>
      <c r="W1043" t="inlineStr">
        <is>
          <t>2003-12-02</t>
        </is>
      </c>
      <c r="X1043" t="inlineStr">
        <is>
          <t>2003-12-02</t>
        </is>
      </c>
      <c r="Y1043" t="n">
        <v>79</v>
      </c>
      <c r="Z1043" t="n">
        <v>53</v>
      </c>
      <c r="AA1043" t="n">
        <v>108</v>
      </c>
      <c r="AB1043" t="n">
        <v>1</v>
      </c>
      <c r="AC1043" t="n">
        <v>1</v>
      </c>
      <c r="AD1043" t="n">
        <v>4</v>
      </c>
      <c r="AE1043" t="n">
        <v>5</v>
      </c>
      <c r="AF1043" t="n">
        <v>0</v>
      </c>
      <c r="AG1043" t="n">
        <v>0</v>
      </c>
      <c r="AH1043" t="n">
        <v>1</v>
      </c>
      <c r="AI1043" t="n">
        <v>1</v>
      </c>
      <c r="AJ1043" t="n">
        <v>3</v>
      </c>
      <c r="AK1043" t="n">
        <v>4</v>
      </c>
      <c r="AL1043" t="n">
        <v>0</v>
      </c>
      <c r="AM1043" t="n">
        <v>0</v>
      </c>
      <c r="AN1043" t="n">
        <v>0</v>
      </c>
      <c r="AO1043" t="n">
        <v>0</v>
      </c>
      <c r="AP1043" t="inlineStr">
        <is>
          <t>No</t>
        </is>
      </c>
      <c r="AQ1043" t="inlineStr">
        <is>
          <t>Yes</t>
        </is>
      </c>
      <c r="AR1043">
        <f>HYPERLINK("http://catalog.hathitrust.org/Record/010311242","HathiTrust Record")</f>
        <v/>
      </c>
      <c r="AS1043">
        <f>HYPERLINK("https://creighton-primo.hosted.exlibrisgroup.com/primo-explore/search?tab=default_tab&amp;search_scope=EVERYTHING&amp;vid=01CRU&amp;lang=en_US&amp;offset=0&amp;query=any,contains,991004154049702656","Catalog Record")</f>
        <v/>
      </c>
      <c r="AT1043">
        <f>HYPERLINK("http://www.worldcat.org/oclc/1420999","WorldCat Record")</f>
        <v/>
      </c>
      <c r="AU1043" t="inlineStr">
        <is>
          <t>4920234001:ger</t>
        </is>
      </c>
      <c r="AV1043" t="inlineStr">
        <is>
          <t>1420999</t>
        </is>
      </c>
      <c r="AW1043" t="inlineStr">
        <is>
          <t>991004154049702656</t>
        </is>
      </c>
      <c r="AX1043" t="inlineStr">
        <is>
          <t>991004154049702656</t>
        </is>
      </c>
      <c r="AY1043" t="inlineStr">
        <is>
          <t>2268952610002656</t>
        </is>
      </c>
      <c r="AZ1043" t="inlineStr">
        <is>
          <t>BOOK</t>
        </is>
      </c>
      <c r="BC1043" t="inlineStr">
        <is>
          <t>32285004843834</t>
        </is>
      </c>
      <c r="BD1043" t="inlineStr">
        <is>
          <t>893417297</t>
        </is>
      </c>
    </row>
    <row r="1044">
      <c r="A1044" t="inlineStr">
        <is>
          <t>No</t>
        </is>
      </c>
      <c r="B1044" t="inlineStr">
        <is>
          <t>DG254.2 .D76 1964</t>
        </is>
      </c>
      <c r="C1044" t="inlineStr">
        <is>
          <t>0                      DG 0254200D  76          1964</t>
        </is>
      </c>
      <c r="D1044"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4" t="inlineStr">
        <is>
          <t>V. 3</t>
        </is>
      </c>
      <c r="F1044" t="inlineStr">
        <is>
          <t>Yes</t>
        </is>
      </c>
      <c r="G1044" t="inlineStr">
        <is>
          <t>1</t>
        </is>
      </c>
      <c r="H1044" t="inlineStr">
        <is>
          <t>No</t>
        </is>
      </c>
      <c r="I1044" t="inlineStr">
        <is>
          <t>No</t>
        </is>
      </c>
      <c r="J1044" t="inlineStr">
        <is>
          <t>0</t>
        </is>
      </c>
      <c r="K1044" t="inlineStr">
        <is>
          <t>Drumann, W. (Wilhelm), 1786-1861.</t>
        </is>
      </c>
      <c r="L1044" t="inlineStr">
        <is>
          <t>Hildesheim : G. Olms, 1964.</t>
        </is>
      </c>
      <c r="M1044" t="inlineStr">
        <is>
          <t>1964</t>
        </is>
      </c>
      <c r="O1044" t="inlineStr">
        <is>
          <t>ger</t>
        </is>
      </c>
      <c r="P1044" t="inlineStr">
        <is>
          <t xml:space="preserve">xx </t>
        </is>
      </c>
      <c r="R1044" t="inlineStr">
        <is>
          <t xml:space="preserve">DG </t>
        </is>
      </c>
      <c r="S1044" t="n">
        <v>2</v>
      </c>
      <c r="T1044" t="n">
        <v>12</v>
      </c>
      <c r="U1044" t="inlineStr">
        <is>
          <t>2009-10-21</t>
        </is>
      </c>
      <c r="V1044" t="inlineStr">
        <is>
          <t>2009-10-21</t>
        </is>
      </c>
      <c r="W1044" t="inlineStr">
        <is>
          <t>2003-12-02</t>
        </is>
      </c>
      <c r="X1044" t="inlineStr">
        <is>
          <t>2003-12-02</t>
        </is>
      </c>
      <c r="Y1044" t="n">
        <v>79</v>
      </c>
      <c r="Z1044" t="n">
        <v>53</v>
      </c>
      <c r="AA1044" t="n">
        <v>108</v>
      </c>
      <c r="AB1044" t="n">
        <v>1</v>
      </c>
      <c r="AC1044" t="n">
        <v>1</v>
      </c>
      <c r="AD1044" t="n">
        <v>4</v>
      </c>
      <c r="AE1044" t="n">
        <v>5</v>
      </c>
      <c r="AF1044" t="n">
        <v>0</v>
      </c>
      <c r="AG1044" t="n">
        <v>0</v>
      </c>
      <c r="AH1044" t="n">
        <v>1</v>
      </c>
      <c r="AI1044" t="n">
        <v>1</v>
      </c>
      <c r="AJ1044" t="n">
        <v>3</v>
      </c>
      <c r="AK1044" t="n">
        <v>4</v>
      </c>
      <c r="AL1044" t="n">
        <v>0</v>
      </c>
      <c r="AM1044" t="n">
        <v>0</v>
      </c>
      <c r="AN1044" t="n">
        <v>0</v>
      </c>
      <c r="AO1044" t="n">
        <v>0</v>
      </c>
      <c r="AP1044" t="inlineStr">
        <is>
          <t>No</t>
        </is>
      </c>
      <c r="AQ1044" t="inlineStr">
        <is>
          <t>Yes</t>
        </is>
      </c>
      <c r="AR1044">
        <f>HYPERLINK("http://catalog.hathitrust.org/Record/010311242","HathiTrust Record")</f>
        <v/>
      </c>
      <c r="AS1044">
        <f>HYPERLINK("https://creighton-primo.hosted.exlibrisgroup.com/primo-explore/search?tab=default_tab&amp;search_scope=EVERYTHING&amp;vid=01CRU&amp;lang=en_US&amp;offset=0&amp;query=any,contains,991004154049702656","Catalog Record")</f>
        <v/>
      </c>
      <c r="AT1044">
        <f>HYPERLINK("http://www.worldcat.org/oclc/1420999","WorldCat Record")</f>
        <v/>
      </c>
      <c r="AU1044" t="inlineStr">
        <is>
          <t>4920234001:ger</t>
        </is>
      </c>
      <c r="AV1044" t="inlineStr">
        <is>
          <t>1420999</t>
        </is>
      </c>
      <c r="AW1044" t="inlineStr">
        <is>
          <t>991004154049702656</t>
        </is>
      </c>
      <c r="AX1044" t="inlineStr">
        <is>
          <t>991004154049702656</t>
        </is>
      </c>
      <c r="AY1044" t="inlineStr">
        <is>
          <t>2268952610002656</t>
        </is>
      </c>
      <c r="AZ1044" t="inlineStr">
        <is>
          <t>BOOK</t>
        </is>
      </c>
      <c r="BC1044" t="inlineStr">
        <is>
          <t>32285004843818</t>
        </is>
      </c>
      <c r="BD1044" t="inlineStr">
        <is>
          <t>893417298</t>
        </is>
      </c>
    </row>
    <row r="1045">
      <c r="A1045" t="inlineStr">
        <is>
          <t>No</t>
        </is>
      </c>
      <c r="B1045" t="inlineStr">
        <is>
          <t>DG254.2 .H558 2002</t>
        </is>
      </c>
      <c r="C1045" t="inlineStr">
        <is>
          <t>0                      DG 0254200H  558         2002</t>
        </is>
      </c>
      <c r="D1045" t="inlineStr">
        <is>
          <t>Swords against the Senate : the rise of the Roman army and the fall of the Republic / Erik Hildinger.</t>
        </is>
      </c>
      <c r="F1045" t="inlineStr">
        <is>
          <t>No</t>
        </is>
      </c>
      <c r="G1045" t="inlineStr">
        <is>
          <t>1</t>
        </is>
      </c>
      <c r="H1045" t="inlineStr">
        <is>
          <t>No</t>
        </is>
      </c>
      <c r="I1045" t="inlineStr">
        <is>
          <t>No</t>
        </is>
      </c>
      <c r="J1045" t="inlineStr">
        <is>
          <t>0</t>
        </is>
      </c>
      <c r="K1045" t="inlineStr">
        <is>
          <t>Hildinger, Erik.</t>
        </is>
      </c>
      <c r="L1045" t="inlineStr">
        <is>
          <t>Cambridge, MA : Da Capo Press, 2002.</t>
        </is>
      </c>
      <c r="M1045" t="inlineStr">
        <is>
          <t>2002</t>
        </is>
      </c>
      <c r="N1045" t="inlineStr">
        <is>
          <t>1st Da Capo Press ed.</t>
        </is>
      </c>
      <c r="O1045" t="inlineStr">
        <is>
          <t>eng</t>
        </is>
      </c>
      <c r="P1045" t="inlineStr">
        <is>
          <t>mau</t>
        </is>
      </c>
      <c r="R1045" t="inlineStr">
        <is>
          <t xml:space="preserve">DG </t>
        </is>
      </c>
      <c r="S1045" t="n">
        <v>2</v>
      </c>
      <c r="T1045" t="n">
        <v>2</v>
      </c>
      <c r="U1045" t="inlineStr">
        <is>
          <t>2003-12-01</t>
        </is>
      </c>
      <c r="V1045" t="inlineStr">
        <is>
          <t>2003-12-01</t>
        </is>
      </c>
      <c r="W1045" t="inlineStr">
        <is>
          <t>2003-01-20</t>
        </is>
      </c>
      <c r="X1045" t="inlineStr">
        <is>
          <t>2003-01-20</t>
        </is>
      </c>
      <c r="Y1045" t="n">
        <v>277</v>
      </c>
      <c r="Z1045" t="n">
        <v>236</v>
      </c>
      <c r="AA1045" t="n">
        <v>274</v>
      </c>
      <c r="AB1045" t="n">
        <v>4</v>
      </c>
      <c r="AC1045" t="n">
        <v>4</v>
      </c>
      <c r="AD1045" t="n">
        <v>13</v>
      </c>
      <c r="AE1045" t="n">
        <v>13</v>
      </c>
      <c r="AF1045" t="n">
        <v>3</v>
      </c>
      <c r="AG1045" t="n">
        <v>3</v>
      </c>
      <c r="AH1045" t="n">
        <v>4</v>
      </c>
      <c r="AI1045" t="n">
        <v>4</v>
      </c>
      <c r="AJ1045" t="n">
        <v>7</v>
      </c>
      <c r="AK1045" t="n">
        <v>7</v>
      </c>
      <c r="AL1045" t="n">
        <v>3</v>
      </c>
      <c r="AM1045" t="n">
        <v>3</v>
      </c>
      <c r="AN1045" t="n">
        <v>0</v>
      </c>
      <c r="AO1045" t="n">
        <v>0</v>
      </c>
      <c r="AP1045" t="inlineStr">
        <is>
          <t>No</t>
        </is>
      </c>
      <c r="AQ1045" t="inlineStr">
        <is>
          <t>Yes</t>
        </is>
      </c>
      <c r="AR1045">
        <f>HYPERLINK("http://catalog.hathitrust.org/Record/004285701","HathiTrust Record")</f>
        <v/>
      </c>
      <c r="AS1045">
        <f>HYPERLINK("https://creighton-primo.hosted.exlibrisgroup.com/primo-explore/search?tab=default_tab&amp;search_scope=EVERYTHING&amp;vid=01CRU&amp;lang=en_US&amp;offset=0&amp;query=any,contains,991003962699702656","Catalog Record")</f>
        <v/>
      </c>
      <c r="AT1045">
        <f>HYPERLINK("http://www.worldcat.org/oclc/50882463","WorldCat Record")</f>
        <v/>
      </c>
      <c r="AU1045" t="inlineStr">
        <is>
          <t>673162:eng</t>
        </is>
      </c>
      <c r="AV1045" t="inlineStr">
        <is>
          <t>50882463</t>
        </is>
      </c>
      <c r="AW1045" t="inlineStr">
        <is>
          <t>991003962699702656</t>
        </is>
      </c>
      <c r="AX1045" t="inlineStr">
        <is>
          <t>991003962699702656</t>
        </is>
      </c>
      <c r="AY1045" t="inlineStr">
        <is>
          <t>2255495140002656</t>
        </is>
      </c>
      <c r="AZ1045" t="inlineStr">
        <is>
          <t>BOOK</t>
        </is>
      </c>
      <c r="BB1045" t="inlineStr">
        <is>
          <t>9780306811685</t>
        </is>
      </c>
      <c r="BC1045" t="inlineStr">
        <is>
          <t>32285004694880</t>
        </is>
      </c>
      <c r="BD1045" t="inlineStr">
        <is>
          <t>893781695</t>
        </is>
      </c>
    </row>
    <row r="1046">
      <c r="A1046" t="inlineStr">
        <is>
          <t>No</t>
        </is>
      </c>
      <c r="B1046" t="inlineStr">
        <is>
          <t>DG254.5 .D59 2007</t>
        </is>
      </c>
      <c r="C1046" t="inlineStr">
        <is>
          <t>0                      DG 0254500D  59          2007</t>
        </is>
      </c>
      <c r="D1046" t="inlineStr">
        <is>
          <t>Cornelia, mother of the Gracchi / Suzanne Dixon.</t>
        </is>
      </c>
      <c r="F1046" t="inlineStr">
        <is>
          <t>No</t>
        </is>
      </c>
      <c r="G1046" t="inlineStr">
        <is>
          <t>1</t>
        </is>
      </c>
      <c r="H1046" t="inlineStr">
        <is>
          <t>No</t>
        </is>
      </c>
      <c r="I1046" t="inlineStr">
        <is>
          <t>No</t>
        </is>
      </c>
      <c r="J1046" t="inlineStr">
        <is>
          <t>0</t>
        </is>
      </c>
      <c r="K1046" t="inlineStr">
        <is>
          <t>Dixon, Suzanne.</t>
        </is>
      </c>
      <c r="L1046" t="inlineStr">
        <is>
          <t>London ; New York : Routledge, 2007.</t>
        </is>
      </c>
      <c r="M1046" t="inlineStr">
        <is>
          <t>2007</t>
        </is>
      </c>
      <c r="O1046" t="inlineStr">
        <is>
          <t>eng</t>
        </is>
      </c>
      <c r="P1046" t="inlineStr">
        <is>
          <t>enk</t>
        </is>
      </c>
      <c r="Q1046" t="inlineStr">
        <is>
          <t>Women of the ancient world</t>
        </is>
      </c>
      <c r="R1046" t="inlineStr">
        <is>
          <t xml:space="preserve">DG </t>
        </is>
      </c>
      <c r="S1046" t="n">
        <v>1</v>
      </c>
      <c r="T1046" t="n">
        <v>1</v>
      </c>
      <c r="U1046" t="inlineStr">
        <is>
          <t>2010-04-21</t>
        </is>
      </c>
      <c r="V1046" t="inlineStr">
        <is>
          <t>2010-04-21</t>
        </is>
      </c>
      <c r="W1046" t="inlineStr">
        <is>
          <t>2010-04-21</t>
        </is>
      </c>
      <c r="X1046" t="inlineStr">
        <is>
          <t>2010-04-21</t>
        </is>
      </c>
      <c r="Y1046" t="n">
        <v>275</v>
      </c>
      <c r="Z1046" t="n">
        <v>186</v>
      </c>
      <c r="AA1046" t="n">
        <v>225</v>
      </c>
      <c r="AB1046" t="n">
        <v>1</v>
      </c>
      <c r="AC1046" t="n">
        <v>1</v>
      </c>
      <c r="AD1046" t="n">
        <v>7</v>
      </c>
      <c r="AE1046" t="n">
        <v>8</v>
      </c>
      <c r="AF1046" t="n">
        <v>3</v>
      </c>
      <c r="AG1046" t="n">
        <v>4</v>
      </c>
      <c r="AH1046" t="n">
        <v>2</v>
      </c>
      <c r="AI1046" t="n">
        <v>2</v>
      </c>
      <c r="AJ1046" t="n">
        <v>5</v>
      </c>
      <c r="AK1046" t="n">
        <v>6</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HYPERLINK("https://creighton-primo.hosted.exlibrisgroup.com/primo-explore/search?tab=default_tab&amp;search_scope=EVERYTHING&amp;vid=01CRU&amp;lang=en_US&amp;offset=0&amp;query=any,contains,991005382359702656","Catalog Record")</f>
        <v/>
      </c>
      <c r="AT1046">
        <f>HYPERLINK("http://www.worldcat.org/oclc/72871340","WorldCat Record")</f>
        <v/>
      </c>
      <c r="AU1046" t="inlineStr">
        <is>
          <t>59557510:eng</t>
        </is>
      </c>
      <c r="AV1046" t="inlineStr">
        <is>
          <t>72871340</t>
        </is>
      </c>
      <c r="AW1046" t="inlineStr">
        <is>
          <t>991005382359702656</t>
        </is>
      </c>
      <c r="AX1046" t="inlineStr">
        <is>
          <t>991005382359702656</t>
        </is>
      </c>
      <c r="AY1046" t="inlineStr">
        <is>
          <t>2268139740002656</t>
        </is>
      </c>
      <c r="AZ1046" t="inlineStr">
        <is>
          <t>BOOK</t>
        </is>
      </c>
      <c r="BB1046" t="inlineStr">
        <is>
          <t>9780415331470</t>
        </is>
      </c>
      <c r="BC1046" t="inlineStr">
        <is>
          <t>32285005566616</t>
        </is>
      </c>
      <c r="BD1046" t="inlineStr">
        <is>
          <t>893443929</t>
        </is>
      </c>
    </row>
    <row r="1047">
      <c r="A1047" t="inlineStr">
        <is>
          <t>No</t>
        </is>
      </c>
      <c r="B1047" t="inlineStr">
        <is>
          <t>DG254.5 .S76</t>
        </is>
      </c>
      <c r="C1047" t="inlineStr">
        <is>
          <t>0                      DG 0254500S  76</t>
        </is>
      </c>
      <c r="D1047" t="inlineStr">
        <is>
          <t>The Gracchi / David Stockton.</t>
        </is>
      </c>
      <c r="F1047" t="inlineStr">
        <is>
          <t>No</t>
        </is>
      </c>
      <c r="G1047" t="inlineStr">
        <is>
          <t>1</t>
        </is>
      </c>
      <c r="H1047" t="inlineStr">
        <is>
          <t>No</t>
        </is>
      </c>
      <c r="I1047" t="inlineStr">
        <is>
          <t>No</t>
        </is>
      </c>
      <c r="J1047" t="inlineStr">
        <is>
          <t>0</t>
        </is>
      </c>
      <c r="K1047" t="inlineStr">
        <is>
          <t>Stockton, David.</t>
        </is>
      </c>
      <c r="L1047" t="inlineStr">
        <is>
          <t>Oxford : Clarendon Press ; New York : Oxford University Press, 1979.</t>
        </is>
      </c>
      <c r="M1047" t="inlineStr">
        <is>
          <t>1979</t>
        </is>
      </c>
      <c r="O1047" t="inlineStr">
        <is>
          <t>eng</t>
        </is>
      </c>
      <c r="P1047" t="inlineStr">
        <is>
          <t>enk</t>
        </is>
      </c>
      <c r="R1047" t="inlineStr">
        <is>
          <t xml:space="preserve">DG </t>
        </is>
      </c>
      <c r="S1047" t="n">
        <v>1</v>
      </c>
      <c r="T1047" t="n">
        <v>1</v>
      </c>
      <c r="U1047" t="inlineStr">
        <is>
          <t>1992-11-11</t>
        </is>
      </c>
      <c r="V1047" t="inlineStr">
        <is>
          <t>1992-11-11</t>
        </is>
      </c>
      <c r="W1047" t="inlineStr">
        <is>
          <t>1990-07-09</t>
        </is>
      </c>
      <c r="X1047" t="inlineStr">
        <is>
          <t>1990-07-09</t>
        </is>
      </c>
      <c r="Y1047" t="n">
        <v>622</v>
      </c>
      <c r="Z1047" t="n">
        <v>459</v>
      </c>
      <c r="AA1047" t="n">
        <v>465</v>
      </c>
      <c r="AB1047" t="n">
        <v>3</v>
      </c>
      <c r="AC1047" t="n">
        <v>3</v>
      </c>
      <c r="AD1047" t="n">
        <v>29</v>
      </c>
      <c r="AE1047" t="n">
        <v>29</v>
      </c>
      <c r="AF1047" t="n">
        <v>13</v>
      </c>
      <c r="AG1047" t="n">
        <v>13</v>
      </c>
      <c r="AH1047" t="n">
        <v>7</v>
      </c>
      <c r="AI1047" t="n">
        <v>7</v>
      </c>
      <c r="AJ1047" t="n">
        <v>16</v>
      </c>
      <c r="AK1047" t="n">
        <v>16</v>
      </c>
      <c r="AL1047" t="n">
        <v>2</v>
      </c>
      <c r="AM1047" t="n">
        <v>2</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HYPERLINK("https://creighton-primo.hosted.exlibrisgroup.com/primo-explore/search?tab=default_tab&amp;search_scope=EVERYTHING&amp;vid=01CRU&amp;lang=en_US&amp;offset=0&amp;query=any,contains,991004701039702656","Catalog Record")</f>
        <v/>
      </c>
      <c r="AT1047">
        <f>HYPERLINK("http://www.worldcat.org/oclc/4667453","WorldCat Record")</f>
        <v/>
      </c>
      <c r="AU1047" t="inlineStr">
        <is>
          <t>416474:eng</t>
        </is>
      </c>
      <c r="AV1047" t="inlineStr">
        <is>
          <t>4667453</t>
        </is>
      </c>
      <c r="AW1047" t="inlineStr">
        <is>
          <t>991004701039702656</t>
        </is>
      </c>
      <c r="AX1047" t="inlineStr">
        <is>
          <t>991004701039702656</t>
        </is>
      </c>
      <c r="AY1047" t="inlineStr">
        <is>
          <t>2256279330002656</t>
        </is>
      </c>
      <c r="AZ1047" t="inlineStr">
        <is>
          <t>BOOK</t>
        </is>
      </c>
      <c r="BB1047" t="inlineStr">
        <is>
          <t>9780198721048</t>
        </is>
      </c>
      <c r="BC1047" t="inlineStr">
        <is>
          <t>32285000226794</t>
        </is>
      </c>
      <c r="BD1047" t="inlineStr">
        <is>
          <t>893325667</t>
        </is>
      </c>
    </row>
    <row r="1048">
      <c r="A1048" t="inlineStr">
        <is>
          <t>No</t>
        </is>
      </c>
      <c r="B1048" t="inlineStr">
        <is>
          <t>DG258 .R37</t>
        </is>
      </c>
      <c r="C1048" t="inlineStr">
        <is>
          <t>0                      DG 0258000R  37</t>
        </is>
      </c>
      <c r="D1048" t="inlineStr">
        <is>
          <t>The politics of friendship : Pompey and Cicero / Beryl Rawson.</t>
        </is>
      </c>
      <c r="F1048" t="inlineStr">
        <is>
          <t>No</t>
        </is>
      </c>
      <c r="G1048" t="inlineStr">
        <is>
          <t>1</t>
        </is>
      </c>
      <c r="H1048" t="inlineStr">
        <is>
          <t>No</t>
        </is>
      </c>
      <c r="I1048" t="inlineStr">
        <is>
          <t>No</t>
        </is>
      </c>
      <c r="J1048" t="inlineStr">
        <is>
          <t>0</t>
        </is>
      </c>
      <c r="K1048" t="inlineStr">
        <is>
          <t>Rawson, Beryl.</t>
        </is>
      </c>
      <c r="L1048" t="inlineStr">
        <is>
          <t>Sydney : Sydney University Press ; Forest Grove, Ore. : [distributed by] International Scholarly Book Services, 1978.</t>
        </is>
      </c>
      <c r="M1048" t="inlineStr">
        <is>
          <t>1978</t>
        </is>
      </c>
      <c r="O1048" t="inlineStr">
        <is>
          <t>eng</t>
        </is>
      </c>
      <c r="P1048" t="inlineStr">
        <is>
          <t xml:space="preserve">at </t>
        </is>
      </c>
      <c r="Q1048" t="inlineStr">
        <is>
          <t>Sources in ancient history</t>
        </is>
      </c>
      <c r="R1048" t="inlineStr">
        <is>
          <t xml:space="preserve">DG </t>
        </is>
      </c>
      <c r="S1048" t="n">
        <v>1</v>
      </c>
      <c r="T1048" t="n">
        <v>1</v>
      </c>
      <c r="U1048" t="inlineStr">
        <is>
          <t>1994-10-08</t>
        </is>
      </c>
      <c r="V1048" t="inlineStr">
        <is>
          <t>1994-10-08</t>
        </is>
      </c>
      <c r="W1048" t="inlineStr">
        <is>
          <t>1991-03-28</t>
        </is>
      </c>
      <c r="X1048" t="inlineStr">
        <is>
          <t>1991-03-28</t>
        </is>
      </c>
      <c r="Y1048" t="n">
        <v>339</v>
      </c>
      <c r="Z1048" t="n">
        <v>249</v>
      </c>
      <c r="AA1048" t="n">
        <v>255</v>
      </c>
      <c r="AB1048" t="n">
        <v>3</v>
      </c>
      <c r="AC1048" t="n">
        <v>3</v>
      </c>
      <c r="AD1048" t="n">
        <v>16</v>
      </c>
      <c r="AE1048" t="n">
        <v>16</v>
      </c>
      <c r="AF1048" t="n">
        <v>4</v>
      </c>
      <c r="AG1048" t="n">
        <v>4</v>
      </c>
      <c r="AH1048" t="n">
        <v>4</v>
      </c>
      <c r="AI1048" t="n">
        <v>4</v>
      </c>
      <c r="AJ1048" t="n">
        <v>10</v>
      </c>
      <c r="AK1048" t="n">
        <v>10</v>
      </c>
      <c r="AL1048" t="n">
        <v>2</v>
      </c>
      <c r="AM1048" t="n">
        <v>2</v>
      </c>
      <c r="AN1048" t="n">
        <v>0</v>
      </c>
      <c r="AO1048" t="n">
        <v>0</v>
      </c>
      <c r="AP1048" t="inlineStr">
        <is>
          <t>No</t>
        </is>
      </c>
      <c r="AQ1048" t="inlineStr">
        <is>
          <t>Yes</t>
        </is>
      </c>
      <c r="AR1048">
        <f>HYPERLINK("http://catalog.hathitrust.org/Record/000220685","HathiTrust Record")</f>
        <v/>
      </c>
      <c r="AS1048">
        <f>HYPERLINK("https://creighton-primo.hosted.exlibrisgroup.com/primo-explore/search?tab=default_tab&amp;search_scope=EVERYTHING&amp;vid=01CRU&amp;lang=en_US&amp;offset=0&amp;query=any,contains,991004638799702656","Catalog Record")</f>
        <v/>
      </c>
      <c r="AT1048">
        <f>HYPERLINK("http://www.worldcat.org/oclc/4441845","WorldCat Record")</f>
        <v/>
      </c>
      <c r="AU1048" t="inlineStr">
        <is>
          <t>14753810:eng</t>
        </is>
      </c>
      <c r="AV1048" t="inlineStr">
        <is>
          <t>4441845</t>
        </is>
      </c>
      <c r="AW1048" t="inlineStr">
        <is>
          <t>991004638799702656</t>
        </is>
      </c>
      <c r="AX1048" t="inlineStr">
        <is>
          <t>991004638799702656</t>
        </is>
      </c>
      <c r="AY1048" t="inlineStr">
        <is>
          <t>2267470480002656</t>
        </is>
      </c>
      <c r="AZ1048" t="inlineStr">
        <is>
          <t>BOOK</t>
        </is>
      </c>
      <c r="BB1048" t="inlineStr">
        <is>
          <t>9780424068008</t>
        </is>
      </c>
      <c r="BC1048" t="inlineStr">
        <is>
          <t>32285000521640</t>
        </is>
      </c>
      <c r="BD1048" t="inlineStr">
        <is>
          <t>893344064</t>
        </is>
      </c>
    </row>
    <row r="1049">
      <c r="A1049" t="inlineStr">
        <is>
          <t>No</t>
        </is>
      </c>
      <c r="B1049" t="inlineStr">
        <is>
          <t>DG260.A1 B62</t>
        </is>
      </c>
      <c r="C1049" t="inlineStr">
        <is>
          <t>0                      DG 0260000A  1                  B  62</t>
        </is>
      </c>
      <c r="D1049" t="inlineStr">
        <is>
          <t>Cicero and his friends ; a study of Roman society in the time of Caesar / by Gaston Boissier ... translated, with an index and table of contents, by Adnah David Jones.</t>
        </is>
      </c>
      <c r="F1049" t="inlineStr">
        <is>
          <t>No</t>
        </is>
      </c>
      <c r="G1049" t="inlineStr">
        <is>
          <t>1</t>
        </is>
      </c>
      <c r="H1049" t="inlineStr">
        <is>
          <t>No</t>
        </is>
      </c>
      <c r="I1049" t="inlineStr">
        <is>
          <t>No</t>
        </is>
      </c>
      <c r="J1049" t="inlineStr">
        <is>
          <t>0</t>
        </is>
      </c>
      <c r="K1049" t="inlineStr">
        <is>
          <t>Boissier, Gaston, 1823-1908.</t>
        </is>
      </c>
      <c r="L1049" t="inlineStr">
        <is>
          <t>New York : G. P. Putnam's sons , [19--?]</t>
        </is>
      </c>
      <c r="O1049" t="inlineStr">
        <is>
          <t>eng</t>
        </is>
      </c>
      <c r="P1049" t="inlineStr">
        <is>
          <t>nyu</t>
        </is>
      </c>
      <c r="R1049" t="inlineStr">
        <is>
          <t xml:space="preserve">DG </t>
        </is>
      </c>
      <c r="S1049" t="n">
        <v>3</v>
      </c>
      <c r="T1049" t="n">
        <v>3</v>
      </c>
      <c r="U1049" t="inlineStr">
        <is>
          <t>2004-04-27</t>
        </is>
      </c>
      <c r="V1049" t="inlineStr">
        <is>
          <t>2004-04-27</t>
        </is>
      </c>
      <c r="W1049" t="inlineStr">
        <is>
          <t>1996-05-29</t>
        </is>
      </c>
      <c r="X1049" t="inlineStr">
        <is>
          <t>1996-05-29</t>
        </is>
      </c>
      <c r="Y1049" t="n">
        <v>280</v>
      </c>
      <c r="Z1049" t="n">
        <v>273</v>
      </c>
      <c r="AA1049" t="n">
        <v>779</v>
      </c>
      <c r="AB1049" t="n">
        <v>4</v>
      </c>
      <c r="AC1049" t="n">
        <v>7</v>
      </c>
      <c r="AD1049" t="n">
        <v>20</v>
      </c>
      <c r="AE1049" t="n">
        <v>45</v>
      </c>
      <c r="AF1049" t="n">
        <v>4</v>
      </c>
      <c r="AG1049" t="n">
        <v>18</v>
      </c>
      <c r="AH1049" t="n">
        <v>5</v>
      </c>
      <c r="AI1049" t="n">
        <v>9</v>
      </c>
      <c r="AJ1049" t="n">
        <v>13</v>
      </c>
      <c r="AK1049" t="n">
        <v>25</v>
      </c>
      <c r="AL1049" t="n">
        <v>3</v>
      </c>
      <c r="AM1049" t="n">
        <v>6</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HYPERLINK("https://creighton-primo.hosted.exlibrisgroup.com/primo-explore/search?tab=default_tab&amp;search_scope=EVERYTHING&amp;vid=01CRU&amp;lang=en_US&amp;offset=0&amp;query=any,contains,991002045679702656","Catalog Record")</f>
        <v/>
      </c>
      <c r="AT1049">
        <f>HYPERLINK("http://www.worldcat.org/oclc/6464180","WorldCat Record")</f>
        <v/>
      </c>
      <c r="AU1049" t="inlineStr">
        <is>
          <t>4061491229:eng</t>
        </is>
      </c>
      <c r="AV1049" t="inlineStr">
        <is>
          <t>6464180</t>
        </is>
      </c>
      <c r="AW1049" t="inlineStr">
        <is>
          <t>991002045679702656</t>
        </is>
      </c>
      <c r="AX1049" t="inlineStr">
        <is>
          <t>991002045679702656</t>
        </is>
      </c>
      <c r="AY1049" t="inlineStr">
        <is>
          <t>2256408630002656</t>
        </is>
      </c>
      <c r="AZ1049" t="inlineStr">
        <is>
          <t>BOOK</t>
        </is>
      </c>
      <c r="BC1049" t="inlineStr">
        <is>
          <t>32285002164589</t>
        </is>
      </c>
      <c r="BD1049" t="inlineStr">
        <is>
          <t>893226395</t>
        </is>
      </c>
    </row>
    <row r="1050">
      <c r="A1050" t="inlineStr">
        <is>
          <t>No</t>
        </is>
      </c>
      <c r="B1050" t="inlineStr">
        <is>
          <t>DG260.A6 W4</t>
        </is>
      </c>
      <c r="C1050" t="inlineStr">
        <is>
          <t>0                      DG 0260000A  6                  W  4</t>
        </is>
      </c>
      <c r="D1050" t="inlineStr">
        <is>
          <t>The life and times of Marc Antony, by Arthur Weigall ...</t>
        </is>
      </c>
      <c r="F1050" t="inlineStr">
        <is>
          <t>No</t>
        </is>
      </c>
      <c r="G1050" t="inlineStr">
        <is>
          <t>1</t>
        </is>
      </c>
      <c r="H1050" t="inlineStr">
        <is>
          <t>No</t>
        </is>
      </c>
      <c r="I1050" t="inlineStr">
        <is>
          <t>No</t>
        </is>
      </c>
      <c r="J1050" t="inlineStr">
        <is>
          <t>0</t>
        </is>
      </c>
      <c r="K1050" t="inlineStr">
        <is>
          <t>Weigall, Arthur E. P. Brome (Arthur Edward Pearse Brome), 1880-1934.</t>
        </is>
      </c>
      <c r="L1050" t="inlineStr">
        <is>
          <t>New York, London, G. P. Putnam's Sons, 1931.</t>
        </is>
      </c>
      <c r="M1050" t="inlineStr">
        <is>
          <t>1931</t>
        </is>
      </c>
      <c r="O1050" t="inlineStr">
        <is>
          <t>eng</t>
        </is>
      </c>
      <c r="P1050" t="inlineStr">
        <is>
          <t>nyu</t>
        </is>
      </c>
      <c r="R1050" t="inlineStr">
        <is>
          <t xml:space="preserve">DG </t>
        </is>
      </c>
      <c r="S1050" t="n">
        <v>1</v>
      </c>
      <c r="T1050" t="n">
        <v>1</v>
      </c>
      <c r="U1050" t="inlineStr">
        <is>
          <t>2009-12-23</t>
        </is>
      </c>
      <c r="V1050" t="inlineStr">
        <is>
          <t>2009-12-23</t>
        </is>
      </c>
      <c r="W1050" t="inlineStr">
        <is>
          <t>1997-02-03</t>
        </is>
      </c>
      <c r="X1050" t="inlineStr">
        <is>
          <t>1997-02-03</t>
        </is>
      </c>
      <c r="Y1050" t="n">
        <v>360</v>
      </c>
      <c r="Z1050" t="n">
        <v>339</v>
      </c>
      <c r="AA1050" t="n">
        <v>524</v>
      </c>
      <c r="AB1050" t="n">
        <v>2</v>
      </c>
      <c r="AC1050" t="n">
        <v>2</v>
      </c>
      <c r="AD1050" t="n">
        <v>13</v>
      </c>
      <c r="AE1050" t="n">
        <v>19</v>
      </c>
      <c r="AF1050" t="n">
        <v>2</v>
      </c>
      <c r="AG1050" t="n">
        <v>8</v>
      </c>
      <c r="AH1050" t="n">
        <v>3</v>
      </c>
      <c r="AI1050" t="n">
        <v>4</v>
      </c>
      <c r="AJ1050" t="n">
        <v>10</v>
      </c>
      <c r="AK1050" t="n">
        <v>11</v>
      </c>
      <c r="AL1050" t="n">
        <v>1</v>
      </c>
      <c r="AM1050" t="n">
        <v>1</v>
      </c>
      <c r="AN1050" t="n">
        <v>0</v>
      </c>
      <c r="AO1050" t="n">
        <v>0</v>
      </c>
      <c r="AP1050" t="inlineStr">
        <is>
          <t>No</t>
        </is>
      </c>
      <c r="AQ1050" t="inlineStr">
        <is>
          <t>Yes</t>
        </is>
      </c>
      <c r="AR1050">
        <f>HYPERLINK("http://catalog.hathitrust.org/Record/005918670","HathiTrust Record")</f>
        <v/>
      </c>
      <c r="AS1050">
        <f>HYPERLINK("https://creighton-primo.hosted.exlibrisgroup.com/primo-explore/search?tab=default_tab&amp;search_scope=EVERYTHING&amp;vid=01CRU&amp;lang=en_US&amp;offset=0&amp;query=any,contains,991003125919702656","Catalog Record")</f>
        <v/>
      </c>
      <c r="AT1050">
        <f>HYPERLINK("http://www.worldcat.org/oclc/670277","WorldCat Record")</f>
        <v/>
      </c>
      <c r="AU1050" t="inlineStr">
        <is>
          <t>1700247:eng</t>
        </is>
      </c>
      <c r="AV1050" t="inlineStr">
        <is>
          <t>670277</t>
        </is>
      </c>
      <c r="AW1050" t="inlineStr">
        <is>
          <t>991003125919702656</t>
        </is>
      </c>
      <c r="AX1050" t="inlineStr">
        <is>
          <t>991003125919702656</t>
        </is>
      </c>
      <c r="AY1050" t="inlineStr">
        <is>
          <t>2266599180002656</t>
        </is>
      </c>
      <c r="AZ1050" t="inlineStr">
        <is>
          <t>BOOK</t>
        </is>
      </c>
      <c r="BC1050" t="inlineStr">
        <is>
          <t>32285002420445</t>
        </is>
      </c>
      <c r="BD1050" t="inlineStr">
        <is>
          <t>893498967</t>
        </is>
      </c>
    </row>
    <row r="1051">
      <c r="A1051" t="inlineStr">
        <is>
          <t>No</t>
        </is>
      </c>
      <c r="B1051" t="inlineStr">
        <is>
          <t>DG260.B83 C5</t>
        </is>
      </c>
      <c r="C1051" t="inlineStr">
        <is>
          <t>0                      DG 0260000B  83                 C  5</t>
        </is>
      </c>
      <c r="D1051" t="inlineStr">
        <is>
          <t>The noblest Roman : Marcus Brutus and his reputation / M.L. Clarke.</t>
        </is>
      </c>
      <c r="F1051" t="inlineStr">
        <is>
          <t>No</t>
        </is>
      </c>
      <c r="G1051" t="inlineStr">
        <is>
          <t>1</t>
        </is>
      </c>
      <c r="H1051" t="inlineStr">
        <is>
          <t>No</t>
        </is>
      </c>
      <c r="I1051" t="inlineStr">
        <is>
          <t>No</t>
        </is>
      </c>
      <c r="J1051" t="inlineStr">
        <is>
          <t>0</t>
        </is>
      </c>
      <c r="K1051" t="inlineStr">
        <is>
          <t>Clarke, M. L. (Martin Lowther)</t>
        </is>
      </c>
      <c r="L1051" t="inlineStr">
        <is>
          <t>Ithica, N.Y. : Cornell, 1981.</t>
        </is>
      </c>
      <c r="M1051" t="inlineStr">
        <is>
          <t>1981</t>
        </is>
      </c>
      <c r="O1051" t="inlineStr">
        <is>
          <t>eng</t>
        </is>
      </c>
      <c r="P1051" t="inlineStr">
        <is>
          <t>nyu</t>
        </is>
      </c>
      <c r="Q1051" t="inlineStr">
        <is>
          <t>Aspects of Greek and Roman life</t>
        </is>
      </c>
      <c r="R1051" t="inlineStr">
        <is>
          <t xml:space="preserve">DG </t>
        </is>
      </c>
      <c r="S1051" t="n">
        <v>1</v>
      </c>
      <c r="T1051" t="n">
        <v>1</v>
      </c>
      <c r="U1051" t="inlineStr">
        <is>
          <t>2004-03-02</t>
        </is>
      </c>
      <c r="V1051" t="inlineStr">
        <is>
          <t>2004-03-02</t>
        </is>
      </c>
      <c r="W1051" t="inlineStr">
        <is>
          <t>1991-03-28</t>
        </is>
      </c>
      <c r="X1051" t="inlineStr">
        <is>
          <t>1991-03-28</t>
        </is>
      </c>
      <c r="Y1051" t="n">
        <v>538</v>
      </c>
      <c r="Z1051" t="n">
        <v>471</v>
      </c>
      <c r="AA1051" t="n">
        <v>507</v>
      </c>
      <c r="AB1051" t="n">
        <v>4</v>
      </c>
      <c r="AC1051" t="n">
        <v>4</v>
      </c>
      <c r="AD1051" t="n">
        <v>21</v>
      </c>
      <c r="AE1051" t="n">
        <v>22</v>
      </c>
      <c r="AF1051" t="n">
        <v>8</v>
      </c>
      <c r="AG1051" t="n">
        <v>8</v>
      </c>
      <c r="AH1051" t="n">
        <v>4</v>
      </c>
      <c r="AI1051" t="n">
        <v>5</v>
      </c>
      <c r="AJ1051" t="n">
        <v>15</v>
      </c>
      <c r="AK1051" t="n">
        <v>16</v>
      </c>
      <c r="AL1051" t="n">
        <v>3</v>
      </c>
      <c r="AM1051" t="n">
        <v>3</v>
      </c>
      <c r="AN1051" t="n">
        <v>0</v>
      </c>
      <c r="AO1051" t="n">
        <v>0</v>
      </c>
      <c r="AP1051" t="inlineStr">
        <is>
          <t>No</t>
        </is>
      </c>
      <c r="AQ1051" t="inlineStr">
        <is>
          <t>Yes</t>
        </is>
      </c>
      <c r="AR1051">
        <f>HYPERLINK("http://catalog.hathitrust.org/Record/000740316","HathiTrust Record")</f>
        <v/>
      </c>
      <c r="AS1051">
        <f>HYPERLINK("https://creighton-primo.hosted.exlibrisgroup.com/primo-explore/search?tab=default_tab&amp;search_scope=EVERYTHING&amp;vid=01CRU&amp;lang=en_US&amp;offset=0&amp;query=any,contains,991005107669702656","Catalog Record")</f>
        <v/>
      </c>
      <c r="AT1051">
        <f>HYPERLINK("http://www.worldcat.org/oclc/7359543","WorldCat Record")</f>
        <v/>
      </c>
      <c r="AU1051" t="inlineStr">
        <is>
          <t>450675:eng</t>
        </is>
      </c>
      <c r="AV1051" t="inlineStr">
        <is>
          <t>7359543</t>
        </is>
      </c>
      <c r="AW1051" t="inlineStr">
        <is>
          <t>991005107669702656</t>
        </is>
      </c>
      <c r="AX1051" t="inlineStr">
        <is>
          <t>991005107669702656</t>
        </is>
      </c>
      <c r="AY1051" t="inlineStr">
        <is>
          <t>2271264900002656</t>
        </is>
      </c>
      <c r="AZ1051" t="inlineStr">
        <is>
          <t>BOOK</t>
        </is>
      </c>
      <c r="BB1051" t="inlineStr">
        <is>
          <t>9780801413933</t>
        </is>
      </c>
      <c r="BC1051" t="inlineStr">
        <is>
          <t>32285000521673</t>
        </is>
      </c>
      <c r="BD1051" t="inlineStr">
        <is>
          <t>893446568</t>
        </is>
      </c>
    </row>
    <row r="1052">
      <c r="A1052" t="inlineStr">
        <is>
          <t>No</t>
        </is>
      </c>
      <c r="B1052" t="inlineStr">
        <is>
          <t>DG260.C5 H3</t>
        </is>
      </c>
      <c r="C1052" t="inlineStr">
        <is>
          <t>0                      DG 0260000C  5                  H  3</t>
        </is>
      </c>
      <c r="D1052" t="inlineStr">
        <is>
          <t>This was Cicero : modern politics in a Roman toga / [by] H.J. Haskell.</t>
        </is>
      </c>
      <c r="F1052" t="inlineStr">
        <is>
          <t>No</t>
        </is>
      </c>
      <c r="G1052" t="inlineStr">
        <is>
          <t>1</t>
        </is>
      </c>
      <c r="H1052" t="inlineStr">
        <is>
          <t>No</t>
        </is>
      </c>
      <c r="I1052" t="inlineStr">
        <is>
          <t>No</t>
        </is>
      </c>
      <c r="J1052" t="inlineStr">
        <is>
          <t>0</t>
        </is>
      </c>
      <c r="K1052" t="inlineStr">
        <is>
          <t>Haskell, Henry Joseph, 1874-1952.</t>
        </is>
      </c>
      <c r="L1052" t="inlineStr">
        <is>
          <t>New York : A.A. Knopf, 1942.</t>
        </is>
      </c>
      <c r="M1052" t="inlineStr">
        <is>
          <t>1942</t>
        </is>
      </c>
      <c r="O1052" t="inlineStr">
        <is>
          <t>eng</t>
        </is>
      </c>
      <c r="P1052" t="inlineStr">
        <is>
          <t>nyu</t>
        </is>
      </c>
      <c r="R1052" t="inlineStr">
        <is>
          <t xml:space="preserve">DG </t>
        </is>
      </c>
      <c r="S1052" t="n">
        <v>2</v>
      </c>
      <c r="T1052" t="n">
        <v>2</v>
      </c>
      <c r="U1052" t="inlineStr">
        <is>
          <t>2002-03-05</t>
        </is>
      </c>
      <c r="V1052" t="inlineStr">
        <is>
          <t>2002-03-05</t>
        </is>
      </c>
      <c r="W1052" t="inlineStr">
        <is>
          <t>1991-09-18</t>
        </is>
      </c>
      <c r="X1052" t="inlineStr">
        <is>
          <t>1991-09-18</t>
        </is>
      </c>
      <c r="Y1052" t="n">
        <v>549</v>
      </c>
      <c r="Z1052" t="n">
        <v>511</v>
      </c>
      <c r="AA1052" t="n">
        <v>696</v>
      </c>
      <c r="AB1052" t="n">
        <v>8</v>
      </c>
      <c r="AC1052" t="n">
        <v>8</v>
      </c>
      <c r="AD1052" t="n">
        <v>29</v>
      </c>
      <c r="AE1052" t="n">
        <v>32</v>
      </c>
      <c r="AF1052" t="n">
        <v>11</v>
      </c>
      <c r="AG1052" t="n">
        <v>13</v>
      </c>
      <c r="AH1052" t="n">
        <v>6</v>
      </c>
      <c r="AI1052" t="n">
        <v>6</v>
      </c>
      <c r="AJ1052" t="n">
        <v>16</v>
      </c>
      <c r="AK1052" t="n">
        <v>17</v>
      </c>
      <c r="AL1052" t="n">
        <v>4</v>
      </c>
      <c r="AM1052" t="n">
        <v>4</v>
      </c>
      <c r="AN1052" t="n">
        <v>1</v>
      </c>
      <c r="AO1052" t="n">
        <v>1</v>
      </c>
      <c r="AP1052" t="inlineStr">
        <is>
          <t>No</t>
        </is>
      </c>
      <c r="AQ1052" t="inlineStr">
        <is>
          <t>Yes</t>
        </is>
      </c>
      <c r="AR1052">
        <f>HYPERLINK("http://catalog.hathitrust.org/Record/000347500","HathiTrust Record")</f>
        <v/>
      </c>
      <c r="AS1052">
        <f>HYPERLINK("https://creighton-primo.hosted.exlibrisgroup.com/primo-explore/search?tab=default_tab&amp;search_scope=EVERYTHING&amp;vid=01CRU&amp;lang=en_US&amp;offset=0&amp;query=any,contains,991003146109702656","Catalog Record")</f>
        <v/>
      </c>
      <c r="AT1052">
        <f>HYPERLINK("http://www.worldcat.org/oclc/686384","WorldCat Record")</f>
        <v/>
      </c>
      <c r="AU1052" t="inlineStr">
        <is>
          <t>3537613:eng</t>
        </is>
      </c>
      <c r="AV1052" t="inlineStr">
        <is>
          <t>686384</t>
        </is>
      </c>
      <c r="AW1052" t="inlineStr">
        <is>
          <t>991003146109702656</t>
        </is>
      </c>
      <c r="AX1052" t="inlineStr">
        <is>
          <t>991003146109702656</t>
        </is>
      </c>
      <c r="AY1052" t="inlineStr">
        <is>
          <t>2265050000002656</t>
        </is>
      </c>
      <c r="AZ1052" t="inlineStr">
        <is>
          <t>BOOK</t>
        </is>
      </c>
      <c r="BC1052" t="inlineStr">
        <is>
          <t>32285000758747</t>
        </is>
      </c>
      <c r="BD1052" t="inlineStr">
        <is>
          <t>893422226</t>
        </is>
      </c>
    </row>
    <row r="1053">
      <c r="A1053" t="inlineStr">
        <is>
          <t>No</t>
        </is>
      </c>
      <c r="B1053" t="inlineStr">
        <is>
          <t>DG260.C5 P4</t>
        </is>
      </c>
      <c r="C1053" t="inlineStr">
        <is>
          <t>0                      DG 0260000C  5                  P  4</t>
        </is>
      </c>
      <c r="D1053" t="inlineStr">
        <is>
          <t>Cicero, a biography.</t>
        </is>
      </c>
      <c r="F1053" t="inlineStr">
        <is>
          <t>No</t>
        </is>
      </c>
      <c r="G1053" t="inlineStr">
        <is>
          <t>1</t>
        </is>
      </c>
      <c r="H1053" t="inlineStr">
        <is>
          <t>No</t>
        </is>
      </c>
      <c r="I1053" t="inlineStr">
        <is>
          <t>No</t>
        </is>
      </c>
      <c r="J1053" t="inlineStr">
        <is>
          <t>0</t>
        </is>
      </c>
      <c r="K1053" t="inlineStr">
        <is>
          <t>Petersson, Robert T. (Robert Torsten)</t>
        </is>
      </c>
      <c r="L1053" t="inlineStr">
        <is>
          <t>New York, Biblo and Tannen, 1963.</t>
        </is>
      </c>
      <c r="M1053" t="inlineStr">
        <is>
          <t>1963</t>
        </is>
      </c>
      <c r="O1053" t="inlineStr">
        <is>
          <t>eng</t>
        </is>
      </c>
      <c r="P1053" t="inlineStr">
        <is>
          <t>nyu</t>
        </is>
      </c>
      <c r="R1053" t="inlineStr">
        <is>
          <t xml:space="preserve">DG </t>
        </is>
      </c>
      <c r="S1053" t="n">
        <v>1</v>
      </c>
      <c r="T1053" t="n">
        <v>1</v>
      </c>
      <c r="U1053" t="inlineStr">
        <is>
          <t>2002-07-15</t>
        </is>
      </c>
      <c r="V1053" t="inlineStr">
        <is>
          <t>2002-07-15</t>
        </is>
      </c>
      <c r="W1053" t="inlineStr">
        <is>
          <t>1997-02-03</t>
        </is>
      </c>
      <c r="X1053" t="inlineStr">
        <is>
          <t>1997-02-03</t>
        </is>
      </c>
      <c r="Y1053" t="n">
        <v>452</v>
      </c>
      <c r="Z1053" t="n">
        <v>374</v>
      </c>
      <c r="AA1053" t="n">
        <v>602</v>
      </c>
      <c r="AB1053" t="n">
        <v>3</v>
      </c>
      <c r="AC1053" t="n">
        <v>6</v>
      </c>
      <c r="AD1053" t="n">
        <v>23</v>
      </c>
      <c r="AE1053" t="n">
        <v>34</v>
      </c>
      <c r="AF1053" t="n">
        <v>7</v>
      </c>
      <c r="AG1053" t="n">
        <v>12</v>
      </c>
      <c r="AH1053" t="n">
        <v>4</v>
      </c>
      <c r="AI1053" t="n">
        <v>7</v>
      </c>
      <c r="AJ1053" t="n">
        <v>16</v>
      </c>
      <c r="AK1053" t="n">
        <v>19</v>
      </c>
      <c r="AL1053" t="n">
        <v>2</v>
      </c>
      <c r="AM1053" t="n">
        <v>3</v>
      </c>
      <c r="AN1053" t="n">
        <v>0</v>
      </c>
      <c r="AO1053" t="n">
        <v>3</v>
      </c>
      <c r="AP1053" t="inlineStr">
        <is>
          <t>No</t>
        </is>
      </c>
      <c r="AQ1053" t="inlineStr">
        <is>
          <t>Yes</t>
        </is>
      </c>
      <c r="AR1053">
        <f>HYPERLINK("http://catalog.hathitrust.org/Record/007126499","HathiTrust Record")</f>
        <v/>
      </c>
      <c r="AS1053">
        <f>HYPERLINK("https://creighton-primo.hosted.exlibrisgroup.com/primo-explore/search?tab=default_tab&amp;search_scope=EVERYTHING&amp;vid=01CRU&amp;lang=en_US&amp;offset=0&amp;query=any,contains,991001918579702656","Catalog Record")</f>
        <v/>
      </c>
      <c r="AT1053">
        <f>HYPERLINK("http://www.worldcat.org/oclc/244418","WorldCat Record")</f>
        <v/>
      </c>
      <c r="AU1053" t="inlineStr">
        <is>
          <t>1352098:eng</t>
        </is>
      </c>
      <c r="AV1053" t="inlineStr">
        <is>
          <t>244418</t>
        </is>
      </c>
      <c r="AW1053" t="inlineStr">
        <is>
          <t>991001918579702656</t>
        </is>
      </c>
      <c r="AX1053" t="inlineStr">
        <is>
          <t>991001918579702656</t>
        </is>
      </c>
      <c r="AY1053" t="inlineStr">
        <is>
          <t>2270008370002656</t>
        </is>
      </c>
      <c r="AZ1053" t="inlineStr">
        <is>
          <t>BOOK</t>
        </is>
      </c>
      <c r="BC1053" t="inlineStr">
        <is>
          <t>32285002420452</t>
        </is>
      </c>
      <c r="BD1053" t="inlineStr">
        <is>
          <t>893244531</t>
        </is>
      </c>
    </row>
    <row r="1054">
      <c r="A1054" t="inlineStr">
        <is>
          <t>No</t>
        </is>
      </c>
      <c r="B1054" t="inlineStr">
        <is>
          <t>DG260.C5 S77</t>
        </is>
      </c>
      <c r="C1054" t="inlineStr">
        <is>
          <t>0                      DG 0260000C  5                  S  77</t>
        </is>
      </c>
      <c r="D1054" t="inlineStr">
        <is>
          <t>Cicero : a political biography.</t>
        </is>
      </c>
      <c r="F1054" t="inlineStr">
        <is>
          <t>No</t>
        </is>
      </c>
      <c r="G1054" t="inlineStr">
        <is>
          <t>1</t>
        </is>
      </c>
      <c r="H1054" t="inlineStr">
        <is>
          <t>No</t>
        </is>
      </c>
      <c r="I1054" t="inlineStr">
        <is>
          <t>No</t>
        </is>
      </c>
      <c r="J1054" t="inlineStr">
        <is>
          <t>0</t>
        </is>
      </c>
      <c r="K1054" t="inlineStr">
        <is>
          <t>Stockton, D. L. (David L.)</t>
        </is>
      </c>
      <c r="L1054" t="inlineStr">
        <is>
          <t>London : Oxford University Press, 1971.</t>
        </is>
      </c>
      <c r="M1054" t="inlineStr">
        <is>
          <t>1971</t>
        </is>
      </c>
      <c r="O1054" t="inlineStr">
        <is>
          <t>eng</t>
        </is>
      </c>
      <c r="P1054" t="inlineStr">
        <is>
          <t>enk</t>
        </is>
      </c>
      <c r="R1054" t="inlineStr">
        <is>
          <t xml:space="preserve">DG </t>
        </is>
      </c>
      <c r="S1054" t="n">
        <v>8</v>
      </c>
      <c r="T1054" t="n">
        <v>8</v>
      </c>
      <c r="U1054" t="inlineStr">
        <is>
          <t>2008-08-27</t>
        </is>
      </c>
      <c r="V1054" t="inlineStr">
        <is>
          <t>2008-08-27</t>
        </is>
      </c>
      <c r="W1054" t="inlineStr">
        <is>
          <t>1991-09-18</t>
        </is>
      </c>
      <c r="X1054" t="inlineStr">
        <is>
          <t>1991-09-18</t>
        </is>
      </c>
      <c r="Y1054" t="n">
        <v>665</v>
      </c>
      <c r="Z1054" t="n">
        <v>475</v>
      </c>
      <c r="AA1054" t="n">
        <v>490</v>
      </c>
      <c r="AB1054" t="n">
        <v>5</v>
      </c>
      <c r="AC1054" t="n">
        <v>5</v>
      </c>
      <c r="AD1054" t="n">
        <v>24</v>
      </c>
      <c r="AE1054" t="n">
        <v>25</v>
      </c>
      <c r="AF1054" t="n">
        <v>9</v>
      </c>
      <c r="AG1054" t="n">
        <v>9</v>
      </c>
      <c r="AH1054" t="n">
        <v>5</v>
      </c>
      <c r="AI1054" t="n">
        <v>6</v>
      </c>
      <c r="AJ1054" t="n">
        <v>13</v>
      </c>
      <c r="AK1054" t="n">
        <v>13</v>
      </c>
      <c r="AL1054" t="n">
        <v>4</v>
      </c>
      <c r="AM1054" t="n">
        <v>4</v>
      </c>
      <c r="AN1054" t="n">
        <v>0</v>
      </c>
      <c r="AO1054" t="n">
        <v>0</v>
      </c>
      <c r="AP1054" t="inlineStr">
        <is>
          <t>No</t>
        </is>
      </c>
      <c r="AQ1054" t="inlineStr">
        <is>
          <t>Yes</t>
        </is>
      </c>
      <c r="AR1054">
        <f>HYPERLINK("http://catalog.hathitrust.org/Record/000614850","HathiTrust Record")</f>
        <v/>
      </c>
      <c r="AS1054">
        <f>HYPERLINK("https://creighton-primo.hosted.exlibrisgroup.com/primo-explore/search?tab=default_tab&amp;search_scope=EVERYTHING&amp;vid=01CRU&amp;lang=en_US&amp;offset=0&amp;query=any,contains,991000823109702656","Catalog Record")</f>
        <v/>
      </c>
      <c r="AT1054">
        <f>HYPERLINK("http://www.worldcat.org/oclc/145682","WorldCat Record")</f>
        <v/>
      </c>
      <c r="AU1054" t="inlineStr">
        <is>
          <t>197596233:eng</t>
        </is>
      </c>
      <c r="AV1054" t="inlineStr">
        <is>
          <t>145682</t>
        </is>
      </c>
      <c r="AW1054" t="inlineStr">
        <is>
          <t>991000823109702656</t>
        </is>
      </c>
      <c r="AX1054" t="inlineStr">
        <is>
          <t>991000823109702656</t>
        </is>
      </c>
      <c r="AY1054" t="inlineStr">
        <is>
          <t>2258247180002656</t>
        </is>
      </c>
      <c r="AZ1054" t="inlineStr">
        <is>
          <t>BOOK</t>
        </is>
      </c>
      <c r="BB1054" t="inlineStr">
        <is>
          <t>9780198720324</t>
        </is>
      </c>
      <c r="BC1054" t="inlineStr">
        <is>
          <t>32285000758739</t>
        </is>
      </c>
      <c r="BD1054" t="inlineStr">
        <is>
          <t>893237641</t>
        </is>
      </c>
    </row>
    <row r="1055">
      <c r="A1055" t="inlineStr">
        <is>
          <t>No</t>
        </is>
      </c>
      <c r="B1055" t="inlineStr">
        <is>
          <t>DG260.C53 T74 2007</t>
        </is>
      </c>
      <c r="C1055" t="inlineStr">
        <is>
          <t>0                      DG 0260000C  53                 T  74          2007</t>
        </is>
      </c>
      <c r="D1055" t="inlineStr">
        <is>
          <t>Terentia, Tullia and Publilia : the women of Cicero's family / Susan Treggiari.</t>
        </is>
      </c>
      <c r="F1055" t="inlineStr">
        <is>
          <t>No</t>
        </is>
      </c>
      <c r="G1055" t="inlineStr">
        <is>
          <t>1</t>
        </is>
      </c>
      <c r="H1055" t="inlineStr">
        <is>
          <t>No</t>
        </is>
      </c>
      <c r="I1055" t="inlineStr">
        <is>
          <t>No</t>
        </is>
      </c>
      <c r="J1055" t="inlineStr">
        <is>
          <t>0</t>
        </is>
      </c>
      <c r="K1055" t="inlineStr">
        <is>
          <t>Treggiari, Susan.</t>
        </is>
      </c>
      <c r="L1055" t="inlineStr">
        <is>
          <t>London ; New York : Routledge, 2007.</t>
        </is>
      </c>
      <c r="M1055" t="inlineStr">
        <is>
          <t>2007</t>
        </is>
      </c>
      <c r="O1055" t="inlineStr">
        <is>
          <t>eng</t>
        </is>
      </c>
      <c r="P1055" t="inlineStr">
        <is>
          <t>enk</t>
        </is>
      </c>
      <c r="Q1055" t="inlineStr">
        <is>
          <t>Women of the ancient world</t>
        </is>
      </c>
      <c r="R1055" t="inlineStr">
        <is>
          <t xml:space="preserve">DG </t>
        </is>
      </c>
      <c r="S1055" t="n">
        <v>1</v>
      </c>
      <c r="T1055" t="n">
        <v>1</v>
      </c>
      <c r="U1055" t="inlineStr">
        <is>
          <t>2010-04-21</t>
        </is>
      </c>
      <c r="V1055" t="inlineStr">
        <is>
          <t>2010-04-21</t>
        </is>
      </c>
      <c r="W1055" t="inlineStr">
        <is>
          <t>2010-04-21</t>
        </is>
      </c>
      <c r="X1055" t="inlineStr">
        <is>
          <t>2010-04-21</t>
        </is>
      </c>
      <c r="Y1055" t="n">
        <v>314</v>
      </c>
      <c r="Z1055" t="n">
        <v>208</v>
      </c>
      <c r="AA1055" t="n">
        <v>236</v>
      </c>
      <c r="AB1055" t="n">
        <v>1</v>
      </c>
      <c r="AC1055" t="n">
        <v>1</v>
      </c>
      <c r="AD1055" t="n">
        <v>15</v>
      </c>
      <c r="AE1055" t="n">
        <v>15</v>
      </c>
      <c r="AF1055" t="n">
        <v>5</v>
      </c>
      <c r="AG1055" t="n">
        <v>5</v>
      </c>
      <c r="AH1055" t="n">
        <v>3</v>
      </c>
      <c r="AI1055" t="n">
        <v>3</v>
      </c>
      <c r="AJ1055" t="n">
        <v>13</v>
      </c>
      <c r="AK1055" t="n">
        <v>13</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HYPERLINK("https://creighton-primo.hosted.exlibrisgroup.com/primo-explore/search?tab=default_tab&amp;search_scope=EVERYTHING&amp;vid=01CRU&amp;lang=en_US&amp;offset=0&amp;query=any,contains,991005382369702656","Catalog Record")</f>
        <v/>
      </c>
      <c r="AT1055">
        <f>HYPERLINK("http://www.worldcat.org/oclc/72871352","WorldCat Record")</f>
        <v/>
      </c>
      <c r="AU1055" t="inlineStr">
        <is>
          <t>801356737:eng</t>
        </is>
      </c>
      <c r="AV1055" t="inlineStr">
        <is>
          <t>72871352</t>
        </is>
      </c>
      <c r="AW1055" t="inlineStr">
        <is>
          <t>991005382369702656</t>
        </is>
      </c>
      <c r="AX1055" t="inlineStr">
        <is>
          <t>991005382369702656</t>
        </is>
      </c>
      <c r="AY1055" t="inlineStr">
        <is>
          <t>2268138490002656</t>
        </is>
      </c>
      <c r="AZ1055" t="inlineStr">
        <is>
          <t>BOOK</t>
        </is>
      </c>
      <c r="BB1055" t="inlineStr">
        <is>
          <t>9780415351782</t>
        </is>
      </c>
      <c r="BC1055" t="inlineStr">
        <is>
          <t>32285005566624</t>
        </is>
      </c>
      <c r="BD1055" t="inlineStr">
        <is>
          <t>893527528</t>
        </is>
      </c>
    </row>
    <row r="1056">
      <c r="A1056" t="inlineStr">
        <is>
          <t>No</t>
        </is>
      </c>
      <c r="B1056" t="inlineStr">
        <is>
          <t>DG260.C53 W5</t>
        </is>
      </c>
      <c r="C1056" t="inlineStr">
        <is>
          <t>0                      DG 0260000C  53                 W  5</t>
        </is>
      </c>
      <c r="D1056" t="inlineStr">
        <is>
          <t>Eternal lawyer, a legal biography of Cicero, by Robert N. Wilkin.</t>
        </is>
      </c>
      <c r="F1056" t="inlineStr">
        <is>
          <t>No</t>
        </is>
      </c>
      <c r="G1056" t="inlineStr">
        <is>
          <t>1</t>
        </is>
      </c>
      <c r="H1056" t="inlineStr">
        <is>
          <t>Yes</t>
        </is>
      </c>
      <c r="I1056" t="inlineStr">
        <is>
          <t>No</t>
        </is>
      </c>
      <c r="J1056" t="inlineStr">
        <is>
          <t>0</t>
        </is>
      </c>
      <c r="K1056" t="inlineStr">
        <is>
          <t>Wilkin, Robert N. (Robert Nugen), 1886-</t>
        </is>
      </c>
      <c r="L1056" t="inlineStr">
        <is>
          <t>New York, The Macmillan company, 1947.</t>
        </is>
      </c>
      <c r="M1056" t="inlineStr">
        <is>
          <t>1947</t>
        </is>
      </c>
      <c r="O1056" t="inlineStr">
        <is>
          <t>eng</t>
        </is>
      </c>
      <c r="P1056" t="inlineStr">
        <is>
          <t>nyu</t>
        </is>
      </c>
      <c r="R1056" t="inlineStr">
        <is>
          <t xml:space="preserve">DG </t>
        </is>
      </c>
      <c r="S1056" t="n">
        <v>0</v>
      </c>
      <c r="T1056" t="n">
        <v>1</v>
      </c>
      <c r="V1056" t="inlineStr">
        <is>
          <t>1996-07-20</t>
        </is>
      </c>
      <c r="W1056" t="inlineStr">
        <is>
          <t>1997-02-03</t>
        </is>
      </c>
      <c r="X1056" t="inlineStr">
        <is>
          <t>1997-02-03</t>
        </is>
      </c>
      <c r="Y1056" t="n">
        <v>540</v>
      </c>
      <c r="Z1056" t="n">
        <v>484</v>
      </c>
      <c r="AA1056" t="n">
        <v>522</v>
      </c>
      <c r="AB1056" t="n">
        <v>4</v>
      </c>
      <c r="AC1056" t="n">
        <v>4</v>
      </c>
      <c r="AD1056" t="n">
        <v>35</v>
      </c>
      <c r="AE1056" t="n">
        <v>38</v>
      </c>
      <c r="AF1056" t="n">
        <v>5</v>
      </c>
      <c r="AG1056" t="n">
        <v>6</v>
      </c>
      <c r="AH1056" t="n">
        <v>5</v>
      </c>
      <c r="AI1056" t="n">
        <v>5</v>
      </c>
      <c r="AJ1056" t="n">
        <v>10</v>
      </c>
      <c r="AK1056" t="n">
        <v>10</v>
      </c>
      <c r="AL1056" t="n">
        <v>2</v>
      </c>
      <c r="AM1056" t="n">
        <v>2</v>
      </c>
      <c r="AN1056" t="n">
        <v>16</v>
      </c>
      <c r="AO1056" t="n">
        <v>18</v>
      </c>
      <c r="AP1056" t="inlineStr">
        <is>
          <t>Yes</t>
        </is>
      </c>
      <c r="AQ1056" t="inlineStr">
        <is>
          <t>No</t>
        </is>
      </c>
      <c r="AR1056">
        <f>HYPERLINK("http://catalog.hathitrust.org/Record/001220887","HathiTrust Record")</f>
        <v/>
      </c>
      <c r="AS1056">
        <f>HYPERLINK("https://creighton-primo.hosted.exlibrisgroup.com/primo-explore/search?tab=default_tab&amp;search_scope=EVERYTHING&amp;vid=01CRU&amp;lang=en_US&amp;offset=0&amp;query=any,contains,991001667199702656","Catalog Record")</f>
        <v/>
      </c>
      <c r="AT1056">
        <f>HYPERLINK("http://www.worldcat.org/oclc/669290","WorldCat Record")</f>
        <v/>
      </c>
      <c r="AU1056" t="inlineStr">
        <is>
          <t>1696306:eng</t>
        </is>
      </c>
      <c r="AV1056" t="inlineStr">
        <is>
          <t>669290</t>
        </is>
      </c>
      <c r="AW1056" t="inlineStr">
        <is>
          <t>991001667199702656</t>
        </is>
      </c>
      <c r="AX1056" t="inlineStr">
        <is>
          <t>991001667199702656</t>
        </is>
      </c>
      <c r="AY1056" t="inlineStr">
        <is>
          <t>2254722470002656</t>
        </is>
      </c>
      <c r="AZ1056" t="inlineStr">
        <is>
          <t>BOOK</t>
        </is>
      </c>
      <c r="BC1056" t="inlineStr">
        <is>
          <t>32285002420494</t>
        </is>
      </c>
      <c r="BD1056" t="inlineStr">
        <is>
          <t>893602784</t>
        </is>
      </c>
    </row>
    <row r="1057">
      <c r="A1057" t="inlineStr">
        <is>
          <t>No</t>
        </is>
      </c>
      <c r="B1057" t="inlineStr">
        <is>
          <t>DG260.C63 T37 1999</t>
        </is>
      </c>
      <c r="C1057" t="inlineStr">
        <is>
          <t>0                      DG 0260000C  63                 T  37          1999</t>
        </is>
      </c>
      <c r="D1057" t="inlineStr">
        <is>
          <t>The patrician tribune : Publius Clodius Pulcher / W. Jeffrey Tatum.</t>
        </is>
      </c>
      <c r="F1057" t="inlineStr">
        <is>
          <t>No</t>
        </is>
      </c>
      <c r="G1057" t="inlineStr">
        <is>
          <t>1</t>
        </is>
      </c>
      <c r="H1057" t="inlineStr">
        <is>
          <t>No</t>
        </is>
      </c>
      <c r="I1057" t="inlineStr">
        <is>
          <t>No</t>
        </is>
      </c>
      <c r="J1057" t="inlineStr">
        <is>
          <t>0</t>
        </is>
      </c>
      <c r="K1057" t="inlineStr">
        <is>
          <t>Tatum, W. Jeffrey.</t>
        </is>
      </c>
      <c r="L1057" t="inlineStr">
        <is>
          <t>Chapel Hill ; London : The University of North Carolina Press, c1999.</t>
        </is>
      </c>
      <c r="M1057" t="inlineStr">
        <is>
          <t>1999</t>
        </is>
      </c>
      <c r="O1057" t="inlineStr">
        <is>
          <t>eng</t>
        </is>
      </c>
      <c r="P1057" t="inlineStr">
        <is>
          <t>ncu</t>
        </is>
      </c>
      <c r="Q1057" t="inlineStr">
        <is>
          <t>Studies in the history of Greece and Rome</t>
        </is>
      </c>
      <c r="R1057" t="inlineStr">
        <is>
          <t xml:space="preserve">DG </t>
        </is>
      </c>
      <c r="S1057" t="n">
        <v>9</v>
      </c>
      <c r="T1057" t="n">
        <v>9</v>
      </c>
      <c r="U1057" t="inlineStr">
        <is>
          <t>2008-08-27</t>
        </is>
      </c>
      <c r="V1057" t="inlineStr">
        <is>
          <t>2008-08-27</t>
        </is>
      </c>
      <c r="W1057" t="inlineStr">
        <is>
          <t>2000-09-27</t>
        </is>
      </c>
      <c r="X1057" t="inlineStr">
        <is>
          <t>2000-09-27</t>
        </is>
      </c>
      <c r="Y1057" t="n">
        <v>361</v>
      </c>
      <c r="Z1057" t="n">
        <v>264</v>
      </c>
      <c r="AA1057" t="n">
        <v>274</v>
      </c>
      <c r="AB1057" t="n">
        <v>3</v>
      </c>
      <c r="AC1057" t="n">
        <v>3</v>
      </c>
      <c r="AD1057" t="n">
        <v>19</v>
      </c>
      <c r="AE1057" t="n">
        <v>20</v>
      </c>
      <c r="AF1057" t="n">
        <v>8</v>
      </c>
      <c r="AG1057" t="n">
        <v>9</v>
      </c>
      <c r="AH1057" t="n">
        <v>3</v>
      </c>
      <c r="AI1057" t="n">
        <v>4</v>
      </c>
      <c r="AJ1057" t="n">
        <v>13</v>
      </c>
      <c r="AK1057" t="n">
        <v>13</v>
      </c>
      <c r="AL1057" t="n">
        <v>2</v>
      </c>
      <c r="AM1057" t="n">
        <v>2</v>
      </c>
      <c r="AN1057" t="n">
        <v>0</v>
      </c>
      <c r="AO1057" t="n">
        <v>0</v>
      </c>
      <c r="AP1057" t="inlineStr">
        <is>
          <t>No</t>
        </is>
      </c>
      <c r="AQ1057" t="inlineStr">
        <is>
          <t>Yes</t>
        </is>
      </c>
      <c r="AR1057">
        <f>HYPERLINK("http://catalog.hathitrust.org/Record/004039573","HathiTrust Record")</f>
        <v/>
      </c>
      <c r="AS1057">
        <f>HYPERLINK("https://creighton-primo.hosted.exlibrisgroup.com/primo-explore/search?tab=default_tab&amp;search_scope=EVERYTHING&amp;vid=01CRU&amp;lang=en_US&amp;offset=0&amp;query=any,contains,991003257009702656","Catalog Record")</f>
        <v/>
      </c>
      <c r="AT1057">
        <f>HYPERLINK("http://www.worldcat.org/oclc/39713812","WorldCat Record")</f>
        <v/>
      </c>
      <c r="AU1057" t="inlineStr">
        <is>
          <t>806942591:eng</t>
        </is>
      </c>
      <c r="AV1057" t="inlineStr">
        <is>
          <t>39713812</t>
        </is>
      </c>
      <c r="AW1057" t="inlineStr">
        <is>
          <t>991003257009702656</t>
        </is>
      </c>
      <c r="AX1057" t="inlineStr">
        <is>
          <t>991003257009702656</t>
        </is>
      </c>
      <c r="AY1057" t="inlineStr">
        <is>
          <t>2257809640002656</t>
        </is>
      </c>
      <c r="AZ1057" t="inlineStr">
        <is>
          <t>BOOK</t>
        </is>
      </c>
      <c r="BB1057" t="inlineStr">
        <is>
          <t>9780807824801</t>
        </is>
      </c>
      <c r="BC1057" t="inlineStr">
        <is>
          <t>32285003765293</t>
        </is>
      </c>
      <c r="BD1057" t="inlineStr">
        <is>
          <t>893623315</t>
        </is>
      </c>
    </row>
    <row r="1058">
      <c r="A1058" t="inlineStr">
        <is>
          <t>No</t>
        </is>
      </c>
      <c r="B1058" t="inlineStr">
        <is>
          <t>DG260.L8 K43 1992</t>
        </is>
      </c>
      <c r="C1058" t="inlineStr">
        <is>
          <t>0                      DG 0260000L  8                  K  43          1992</t>
        </is>
      </c>
      <c r="D1058" t="inlineStr">
        <is>
          <t>Lucullus : a life / Arthur Keaveney.</t>
        </is>
      </c>
      <c r="F1058" t="inlineStr">
        <is>
          <t>No</t>
        </is>
      </c>
      <c r="G1058" t="inlineStr">
        <is>
          <t>1</t>
        </is>
      </c>
      <c r="H1058" t="inlineStr">
        <is>
          <t>No</t>
        </is>
      </c>
      <c r="I1058" t="inlineStr">
        <is>
          <t>No</t>
        </is>
      </c>
      <c r="J1058" t="inlineStr">
        <is>
          <t>0</t>
        </is>
      </c>
      <c r="K1058" t="inlineStr">
        <is>
          <t>Keaveney, Arthur.</t>
        </is>
      </c>
      <c r="L1058" t="inlineStr">
        <is>
          <t>London ; New York : Routledge, 1992.</t>
        </is>
      </c>
      <c r="M1058" t="inlineStr">
        <is>
          <t>1992</t>
        </is>
      </c>
      <c r="O1058" t="inlineStr">
        <is>
          <t>eng</t>
        </is>
      </c>
      <c r="P1058" t="inlineStr">
        <is>
          <t>enk</t>
        </is>
      </c>
      <c r="Q1058" t="inlineStr">
        <is>
          <t>Classical lives</t>
        </is>
      </c>
      <c r="R1058" t="inlineStr">
        <is>
          <t xml:space="preserve">DG </t>
        </is>
      </c>
      <c r="S1058" t="n">
        <v>4</v>
      </c>
      <c r="T1058" t="n">
        <v>4</v>
      </c>
      <c r="U1058" t="inlineStr">
        <is>
          <t>2006-04-07</t>
        </is>
      </c>
      <c r="V1058" t="inlineStr">
        <is>
          <t>2006-04-07</t>
        </is>
      </c>
      <c r="W1058" t="inlineStr">
        <is>
          <t>2004-03-22</t>
        </is>
      </c>
      <c r="X1058" t="inlineStr">
        <is>
          <t>2004-03-22</t>
        </is>
      </c>
      <c r="Y1058" t="n">
        <v>362</v>
      </c>
      <c r="Z1058" t="n">
        <v>264</v>
      </c>
      <c r="AA1058" t="n">
        <v>754</v>
      </c>
      <c r="AB1058" t="n">
        <v>1</v>
      </c>
      <c r="AC1058" t="n">
        <v>4</v>
      </c>
      <c r="AD1058" t="n">
        <v>17</v>
      </c>
      <c r="AE1058" t="n">
        <v>21</v>
      </c>
      <c r="AF1058" t="n">
        <v>5</v>
      </c>
      <c r="AG1058" t="n">
        <v>6</v>
      </c>
      <c r="AH1058" t="n">
        <v>5</v>
      </c>
      <c r="AI1058" t="n">
        <v>5</v>
      </c>
      <c r="AJ1058" t="n">
        <v>13</v>
      </c>
      <c r="AK1058" t="n">
        <v>13</v>
      </c>
      <c r="AL1058" t="n">
        <v>0</v>
      </c>
      <c r="AM1058" t="n">
        <v>3</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HYPERLINK("https://creighton-primo.hosted.exlibrisgroup.com/primo-explore/search?tab=default_tab&amp;search_scope=EVERYTHING&amp;vid=01CRU&amp;lang=en_US&amp;offset=0&amp;query=any,contains,991004240589702656","Catalog Record")</f>
        <v/>
      </c>
      <c r="AT1058">
        <f>HYPERLINK("http://www.worldcat.org/oclc/24699253","WorldCat Record")</f>
        <v/>
      </c>
      <c r="AU1058" t="inlineStr">
        <is>
          <t>4918622951:eng</t>
        </is>
      </c>
      <c r="AV1058" t="inlineStr">
        <is>
          <t>24699253</t>
        </is>
      </c>
      <c r="AW1058" t="inlineStr">
        <is>
          <t>991004240589702656</t>
        </is>
      </c>
      <c r="AX1058" t="inlineStr">
        <is>
          <t>991004240589702656</t>
        </is>
      </c>
      <c r="AY1058" t="inlineStr">
        <is>
          <t>2265495770002656</t>
        </is>
      </c>
      <c r="AZ1058" t="inlineStr">
        <is>
          <t>BOOK</t>
        </is>
      </c>
      <c r="BB1058" t="inlineStr">
        <is>
          <t>9780415032193</t>
        </is>
      </c>
      <c r="BC1058" t="inlineStr">
        <is>
          <t>32285004895370</t>
        </is>
      </c>
      <c r="BD1058" t="inlineStr">
        <is>
          <t>893605798</t>
        </is>
      </c>
    </row>
    <row r="1059">
      <c r="A1059" t="inlineStr">
        <is>
          <t>No</t>
        </is>
      </c>
      <c r="B1059" t="inlineStr">
        <is>
          <t>DG261 .B34 1967</t>
        </is>
      </c>
      <c r="C1059" t="inlineStr">
        <is>
          <t>0                      DG 0261000B  34          1967</t>
        </is>
      </c>
      <c r="D1059" t="inlineStr">
        <is>
          <t>Julius Caesar : a political biography / [by] J.P.V.D. Balsdon.</t>
        </is>
      </c>
      <c r="F1059" t="inlineStr">
        <is>
          <t>No</t>
        </is>
      </c>
      <c r="G1059" t="inlineStr">
        <is>
          <t>1</t>
        </is>
      </c>
      <c r="H1059" t="inlineStr">
        <is>
          <t>No</t>
        </is>
      </c>
      <c r="I1059" t="inlineStr">
        <is>
          <t>No</t>
        </is>
      </c>
      <c r="J1059" t="inlineStr">
        <is>
          <t>0</t>
        </is>
      </c>
      <c r="K1059" t="inlineStr">
        <is>
          <t>Balsdon, J. P. V. D. (John Percy Vyvian Dacre), 1901-1977.</t>
        </is>
      </c>
      <c r="L1059" t="inlineStr">
        <is>
          <t>New York : Atheneum, 1967.</t>
        </is>
      </c>
      <c r="M1059" t="inlineStr">
        <is>
          <t>1967</t>
        </is>
      </c>
      <c r="N1059" t="inlineStr">
        <is>
          <t>[1st American ed.]</t>
        </is>
      </c>
      <c r="O1059" t="inlineStr">
        <is>
          <t>eng</t>
        </is>
      </c>
      <c r="P1059" t="inlineStr">
        <is>
          <t>nyu</t>
        </is>
      </c>
      <c r="R1059" t="inlineStr">
        <is>
          <t xml:space="preserve">DG </t>
        </is>
      </c>
      <c r="S1059" t="n">
        <v>2</v>
      </c>
      <c r="T1059" t="n">
        <v>2</v>
      </c>
      <c r="U1059" t="inlineStr">
        <is>
          <t>2006-04-23</t>
        </is>
      </c>
      <c r="V1059" t="inlineStr">
        <is>
          <t>2006-04-23</t>
        </is>
      </c>
      <c r="W1059" t="inlineStr">
        <is>
          <t>1990-08-30</t>
        </is>
      </c>
      <c r="X1059" t="inlineStr">
        <is>
          <t>1990-08-30</t>
        </is>
      </c>
      <c r="Y1059" t="n">
        <v>669</v>
      </c>
      <c r="Z1059" t="n">
        <v>637</v>
      </c>
      <c r="AA1059" t="n">
        <v>645</v>
      </c>
      <c r="AB1059" t="n">
        <v>6</v>
      </c>
      <c r="AC1059" t="n">
        <v>6</v>
      </c>
      <c r="AD1059" t="n">
        <v>25</v>
      </c>
      <c r="AE1059" t="n">
        <v>25</v>
      </c>
      <c r="AF1059" t="n">
        <v>8</v>
      </c>
      <c r="AG1059" t="n">
        <v>8</v>
      </c>
      <c r="AH1059" t="n">
        <v>5</v>
      </c>
      <c r="AI1059" t="n">
        <v>5</v>
      </c>
      <c r="AJ1059" t="n">
        <v>13</v>
      </c>
      <c r="AK1059" t="n">
        <v>13</v>
      </c>
      <c r="AL1059" t="n">
        <v>4</v>
      </c>
      <c r="AM1059" t="n">
        <v>4</v>
      </c>
      <c r="AN1059" t="n">
        <v>0</v>
      </c>
      <c r="AO1059" t="n">
        <v>0</v>
      </c>
      <c r="AP1059" t="inlineStr">
        <is>
          <t>No</t>
        </is>
      </c>
      <c r="AQ1059" t="inlineStr">
        <is>
          <t>Yes</t>
        </is>
      </c>
      <c r="AR1059">
        <f>HYPERLINK("http://catalog.hathitrust.org/Record/000614874","HathiTrust Record")</f>
        <v/>
      </c>
      <c r="AS1059">
        <f>HYPERLINK("https://creighton-primo.hosted.exlibrisgroup.com/primo-explore/search?tab=default_tab&amp;search_scope=EVERYTHING&amp;vid=01CRU&amp;lang=en_US&amp;offset=0&amp;query=any,contains,991002696419702656","Catalog Record")</f>
        <v/>
      </c>
      <c r="AT1059">
        <f>HYPERLINK("http://www.worldcat.org/oclc/403784","WorldCat Record")</f>
        <v/>
      </c>
      <c r="AU1059" t="inlineStr">
        <is>
          <t>196537851:eng</t>
        </is>
      </c>
      <c r="AV1059" t="inlineStr">
        <is>
          <t>403784</t>
        </is>
      </c>
      <c r="AW1059" t="inlineStr">
        <is>
          <t>991002696419702656</t>
        </is>
      </c>
      <c r="AX1059" t="inlineStr">
        <is>
          <t>991002696419702656</t>
        </is>
      </c>
      <c r="AY1059" t="inlineStr">
        <is>
          <t>2259883180002656</t>
        </is>
      </c>
      <c r="AZ1059" t="inlineStr">
        <is>
          <t>BOOK</t>
        </is>
      </c>
      <c r="BC1059" t="inlineStr">
        <is>
          <t>32285000284611</t>
        </is>
      </c>
      <c r="BD1059" t="inlineStr">
        <is>
          <t>893511069</t>
        </is>
      </c>
    </row>
    <row r="1060">
      <c r="A1060" t="inlineStr">
        <is>
          <t>No</t>
        </is>
      </c>
      <c r="B1060" t="inlineStr">
        <is>
          <t>DG261 .B69 1984b</t>
        </is>
      </c>
      <c r="C1060" t="inlineStr">
        <is>
          <t>0                      DG 0261000B  69          1984b</t>
        </is>
      </c>
      <c r="D1060" t="inlineStr">
        <is>
          <t>Julius Caesar : the pursuit of power / Ernle Bradford.</t>
        </is>
      </c>
      <c r="F1060" t="inlineStr">
        <is>
          <t>No</t>
        </is>
      </c>
      <c r="G1060" t="inlineStr">
        <is>
          <t>1</t>
        </is>
      </c>
      <c r="H1060" t="inlineStr">
        <is>
          <t>No</t>
        </is>
      </c>
      <c r="I1060" t="inlineStr">
        <is>
          <t>No</t>
        </is>
      </c>
      <c r="J1060" t="inlineStr">
        <is>
          <t>0</t>
        </is>
      </c>
      <c r="K1060" t="inlineStr">
        <is>
          <t>Bradford, Ernle Dusgate Selby.</t>
        </is>
      </c>
      <c r="L1060" t="inlineStr">
        <is>
          <t>New York : Morrow, c1984.</t>
        </is>
      </c>
      <c r="M1060" t="inlineStr">
        <is>
          <t>1984</t>
        </is>
      </c>
      <c r="N1060" t="inlineStr">
        <is>
          <t>1st U.S. ed.</t>
        </is>
      </c>
      <c r="O1060" t="inlineStr">
        <is>
          <t>eng</t>
        </is>
      </c>
      <c r="P1060" t="inlineStr">
        <is>
          <t>nyu</t>
        </is>
      </c>
      <c r="R1060" t="inlineStr">
        <is>
          <t xml:space="preserve">DG </t>
        </is>
      </c>
      <c r="S1060" t="n">
        <v>2</v>
      </c>
      <c r="T1060" t="n">
        <v>2</v>
      </c>
      <c r="U1060" t="inlineStr">
        <is>
          <t>1998-04-22</t>
        </is>
      </c>
      <c r="V1060" t="inlineStr">
        <is>
          <t>1998-04-22</t>
        </is>
      </c>
      <c r="W1060" t="inlineStr">
        <is>
          <t>1990-06-18</t>
        </is>
      </c>
      <c r="X1060" t="inlineStr">
        <is>
          <t>1990-06-18</t>
        </is>
      </c>
      <c r="Y1060" t="n">
        <v>434</v>
      </c>
      <c r="Z1060" t="n">
        <v>424</v>
      </c>
      <c r="AA1060" t="n">
        <v>571</v>
      </c>
      <c r="AB1060" t="n">
        <v>3</v>
      </c>
      <c r="AC1060" t="n">
        <v>4</v>
      </c>
      <c r="AD1060" t="n">
        <v>11</v>
      </c>
      <c r="AE1060" t="n">
        <v>14</v>
      </c>
      <c r="AF1060" t="n">
        <v>4</v>
      </c>
      <c r="AG1060" t="n">
        <v>5</v>
      </c>
      <c r="AH1060" t="n">
        <v>5</v>
      </c>
      <c r="AI1060" t="n">
        <v>6</v>
      </c>
      <c r="AJ1060" t="n">
        <v>7</v>
      </c>
      <c r="AK1060" t="n">
        <v>8</v>
      </c>
      <c r="AL1060" t="n">
        <v>0</v>
      </c>
      <c r="AM1060" t="n">
        <v>1</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HYPERLINK("https://creighton-primo.hosted.exlibrisgroup.com/primo-explore/search?tab=default_tab&amp;search_scope=EVERYTHING&amp;vid=01CRU&amp;lang=en_US&amp;offset=0&amp;query=any,contains,991000472949702656","Catalog Record")</f>
        <v/>
      </c>
      <c r="AT1060">
        <f>HYPERLINK("http://www.worldcat.org/oclc/10998742","WorldCat Record")</f>
        <v/>
      </c>
      <c r="AU1060" t="inlineStr">
        <is>
          <t>3621416:eng</t>
        </is>
      </c>
      <c r="AV1060" t="inlineStr">
        <is>
          <t>10998742</t>
        </is>
      </c>
      <c r="AW1060" t="inlineStr">
        <is>
          <t>991000472949702656</t>
        </is>
      </c>
      <c r="AX1060" t="inlineStr">
        <is>
          <t>991000472949702656</t>
        </is>
      </c>
      <c r="AY1060" t="inlineStr">
        <is>
          <t>2261366180002656</t>
        </is>
      </c>
      <c r="AZ1060" t="inlineStr">
        <is>
          <t>BOOK</t>
        </is>
      </c>
      <c r="BB1060" t="inlineStr">
        <is>
          <t>9780688039318</t>
        </is>
      </c>
      <c r="BC1060" t="inlineStr">
        <is>
          <t>32285000198035</t>
        </is>
      </c>
      <c r="BD1060" t="inlineStr">
        <is>
          <t>893521697</t>
        </is>
      </c>
    </row>
    <row r="1061">
      <c r="A1061" t="inlineStr">
        <is>
          <t>No</t>
        </is>
      </c>
      <c r="B1061" t="inlineStr">
        <is>
          <t>DG261 .F7 1919</t>
        </is>
      </c>
      <c r="C1061" t="inlineStr">
        <is>
          <t>0                      DG 0261000F  7           1919</t>
        </is>
      </c>
      <c r="D1061" t="inlineStr">
        <is>
          <t>Julius Cæsar, and the foundation of the Roman imperial system / by W. Warde Fowler.</t>
        </is>
      </c>
      <c r="F1061" t="inlineStr">
        <is>
          <t>No</t>
        </is>
      </c>
      <c r="G1061" t="inlineStr">
        <is>
          <t>1</t>
        </is>
      </c>
      <c r="H1061" t="inlineStr">
        <is>
          <t>No</t>
        </is>
      </c>
      <c r="I1061" t="inlineStr">
        <is>
          <t>No</t>
        </is>
      </c>
      <c r="J1061" t="inlineStr">
        <is>
          <t>0</t>
        </is>
      </c>
      <c r="K1061" t="inlineStr">
        <is>
          <t>Fowler, W. Warde (William Warde), 1847-1921.</t>
        </is>
      </c>
      <c r="L1061" t="inlineStr">
        <is>
          <t>New York ; London : G. P. Putnam's sons, 1919.</t>
        </is>
      </c>
      <c r="M1061" t="inlineStr">
        <is>
          <t>1919</t>
        </is>
      </c>
      <c r="O1061" t="inlineStr">
        <is>
          <t>eng</t>
        </is>
      </c>
      <c r="P1061" t="inlineStr">
        <is>
          <t>nyu</t>
        </is>
      </c>
      <c r="R1061" t="inlineStr">
        <is>
          <t xml:space="preserve">DG </t>
        </is>
      </c>
      <c r="S1061" t="n">
        <v>4</v>
      </c>
      <c r="T1061" t="n">
        <v>4</v>
      </c>
      <c r="U1061" t="inlineStr">
        <is>
          <t>1999-03-24</t>
        </is>
      </c>
      <c r="V1061" t="inlineStr">
        <is>
          <t>1999-03-24</t>
        </is>
      </c>
      <c r="W1061" t="inlineStr">
        <is>
          <t>1994-12-12</t>
        </is>
      </c>
      <c r="X1061" t="inlineStr">
        <is>
          <t>1994-12-12</t>
        </is>
      </c>
      <c r="Y1061" t="n">
        <v>29</v>
      </c>
      <c r="Z1061" t="n">
        <v>29</v>
      </c>
      <c r="AA1061" t="n">
        <v>593</v>
      </c>
      <c r="AB1061" t="n">
        <v>1</v>
      </c>
      <c r="AC1061" t="n">
        <v>5</v>
      </c>
      <c r="AD1061" t="n">
        <v>2</v>
      </c>
      <c r="AE1061" t="n">
        <v>37</v>
      </c>
      <c r="AF1061" t="n">
        <v>0</v>
      </c>
      <c r="AG1061" t="n">
        <v>15</v>
      </c>
      <c r="AH1061" t="n">
        <v>0</v>
      </c>
      <c r="AI1061" t="n">
        <v>9</v>
      </c>
      <c r="AJ1061" t="n">
        <v>2</v>
      </c>
      <c r="AK1061" t="n">
        <v>18</v>
      </c>
      <c r="AL1061" t="n">
        <v>0</v>
      </c>
      <c r="AM1061" t="n">
        <v>4</v>
      </c>
      <c r="AN1061" t="n">
        <v>0</v>
      </c>
      <c r="AO1061" t="n">
        <v>0</v>
      </c>
      <c r="AP1061" t="inlineStr">
        <is>
          <t>Yes</t>
        </is>
      </c>
      <c r="AQ1061" t="inlineStr">
        <is>
          <t>No</t>
        </is>
      </c>
      <c r="AR1061">
        <f>HYPERLINK("http://catalog.hathitrust.org/Record/000348720","HathiTrust Record")</f>
        <v/>
      </c>
      <c r="AS1061">
        <f>HYPERLINK("https://creighton-primo.hosted.exlibrisgroup.com/primo-explore/search?tab=default_tab&amp;search_scope=EVERYTHING&amp;vid=01CRU&amp;lang=en_US&amp;offset=0&amp;query=any,contains,991005090749702656","Catalog Record")</f>
        <v/>
      </c>
      <c r="AT1061">
        <f>HYPERLINK("http://www.worldcat.org/oclc/7213983","WorldCat Record")</f>
        <v/>
      </c>
      <c r="AU1061" t="inlineStr">
        <is>
          <t>475970:eng</t>
        </is>
      </c>
      <c r="AV1061" t="inlineStr">
        <is>
          <t>7213983</t>
        </is>
      </c>
      <c r="AW1061" t="inlineStr">
        <is>
          <t>991005090749702656</t>
        </is>
      </c>
      <c r="AX1061" t="inlineStr">
        <is>
          <t>991005090749702656</t>
        </is>
      </c>
      <c r="AY1061" t="inlineStr">
        <is>
          <t>2267971920002656</t>
        </is>
      </c>
      <c r="AZ1061" t="inlineStr">
        <is>
          <t>BOOK</t>
        </is>
      </c>
      <c r="BC1061" t="inlineStr">
        <is>
          <t>32285001982023</t>
        </is>
      </c>
      <c r="BD1061" t="inlineStr">
        <is>
          <t>893789420</t>
        </is>
      </c>
    </row>
    <row r="1062">
      <c r="A1062" t="inlineStr">
        <is>
          <t>No</t>
        </is>
      </c>
      <c r="B1062" t="inlineStr">
        <is>
          <t>DG261 .F94 1965a</t>
        </is>
      </c>
      <c r="C1062" t="inlineStr">
        <is>
          <t>0                      DG 0261000F  94          1965a</t>
        </is>
      </c>
      <c r="D1062" t="inlineStr">
        <is>
          <t>Julius Caesar : man, soldier, and tyrant / J. F. C. Fuller.</t>
        </is>
      </c>
      <c r="F1062" t="inlineStr">
        <is>
          <t>No</t>
        </is>
      </c>
      <c r="G1062" t="inlineStr">
        <is>
          <t>1</t>
        </is>
      </c>
      <c r="H1062" t="inlineStr">
        <is>
          <t>No</t>
        </is>
      </c>
      <c r="I1062" t="inlineStr">
        <is>
          <t>No</t>
        </is>
      </c>
      <c r="J1062" t="inlineStr">
        <is>
          <t>0</t>
        </is>
      </c>
      <c r="K1062" t="inlineStr">
        <is>
          <t>Fuller, J. F. C. (John Frederick Charles), 1878-1966.</t>
        </is>
      </c>
      <c r="L1062" t="inlineStr">
        <is>
          <t>London : Eyre &amp; Spottiswoode, 1965.</t>
        </is>
      </c>
      <c r="M1062" t="inlineStr">
        <is>
          <t>1965</t>
        </is>
      </c>
      <c r="O1062" t="inlineStr">
        <is>
          <t>eng</t>
        </is>
      </c>
      <c r="P1062" t="inlineStr">
        <is>
          <t xml:space="preserve">xx </t>
        </is>
      </c>
      <c r="R1062" t="inlineStr">
        <is>
          <t xml:space="preserve">DG </t>
        </is>
      </c>
      <c r="S1062" t="n">
        <v>2</v>
      </c>
      <c r="T1062" t="n">
        <v>2</v>
      </c>
      <c r="U1062" t="inlineStr">
        <is>
          <t>2001-03-15</t>
        </is>
      </c>
      <c r="V1062" t="inlineStr">
        <is>
          <t>2001-03-15</t>
        </is>
      </c>
      <c r="W1062" t="inlineStr">
        <is>
          <t>1991-02-14</t>
        </is>
      </c>
      <c r="X1062" t="inlineStr">
        <is>
          <t>1991-02-14</t>
        </is>
      </c>
      <c r="Y1062" t="n">
        <v>162</v>
      </c>
      <c r="Z1062" t="n">
        <v>58</v>
      </c>
      <c r="AA1062" t="n">
        <v>843</v>
      </c>
      <c r="AB1062" t="n">
        <v>1</v>
      </c>
      <c r="AC1062" t="n">
        <v>7</v>
      </c>
      <c r="AD1062" t="n">
        <v>5</v>
      </c>
      <c r="AE1062" t="n">
        <v>31</v>
      </c>
      <c r="AF1062" t="n">
        <v>1</v>
      </c>
      <c r="AG1062" t="n">
        <v>11</v>
      </c>
      <c r="AH1062" t="n">
        <v>3</v>
      </c>
      <c r="AI1062" t="n">
        <v>9</v>
      </c>
      <c r="AJ1062" t="n">
        <v>4</v>
      </c>
      <c r="AK1062" t="n">
        <v>16</v>
      </c>
      <c r="AL1062" t="n">
        <v>0</v>
      </c>
      <c r="AM1062" t="n">
        <v>5</v>
      </c>
      <c r="AN1062" t="n">
        <v>0</v>
      </c>
      <c r="AO1062" t="n">
        <v>0</v>
      </c>
      <c r="AP1062" t="inlineStr">
        <is>
          <t>No</t>
        </is>
      </c>
      <c r="AQ1062" t="inlineStr">
        <is>
          <t>Yes</t>
        </is>
      </c>
      <c r="AR1062">
        <f>HYPERLINK("http://catalog.hathitrust.org/Record/000374737","HathiTrust Record")</f>
        <v/>
      </c>
      <c r="AS1062">
        <f>HYPERLINK("https://creighton-primo.hosted.exlibrisgroup.com/primo-explore/search?tab=default_tab&amp;search_scope=EVERYTHING&amp;vid=01CRU&amp;lang=en_US&amp;offset=0&amp;query=any,contains,991004620599702656","Catalog Record")</f>
        <v/>
      </c>
      <c r="AT1062">
        <f>HYPERLINK("http://www.worldcat.org/oclc/4291592","WorldCat Record")</f>
        <v/>
      </c>
      <c r="AU1062" t="inlineStr">
        <is>
          <t>24609588:eng</t>
        </is>
      </c>
      <c r="AV1062" t="inlineStr">
        <is>
          <t>4291592</t>
        </is>
      </c>
      <c r="AW1062" t="inlineStr">
        <is>
          <t>991004620599702656</t>
        </is>
      </c>
      <c r="AX1062" t="inlineStr">
        <is>
          <t>991004620599702656</t>
        </is>
      </c>
      <c r="AY1062" t="inlineStr">
        <is>
          <t>2268933570002656</t>
        </is>
      </c>
      <c r="AZ1062" t="inlineStr">
        <is>
          <t>BOOK</t>
        </is>
      </c>
      <c r="BC1062" t="inlineStr">
        <is>
          <t>32285000510171</t>
        </is>
      </c>
      <c r="BD1062" t="inlineStr">
        <is>
          <t>893876323</t>
        </is>
      </c>
    </row>
    <row r="1063">
      <c r="A1063" t="inlineStr">
        <is>
          <t>No</t>
        </is>
      </c>
      <c r="B1063" t="inlineStr">
        <is>
          <t>DG261 .G44 1976</t>
        </is>
      </c>
      <c r="C1063" t="inlineStr">
        <is>
          <t>0                      DG 0261000G  44          1976</t>
        </is>
      </c>
      <c r="D1063" t="inlineStr">
        <is>
          <t>Caesar / Helga Gesche.</t>
        </is>
      </c>
      <c r="F1063" t="inlineStr">
        <is>
          <t>No</t>
        </is>
      </c>
      <c r="G1063" t="inlineStr">
        <is>
          <t>1</t>
        </is>
      </c>
      <c r="H1063" t="inlineStr">
        <is>
          <t>No</t>
        </is>
      </c>
      <c r="I1063" t="inlineStr">
        <is>
          <t>No</t>
        </is>
      </c>
      <c r="J1063" t="inlineStr">
        <is>
          <t>0</t>
        </is>
      </c>
      <c r="K1063" t="inlineStr">
        <is>
          <t>Gesche, Helga.</t>
        </is>
      </c>
      <c r="L1063" t="inlineStr">
        <is>
          <t>Darmstadt : Wissenschaftliche Buchgesellschaft, [Abt. Verl.], 1976.</t>
        </is>
      </c>
      <c r="M1063" t="inlineStr">
        <is>
          <t>1976</t>
        </is>
      </c>
      <c r="O1063" t="inlineStr">
        <is>
          <t>ger</t>
        </is>
      </c>
      <c r="P1063" t="inlineStr">
        <is>
          <t xml:space="preserve">gw </t>
        </is>
      </c>
      <c r="Q1063" t="inlineStr">
        <is>
          <t>Erträge der Forschung ; Bd. 51</t>
        </is>
      </c>
      <c r="R1063" t="inlineStr">
        <is>
          <t xml:space="preserve">DG </t>
        </is>
      </c>
      <c r="S1063" t="n">
        <v>1</v>
      </c>
      <c r="T1063" t="n">
        <v>1</v>
      </c>
      <c r="U1063" t="inlineStr">
        <is>
          <t>2003-12-18</t>
        </is>
      </c>
      <c r="V1063" t="inlineStr">
        <is>
          <t>2003-12-18</t>
        </is>
      </c>
      <c r="W1063" t="inlineStr">
        <is>
          <t>2003-12-18</t>
        </is>
      </c>
      <c r="X1063" t="inlineStr">
        <is>
          <t>2003-12-18</t>
        </is>
      </c>
      <c r="Y1063" t="n">
        <v>142</v>
      </c>
      <c r="Z1063" t="n">
        <v>52</v>
      </c>
      <c r="AA1063" t="n">
        <v>53</v>
      </c>
      <c r="AB1063" t="n">
        <v>1</v>
      </c>
      <c r="AC1063" t="n">
        <v>1</v>
      </c>
      <c r="AD1063" t="n">
        <v>2</v>
      </c>
      <c r="AE1063" t="n">
        <v>2</v>
      </c>
      <c r="AF1063" t="n">
        <v>0</v>
      </c>
      <c r="AG1063" t="n">
        <v>0</v>
      </c>
      <c r="AH1063" t="n">
        <v>1</v>
      </c>
      <c r="AI1063" t="n">
        <v>1</v>
      </c>
      <c r="AJ1063" t="n">
        <v>1</v>
      </c>
      <c r="AK1063" t="n">
        <v>1</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HYPERLINK("https://creighton-primo.hosted.exlibrisgroup.com/primo-explore/search?tab=default_tab&amp;search_scope=EVERYTHING&amp;vid=01CRU&amp;lang=en_US&amp;offset=0&amp;query=any,contains,991004182639702656","Catalog Record")</f>
        <v/>
      </c>
      <c r="AT1063">
        <f>HYPERLINK("http://www.worldcat.org/oclc/2814752","WorldCat Record")</f>
        <v/>
      </c>
      <c r="AU1063" t="inlineStr">
        <is>
          <t>1864846418:ger</t>
        </is>
      </c>
      <c r="AV1063" t="inlineStr">
        <is>
          <t>2814752</t>
        </is>
      </c>
      <c r="AW1063" t="inlineStr">
        <is>
          <t>991004182639702656</t>
        </is>
      </c>
      <c r="AX1063" t="inlineStr">
        <is>
          <t>991004182639702656</t>
        </is>
      </c>
      <c r="AY1063" t="inlineStr">
        <is>
          <t>2261515970002656</t>
        </is>
      </c>
      <c r="AZ1063" t="inlineStr">
        <is>
          <t>BOOK</t>
        </is>
      </c>
      <c r="BB1063" t="inlineStr">
        <is>
          <t>9783534053339</t>
        </is>
      </c>
      <c r="BC1063" t="inlineStr">
        <is>
          <t>32285004848254</t>
        </is>
      </c>
      <c r="BD1063" t="inlineStr">
        <is>
          <t>893800692</t>
        </is>
      </c>
    </row>
    <row r="1064">
      <c r="A1064" t="inlineStr">
        <is>
          <t>No</t>
        </is>
      </c>
      <c r="B1064" t="inlineStr">
        <is>
          <t>DG261 .G66 1992</t>
        </is>
      </c>
      <c r="C1064" t="inlineStr">
        <is>
          <t>0                      DG 0261000G  66          1992</t>
        </is>
      </c>
      <c r="D1064" t="inlineStr">
        <is>
          <t>Julius Caesar / Michael Grant.</t>
        </is>
      </c>
      <c r="F1064" t="inlineStr">
        <is>
          <t>No</t>
        </is>
      </c>
      <c r="G1064" t="inlineStr">
        <is>
          <t>1</t>
        </is>
      </c>
      <c r="H1064" t="inlineStr">
        <is>
          <t>No</t>
        </is>
      </c>
      <c r="I1064" t="inlineStr">
        <is>
          <t>No</t>
        </is>
      </c>
      <c r="J1064" t="inlineStr">
        <is>
          <t>0</t>
        </is>
      </c>
      <c r="K1064" t="inlineStr">
        <is>
          <t>Grant, Michael, 1914-2004.</t>
        </is>
      </c>
      <c r="L1064" t="inlineStr">
        <is>
          <t>New York : M. Evans &amp; Co, 1992, c1969.</t>
        </is>
      </c>
      <c r="M1064" t="inlineStr">
        <is>
          <t>1992</t>
        </is>
      </c>
      <c r="O1064" t="inlineStr">
        <is>
          <t>eng</t>
        </is>
      </c>
      <c r="P1064" t="inlineStr">
        <is>
          <t>nyu</t>
        </is>
      </c>
      <c r="R1064" t="inlineStr">
        <is>
          <t xml:space="preserve">DG </t>
        </is>
      </c>
      <c r="S1064" t="n">
        <v>1</v>
      </c>
      <c r="T1064" t="n">
        <v>1</v>
      </c>
      <c r="U1064" t="inlineStr">
        <is>
          <t>2008-05-14</t>
        </is>
      </c>
      <c r="V1064" t="inlineStr">
        <is>
          <t>2008-05-14</t>
        </is>
      </c>
      <c r="W1064" t="inlineStr">
        <is>
          <t>2008-05-14</t>
        </is>
      </c>
      <c r="X1064" t="inlineStr">
        <is>
          <t>2008-05-14</t>
        </is>
      </c>
      <c r="Y1064" t="n">
        <v>385</v>
      </c>
      <c r="Z1064" t="n">
        <v>368</v>
      </c>
      <c r="AA1064" t="n">
        <v>998</v>
      </c>
      <c r="AB1064" t="n">
        <v>2</v>
      </c>
      <c r="AC1064" t="n">
        <v>5</v>
      </c>
      <c r="AD1064" t="n">
        <v>8</v>
      </c>
      <c r="AE1064" t="n">
        <v>35</v>
      </c>
      <c r="AF1064" t="n">
        <v>5</v>
      </c>
      <c r="AG1064" t="n">
        <v>18</v>
      </c>
      <c r="AH1064" t="n">
        <v>1</v>
      </c>
      <c r="AI1064" t="n">
        <v>9</v>
      </c>
      <c r="AJ1064" t="n">
        <v>2</v>
      </c>
      <c r="AK1064" t="n">
        <v>16</v>
      </c>
      <c r="AL1064" t="n">
        <v>1</v>
      </c>
      <c r="AM1064" t="n">
        <v>3</v>
      </c>
      <c r="AN1064" t="n">
        <v>0</v>
      </c>
      <c r="AO1064" t="n">
        <v>0</v>
      </c>
      <c r="AP1064" t="inlineStr">
        <is>
          <t>No</t>
        </is>
      </c>
      <c r="AQ1064" t="inlineStr">
        <is>
          <t>Yes</t>
        </is>
      </c>
      <c r="AR1064">
        <f>HYPERLINK("http://catalog.hathitrust.org/Record/005978615","HathiTrust Record")</f>
        <v/>
      </c>
      <c r="AS1064">
        <f>HYPERLINK("https://creighton-primo.hosted.exlibrisgroup.com/primo-explore/search?tab=default_tab&amp;search_scope=EVERYTHING&amp;vid=01CRU&amp;lang=en_US&amp;offset=0&amp;query=any,contains,991005220749702656","Catalog Record")</f>
        <v/>
      </c>
      <c r="AT1064">
        <f>HYPERLINK("http://www.worldcat.org/oclc/26400474","WorldCat Record")</f>
        <v/>
      </c>
      <c r="AU1064" t="inlineStr">
        <is>
          <t>4160029148:eng</t>
        </is>
      </c>
      <c r="AV1064" t="inlineStr">
        <is>
          <t>26400474</t>
        </is>
      </c>
      <c r="AW1064" t="inlineStr">
        <is>
          <t>991005220749702656</t>
        </is>
      </c>
      <c r="AX1064" t="inlineStr">
        <is>
          <t>991005220749702656</t>
        </is>
      </c>
      <c r="AY1064" t="inlineStr">
        <is>
          <t>2268054840002656</t>
        </is>
      </c>
      <c r="AZ1064" t="inlineStr">
        <is>
          <t>BOOK</t>
        </is>
      </c>
      <c r="BB1064" t="inlineStr">
        <is>
          <t>9780871317209</t>
        </is>
      </c>
      <c r="BC1064" t="inlineStr">
        <is>
          <t>32285005407845</t>
        </is>
      </c>
      <c r="BD1064" t="inlineStr">
        <is>
          <t>893889885</t>
        </is>
      </c>
    </row>
    <row r="1065">
      <c r="A1065" t="inlineStr">
        <is>
          <t>No</t>
        </is>
      </c>
      <c r="B1065" t="inlineStr">
        <is>
          <t>DG261 .T5</t>
        </is>
      </c>
      <c r="C1065" t="inlineStr">
        <is>
          <t>0                      DG 0261000T  5</t>
        </is>
      </c>
      <c r="D1065" t="inlineStr">
        <is>
          <t>Julius Caesar and the grandeur that was Rome / illustrations by W.D. White.</t>
        </is>
      </c>
      <c r="F1065" t="inlineStr">
        <is>
          <t>No</t>
        </is>
      </c>
      <c r="G1065" t="inlineStr">
        <is>
          <t>1</t>
        </is>
      </c>
      <c r="H1065" t="inlineStr">
        <is>
          <t>No</t>
        </is>
      </c>
      <c r="I1065" t="inlineStr">
        <is>
          <t>No</t>
        </is>
      </c>
      <c r="J1065" t="inlineStr">
        <is>
          <t>0</t>
        </is>
      </c>
      <c r="K1065" t="inlineStr">
        <is>
          <t>Thaddeus, Victor, 1896-</t>
        </is>
      </c>
      <c r="L1065" t="inlineStr">
        <is>
          <t>New York : Brentano's, 1927.</t>
        </is>
      </c>
      <c r="M1065" t="inlineStr">
        <is>
          <t>1927</t>
        </is>
      </c>
      <c r="O1065" t="inlineStr">
        <is>
          <t>eng</t>
        </is>
      </c>
      <c r="P1065" t="inlineStr">
        <is>
          <t xml:space="preserve">xx </t>
        </is>
      </c>
      <c r="R1065" t="inlineStr">
        <is>
          <t xml:space="preserve">DG </t>
        </is>
      </c>
      <c r="S1065" t="n">
        <v>2</v>
      </c>
      <c r="T1065" t="n">
        <v>2</v>
      </c>
      <c r="U1065" t="inlineStr">
        <is>
          <t>1999-03-24</t>
        </is>
      </c>
      <c r="V1065" t="inlineStr">
        <is>
          <t>1999-03-24</t>
        </is>
      </c>
      <c r="W1065" t="inlineStr">
        <is>
          <t>1994-12-12</t>
        </is>
      </c>
      <c r="X1065" t="inlineStr">
        <is>
          <t>1994-12-12</t>
        </is>
      </c>
      <c r="Y1065" t="n">
        <v>237</v>
      </c>
      <c r="Z1065" t="n">
        <v>225</v>
      </c>
      <c r="AA1065" t="n">
        <v>250</v>
      </c>
      <c r="AB1065" t="n">
        <v>2</v>
      </c>
      <c r="AC1065" t="n">
        <v>2</v>
      </c>
      <c r="AD1065" t="n">
        <v>18</v>
      </c>
      <c r="AE1065" t="n">
        <v>18</v>
      </c>
      <c r="AF1065" t="n">
        <v>6</v>
      </c>
      <c r="AG1065" t="n">
        <v>6</v>
      </c>
      <c r="AH1065" t="n">
        <v>2</v>
      </c>
      <c r="AI1065" t="n">
        <v>2</v>
      </c>
      <c r="AJ1065" t="n">
        <v>12</v>
      </c>
      <c r="AK1065" t="n">
        <v>12</v>
      </c>
      <c r="AL1065" t="n">
        <v>1</v>
      </c>
      <c r="AM1065" t="n">
        <v>1</v>
      </c>
      <c r="AN1065" t="n">
        <v>0</v>
      </c>
      <c r="AO1065" t="n">
        <v>0</v>
      </c>
      <c r="AP1065" t="inlineStr">
        <is>
          <t>Yes</t>
        </is>
      </c>
      <c r="AQ1065" t="inlineStr">
        <is>
          <t>No</t>
        </is>
      </c>
      <c r="AR1065">
        <f>HYPERLINK("http://catalog.hathitrust.org/Record/000374789","HathiTrust Record")</f>
        <v/>
      </c>
      <c r="AS1065">
        <f>HYPERLINK("https://creighton-primo.hosted.exlibrisgroup.com/primo-explore/search?tab=default_tab&amp;search_scope=EVERYTHING&amp;vid=01CRU&amp;lang=en_US&amp;offset=0&amp;query=any,contains,991002857539702656","Catalog Record")</f>
        <v/>
      </c>
      <c r="AT1065">
        <f>HYPERLINK("http://www.worldcat.org/oclc/491154","WorldCat Record")</f>
        <v/>
      </c>
      <c r="AU1065" t="inlineStr">
        <is>
          <t>29299017:eng</t>
        </is>
      </c>
      <c r="AV1065" t="inlineStr">
        <is>
          <t>491154</t>
        </is>
      </c>
      <c r="AW1065" t="inlineStr">
        <is>
          <t>991002857539702656</t>
        </is>
      </c>
      <c r="AX1065" t="inlineStr">
        <is>
          <t>991002857539702656</t>
        </is>
      </c>
      <c r="AY1065" t="inlineStr">
        <is>
          <t>2259437980002656</t>
        </is>
      </c>
      <c r="AZ1065" t="inlineStr">
        <is>
          <t>BOOK</t>
        </is>
      </c>
      <c r="BC1065" t="inlineStr">
        <is>
          <t>32285001982015</t>
        </is>
      </c>
      <c r="BD1065" t="inlineStr">
        <is>
          <t>893721677</t>
        </is>
      </c>
    </row>
    <row r="1066">
      <c r="A1066" t="inlineStr">
        <is>
          <t>No</t>
        </is>
      </c>
      <c r="B1066" t="inlineStr">
        <is>
          <t>DG262 .H3 1924</t>
        </is>
      </c>
      <c r="C1066" t="inlineStr">
        <is>
          <t>0                      DG 0262000H  3           1924</t>
        </is>
      </c>
      <c r="D1066" t="inlineStr">
        <is>
          <t>Some problems in Roman history : ten essays bearing on the administrative and legislative work of Julius Ceaesar / by E.G. Hardy.</t>
        </is>
      </c>
      <c r="F1066" t="inlineStr">
        <is>
          <t>No</t>
        </is>
      </c>
      <c r="G1066" t="inlineStr">
        <is>
          <t>1</t>
        </is>
      </c>
      <c r="H1066" t="inlineStr">
        <is>
          <t>No</t>
        </is>
      </c>
      <c r="I1066" t="inlineStr">
        <is>
          <t>No</t>
        </is>
      </c>
      <c r="J1066" t="inlineStr">
        <is>
          <t>0</t>
        </is>
      </c>
      <c r="K1066" t="inlineStr">
        <is>
          <t>Hardy, Ernest George, 1852-1925.</t>
        </is>
      </c>
      <c r="L1066" t="inlineStr">
        <is>
          <t>Oxford : Clarendon Press, 1924.</t>
        </is>
      </c>
      <c r="M1066" t="inlineStr">
        <is>
          <t>1924</t>
        </is>
      </c>
      <c r="O1066" t="inlineStr">
        <is>
          <t>eng</t>
        </is>
      </c>
      <c r="P1066" t="inlineStr">
        <is>
          <t>enk</t>
        </is>
      </c>
      <c r="R1066" t="inlineStr">
        <is>
          <t xml:space="preserve">DG </t>
        </is>
      </c>
      <c r="S1066" t="n">
        <v>1</v>
      </c>
      <c r="T1066" t="n">
        <v>1</v>
      </c>
      <c r="U1066" t="inlineStr">
        <is>
          <t>2003-12-18</t>
        </is>
      </c>
      <c r="V1066" t="inlineStr">
        <is>
          <t>2003-12-18</t>
        </is>
      </c>
      <c r="W1066" t="inlineStr">
        <is>
          <t>2003-12-18</t>
        </is>
      </c>
      <c r="X1066" t="inlineStr">
        <is>
          <t>2003-12-18</t>
        </is>
      </c>
      <c r="Y1066" t="n">
        <v>184</v>
      </c>
      <c r="Z1066" t="n">
        <v>121</v>
      </c>
      <c r="AA1066" t="n">
        <v>156</v>
      </c>
      <c r="AB1066" t="n">
        <v>2</v>
      </c>
      <c r="AC1066" t="n">
        <v>2</v>
      </c>
      <c r="AD1066" t="n">
        <v>7</v>
      </c>
      <c r="AE1066" t="n">
        <v>8</v>
      </c>
      <c r="AF1066" t="n">
        <v>0</v>
      </c>
      <c r="AG1066" t="n">
        <v>0</v>
      </c>
      <c r="AH1066" t="n">
        <v>2</v>
      </c>
      <c r="AI1066" t="n">
        <v>2</v>
      </c>
      <c r="AJ1066" t="n">
        <v>5</v>
      </c>
      <c r="AK1066" t="n">
        <v>6</v>
      </c>
      <c r="AL1066" t="n">
        <v>1</v>
      </c>
      <c r="AM1066" t="n">
        <v>1</v>
      </c>
      <c r="AN1066" t="n">
        <v>1</v>
      </c>
      <c r="AO1066" t="n">
        <v>1</v>
      </c>
      <c r="AP1066" t="inlineStr">
        <is>
          <t>Yes</t>
        </is>
      </c>
      <c r="AQ1066" t="inlineStr">
        <is>
          <t>No</t>
        </is>
      </c>
      <c r="AR1066">
        <f>HYPERLINK("http://catalog.hathitrust.org/Record/000374802","HathiTrust Record")</f>
        <v/>
      </c>
      <c r="AS1066">
        <f>HYPERLINK("https://creighton-primo.hosted.exlibrisgroup.com/primo-explore/search?tab=default_tab&amp;search_scope=EVERYTHING&amp;vid=01CRU&amp;lang=en_US&amp;offset=0&amp;query=any,contains,991004182559702656","Catalog Record")</f>
        <v/>
      </c>
      <c r="AT1066">
        <f>HYPERLINK("http://www.worldcat.org/oclc/3702266","WorldCat Record")</f>
        <v/>
      </c>
      <c r="AU1066" t="inlineStr">
        <is>
          <t>4247473:eng</t>
        </is>
      </c>
      <c r="AV1066" t="inlineStr">
        <is>
          <t>3702266</t>
        </is>
      </c>
      <c r="AW1066" t="inlineStr">
        <is>
          <t>991004182559702656</t>
        </is>
      </c>
      <c r="AX1066" t="inlineStr">
        <is>
          <t>991004182559702656</t>
        </is>
      </c>
      <c r="AY1066" t="inlineStr">
        <is>
          <t>2266598870002656</t>
        </is>
      </c>
      <c r="AZ1066" t="inlineStr">
        <is>
          <t>BOOK</t>
        </is>
      </c>
      <c r="BC1066" t="inlineStr">
        <is>
          <t>32285004848262</t>
        </is>
      </c>
      <c r="BD1066" t="inlineStr">
        <is>
          <t>893593370</t>
        </is>
      </c>
    </row>
    <row r="1067">
      <c r="A1067" t="inlineStr">
        <is>
          <t>No</t>
        </is>
      </c>
      <c r="B1067" t="inlineStr">
        <is>
          <t>DG262 .S2</t>
        </is>
      </c>
      <c r="C1067" t="inlineStr">
        <is>
          <t>0                      DG 0262000S  2</t>
        </is>
      </c>
      <c r="D1067" t="inlineStr">
        <is>
          <t>Caesar and Roman politics 60-50 B.C.</t>
        </is>
      </c>
      <c r="F1067" t="inlineStr">
        <is>
          <t>No</t>
        </is>
      </c>
      <c r="G1067" t="inlineStr">
        <is>
          <t>1</t>
        </is>
      </c>
      <c r="H1067" t="inlineStr">
        <is>
          <t>No</t>
        </is>
      </c>
      <c r="I1067" t="inlineStr">
        <is>
          <t>No</t>
        </is>
      </c>
      <c r="J1067" t="inlineStr">
        <is>
          <t>0</t>
        </is>
      </c>
      <c r="K1067" t="inlineStr">
        <is>
          <t>Sabben-Clare, J. P. (James P.), compiler.</t>
        </is>
      </c>
      <c r="L1067" t="inlineStr">
        <is>
          <t>[London] : Oxford University Press, 1971.</t>
        </is>
      </c>
      <c r="M1067" t="inlineStr">
        <is>
          <t>1971</t>
        </is>
      </c>
      <c r="O1067" t="inlineStr">
        <is>
          <t>eng</t>
        </is>
      </c>
      <c r="P1067" t="inlineStr">
        <is>
          <t>enk</t>
        </is>
      </c>
      <c r="R1067" t="inlineStr">
        <is>
          <t xml:space="preserve">DG </t>
        </is>
      </c>
      <c r="S1067" t="n">
        <v>1</v>
      </c>
      <c r="T1067" t="n">
        <v>1</v>
      </c>
      <c r="U1067" t="inlineStr">
        <is>
          <t>2006-04-23</t>
        </is>
      </c>
      <c r="V1067" t="inlineStr">
        <is>
          <t>2006-04-23</t>
        </is>
      </c>
      <c r="W1067" t="inlineStr">
        <is>
          <t>1995-03-19</t>
        </is>
      </c>
      <c r="X1067" t="inlineStr">
        <is>
          <t>1995-03-19</t>
        </is>
      </c>
      <c r="Y1067" t="n">
        <v>377</v>
      </c>
      <c r="Z1067" t="n">
        <v>248</v>
      </c>
      <c r="AA1067" t="n">
        <v>291</v>
      </c>
      <c r="AB1067" t="n">
        <v>2</v>
      </c>
      <c r="AC1067" t="n">
        <v>2</v>
      </c>
      <c r="AD1067" t="n">
        <v>16</v>
      </c>
      <c r="AE1067" t="n">
        <v>17</v>
      </c>
      <c r="AF1067" t="n">
        <v>3</v>
      </c>
      <c r="AG1067" t="n">
        <v>3</v>
      </c>
      <c r="AH1067" t="n">
        <v>5</v>
      </c>
      <c r="AI1067" t="n">
        <v>6</v>
      </c>
      <c r="AJ1067" t="n">
        <v>12</v>
      </c>
      <c r="AK1067" t="n">
        <v>12</v>
      </c>
      <c r="AL1067" t="n">
        <v>1</v>
      </c>
      <c r="AM1067" t="n">
        <v>1</v>
      </c>
      <c r="AN1067" t="n">
        <v>0</v>
      </c>
      <c r="AO1067" t="n">
        <v>0</v>
      </c>
      <c r="AP1067" t="inlineStr">
        <is>
          <t>No</t>
        </is>
      </c>
      <c r="AQ1067" t="inlineStr">
        <is>
          <t>Yes</t>
        </is>
      </c>
      <c r="AR1067">
        <f>HYPERLINK("http://catalog.hathitrust.org/Record/000649694","HathiTrust Record")</f>
        <v/>
      </c>
      <c r="AS1067">
        <f>HYPERLINK("https://creighton-primo.hosted.exlibrisgroup.com/primo-explore/search?tab=default_tab&amp;search_scope=EVERYTHING&amp;vid=01CRU&amp;lang=en_US&amp;offset=0&amp;query=any,contains,991000891579702656","Catalog Record")</f>
        <v/>
      </c>
      <c r="AT1067">
        <f>HYPERLINK("http://www.worldcat.org/oclc/154329","WorldCat Record")</f>
        <v/>
      </c>
      <c r="AU1067" t="inlineStr">
        <is>
          <t>1182449:eng</t>
        </is>
      </c>
      <c r="AV1067" t="inlineStr">
        <is>
          <t>154329</t>
        </is>
      </c>
      <c r="AW1067" t="inlineStr">
        <is>
          <t>991000891579702656</t>
        </is>
      </c>
      <c r="AX1067" t="inlineStr">
        <is>
          <t>991000891579702656</t>
        </is>
      </c>
      <c r="AY1067" t="inlineStr">
        <is>
          <t>2255170310002656</t>
        </is>
      </c>
      <c r="AZ1067" t="inlineStr">
        <is>
          <t>BOOK</t>
        </is>
      </c>
      <c r="BB1067" t="inlineStr">
        <is>
          <t>9780199120086</t>
        </is>
      </c>
      <c r="BC1067" t="inlineStr">
        <is>
          <t>32285002012226</t>
        </is>
      </c>
      <c r="BD1067" t="inlineStr">
        <is>
          <t>893884853</t>
        </is>
      </c>
    </row>
    <row r="1068">
      <c r="A1068" t="inlineStr">
        <is>
          <t>No</t>
        </is>
      </c>
      <c r="B1068" t="inlineStr">
        <is>
          <t>DG264 .G552 2005</t>
        </is>
      </c>
      <c r="C1068" t="inlineStr">
        <is>
          <t>0                      DG 0264000G  552         2005</t>
        </is>
      </c>
      <c r="D1068" t="inlineStr">
        <is>
          <t>Rome at war / Kate Gilliver, Adrian Goldsworthy &amp; Michael Whitby ; foreword by Steven Saylor.</t>
        </is>
      </c>
      <c r="F1068" t="inlineStr">
        <is>
          <t>No</t>
        </is>
      </c>
      <c r="G1068" t="inlineStr">
        <is>
          <t>1</t>
        </is>
      </c>
      <c r="H1068" t="inlineStr">
        <is>
          <t>No</t>
        </is>
      </c>
      <c r="I1068" t="inlineStr">
        <is>
          <t>No</t>
        </is>
      </c>
      <c r="J1068" t="inlineStr">
        <is>
          <t>0</t>
        </is>
      </c>
      <c r="K1068" t="inlineStr">
        <is>
          <t>Gilliver, Catherine.</t>
        </is>
      </c>
      <c r="L1068" t="inlineStr">
        <is>
          <t>Oxford : Osprey, 2005.</t>
        </is>
      </c>
      <c r="M1068" t="inlineStr">
        <is>
          <t>2005</t>
        </is>
      </c>
      <c r="O1068" t="inlineStr">
        <is>
          <t>eng</t>
        </is>
      </c>
      <c r="P1068" t="inlineStr">
        <is>
          <t>enk</t>
        </is>
      </c>
      <c r="Q1068" t="inlineStr">
        <is>
          <t>Essential histories special ; 6</t>
        </is>
      </c>
      <c r="R1068" t="inlineStr">
        <is>
          <t xml:space="preserve">DG </t>
        </is>
      </c>
      <c r="S1068" t="n">
        <v>2</v>
      </c>
      <c r="T1068" t="n">
        <v>2</v>
      </c>
      <c r="U1068" t="inlineStr">
        <is>
          <t>2008-12-19</t>
        </is>
      </c>
      <c r="V1068" t="inlineStr">
        <is>
          <t>2008-12-19</t>
        </is>
      </c>
      <c r="W1068" t="inlineStr">
        <is>
          <t>2008-12-16</t>
        </is>
      </c>
      <c r="X1068" t="inlineStr">
        <is>
          <t>2008-12-16</t>
        </is>
      </c>
      <c r="Y1068" t="n">
        <v>87</v>
      </c>
      <c r="Z1068" t="n">
        <v>49</v>
      </c>
      <c r="AA1068" t="n">
        <v>49</v>
      </c>
      <c r="AB1068" t="n">
        <v>1</v>
      </c>
      <c r="AC1068" t="n">
        <v>1</v>
      </c>
      <c r="AD1068" t="n">
        <v>0</v>
      </c>
      <c r="AE1068" t="n">
        <v>0</v>
      </c>
      <c r="AF1068" t="n">
        <v>0</v>
      </c>
      <c r="AG1068" t="n">
        <v>0</v>
      </c>
      <c r="AH1068" t="n">
        <v>0</v>
      </c>
      <c r="AI1068" t="n">
        <v>0</v>
      </c>
      <c r="AJ1068" t="n">
        <v>0</v>
      </c>
      <c r="AK1068" t="n">
        <v>0</v>
      </c>
      <c r="AL1068" t="n">
        <v>0</v>
      </c>
      <c r="AM1068" t="n">
        <v>0</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HYPERLINK("https://creighton-primo.hosted.exlibrisgroup.com/primo-explore/search?tab=default_tab&amp;search_scope=EVERYTHING&amp;vid=01CRU&amp;lang=en_US&amp;offset=0&amp;query=any,contains,991005284529702656","Catalog Record")</f>
        <v/>
      </c>
      <c r="AT1068">
        <f>HYPERLINK("http://www.worldcat.org/oclc/57356172","WorldCat Record")</f>
        <v/>
      </c>
      <c r="AU1068" t="inlineStr">
        <is>
          <t>9565674058:eng</t>
        </is>
      </c>
      <c r="AV1068" t="inlineStr">
        <is>
          <t>57356172</t>
        </is>
      </c>
      <c r="AW1068" t="inlineStr">
        <is>
          <t>991005284529702656</t>
        </is>
      </c>
      <c r="AX1068" t="inlineStr">
        <is>
          <t>991005284529702656</t>
        </is>
      </c>
      <c r="AY1068" t="inlineStr">
        <is>
          <t>2269219960002656</t>
        </is>
      </c>
      <c r="AZ1068" t="inlineStr">
        <is>
          <t>BOOK</t>
        </is>
      </c>
      <c r="BB1068" t="inlineStr">
        <is>
          <t>9781841768816</t>
        </is>
      </c>
      <c r="BC1068" t="inlineStr">
        <is>
          <t>32285005473946</t>
        </is>
      </c>
      <c r="BD1068" t="inlineStr">
        <is>
          <t>893802059</t>
        </is>
      </c>
    </row>
    <row r="1069">
      <c r="A1069" t="inlineStr">
        <is>
          <t>No</t>
        </is>
      </c>
      <c r="B1069" t="inlineStr">
        <is>
          <t>DG267 .P37 2003</t>
        </is>
      </c>
      <c r="C1069" t="inlineStr">
        <is>
          <t>0                      DG 0267000P  37          2003</t>
        </is>
      </c>
      <c r="D1069" t="inlineStr">
        <is>
          <t>The assassination of Julius Caesar : a people's history of ancient Rome / Michael Parenti.</t>
        </is>
      </c>
      <c r="F1069" t="inlineStr">
        <is>
          <t>No</t>
        </is>
      </c>
      <c r="G1069" t="inlineStr">
        <is>
          <t>1</t>
        </is>
      </c>
      <c r="H1069" t="inlineStr">
        <is>
          <t>No</t>
        </is>
      </c>
      <c r="I1069" t="inlineStr">
        <is>
          <t>No</t>
        </is>
      </c>
      <c r="J1069" t="inlineStr">
        <is>
          <t>0</t>
        </is>
      </c>
      <c r="K1069" t="inlineStr">
        <is>
          <t>Parenti, Michael, 1933-</t>
        </is>
      </c>
      <c r="L1069" t="inlineStr">
        <is>
          <t>New York : New Press, 2003.</t>
        </is>
      </c>
      <c r="M1069" t="inlineStr">
        <is>
          <t>2003</t>
        </is>
      </c>
      <c r="O1069" t="inlineStr">
        <is>
          <t>eng</t>
        </is>
      </c>
      <c r="P1069" t="inlineStr">
        <is>
          <t>nyu</t>
        </is>
      </c>
      <c r="R1069" t="inlineStr">
        <is>
          <t xml:space="preserve">DG </t>
        </is>
      </c>
      <c r="S1069" t="n">
        <v>2</v>
      </c>
      <c r="T1069" t="n">
        <v>2</v>
      </c>
      <c r="U1069" t="inlineStr">
        <is>
          <t>2004-01-19</t>
        </is>
      </c>
      <c r="V1069" t="inlineStr">
        <is>
          <t>2004-01-19</t>
        </is>
      </c>
      <c r="W1069" t="inlineStr">
        <is>
          <t>2003-09-11</t>
        </is>
      </c>
      <c r="X1069" t="inlineStr">
        <is>
          <t>2003-09-11</t>
        </is>
      </c>
      <c r="Y1069" t="n">
        <v>773</v>
      </c>
      <c r="Z1069" t="n">
        <v>698</v>
      </c>
      <c r="AA1069" t="n">
        <v>849</v>
      </c>
      <c r="AB1069" t="n">
        <v>4</v>
      </c>
      <c r="AC1069" t="n">
        <v>4</v>
      </c>
      <c r="AD1069" t="n">
        <v>18</v>
      </c>
      <c r="AE1069" t="n">
        <v>23</v>
      </c>
      <c r="AF1069" t="n">
        <v>8</v>
      </c>
      <c r="AG1069" t="n">
        <v>10</v>
      </c>
      <c r="AH1069" t="n">
        <v>3</v>
      </c>
      <c r="AI1069" t="n">
        <v>6</v>
      </c>
      <c r="AJ1069" t="n">
        <v>8</v>
      </c>
      <c r="AK1069" t="n">
        <v>11</v>
      </c>
      <c r="AL1069" t="n">
        <v>3</v>
      </c>
      <c r="AM1069" t="n">
        <v>3</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HYPERLINK("https://creighton-primo.hosted.exlibrisgroup.com/primo-explore/search?tab=default_tab&amp;search_scope=EVERYTHING&amp;vid=01CRU&amp;lang=en_US&amp;offset=0&amp;query=any,contains,991004122319702656","Catalog Record")</f>
        <v/>
      </c>
      <c r="AT1069">
        <f>HYPERLINK("http://www.worldcat.org/oclc/50960806","WorldCat Record")</f>
        <v/>
      </c>
      <c r="AU1069" t="inlineStr">
        <is>
          <t>796379534:eng</t>
        </is>
      </c>
      <c r="AV1069" t="inlineStr">
        <is>
          <t>50960806</t>
        </is>
      </c>
      <c r="AW1069" t="inlineStr">
        <is>
          <t>991004122319702656</t>
        </is>
      </c>
      <c r="AX1069" t="inlineStr">
        <is>
          <t>991004122319702656</t>
        </is>
      </c>
      <c r="AY1069" t="inlineStr">
        <is>
          <t>2256043010002656</t>
        </is>
      </c>
      <c r="AZ1069" t="inlineStr">
        <is>
          <t>BOOK</t>
        </is>
      </c>
      <c r="BB1069" t="inlineStr">
        <is>
          <t>9781565847972</t>
        </is>
      </c>
      <c r="BC1069" t="inlineStr">
        <is>
          <t>32285004843131</t>
        </is>
      </c>
      <c r="BD1069" t="inlineStr">
        <is>
          <t>893247179</t>
        </is>
      </c>
    </row>
    <row r="1070">
      <c r="A1070" t="inlineStr">
        <is>
          <t>No</t>
        </is>
      </c>
      <c r="B1070" t="inlineStr">
        <is>
          <t>DG268 .R45 1988</t>
        </is>
      </c>
      <c r="C1070" t="inlineStr">
        <is>
          <t>0                      DG 0268000R  45          1988</t>
        </is>
      </c>
      <c r="D1070" t="inlineStr">
        <is>
          <t>From republic to principate : an historical commentary on Cassius Dio's Roman history books 49-52 (36-29 B.C.) / by Meyer Reinhold.</t>
        </is>
      </c>
      <c r="F1070" t="inlineStr">
        <is>
          <t>No</t>
        </is>
      </c>
      <c r="G1070" t="inlineStr">
        <is>
          <t>1</t>
        </is>
      </c>
      <c r="H1070" t="inlineStr">
        <is>
          <t>No</t>
        </is>
      </c>
      <c r="I1070" t="inlineStr">
        <is>
          <t>No</t>
        </is>
      </c>
      <c r="J1070" t="inlineStr">
        <is>
          <t>0</t>
        </is>
      </c>
      <c r="K1070" t="inlineStr">
        <is>
          <t>Reinhold, Meyer, 1909-2002.</t>
        </is>
      </c>
      <c r="L1070" t="inlineStr">
        <is>
          <t>Atlanta, Ga. : Scholars Press, c1988.</t>
        </is>
      </c>
      <c r="M1070" t="inlineStr">
        <is>
          <t>1988</t>
        </is>
      </c>
      <c r="O1070" t="inlineStr">
        <is>
          <t>eng</t>
        </is>
      </c>
      <c r="P1070" t="inlineStr">
        <is>
          <t>gau</t>
        </is>
      </c>
      <c r="Q1070" t="inlineStr">
        <is>
          <t>An Historical commentary on Cassius Dio's Roman history ; v. 6, books 49-52 (36-29 B.C.)</t>
        </is>
      </c>
      <c r="R1070" t="inlineStr">
        <is>
          <t xml:space="preserve">DG </t>
        </is>
      </c>
      <c r="S1070" t="n">
        <v>7</v>
      </c>
      <c r="T1070" t="n">
        <v>7</v>
      </c>
      <c r="U1070" t="inlineStr">
        <is>
          <t>2003-11-24</t>
        </is>
      </c>
      <c r="V1070" t="inlineStr">
        <is>
          <t>2003-11-24</t>
        </is>
      </c>
      <c r="W1070" t="inlineStr">
        <is>
          <t>1990-12-17</t>
        </is>
      </c>
      <c r="X1070" t="inlineStr">
        <is>
          <t>1990-12-17</t>
        </is>
      </c>
      <c r="Y1070" t="n">
        <v>279</v>
      </c>
      <c r="Z1070" t="n">
        <v>195</v>
      </c>
      <c r="AA1070" t="n">
        <v>207</v>
      </c>
      <c r="AB1070" t="n">
        <v>2</v>
      </c>
      <c r="AC1070" t="n">
        <v>2</v>
      </c>
      <c r="AD1070" t="n">
        <v>15</v>
      </c>
      <c r="AE1070" t="n">
        <v>15</v>
      </c>
      <c r="AF1070" t="n">
        <v>6</v>
      </c>
      <c r="AG1070" t="n">
        <v>6</v>
      </c>
      <c r="AH1070" t="n">
        <v>4</v>
      </c>
      <c r="AI1070" t="n">
        <v>4</v>
      </c>
      <c r="AJ1070" t="n">
        <v>9</v>
      </c>
      <c r="AK1070" t="n">
        <v>9</v>
      </c>
      <c r="AL1070" t="n">
        <v>1</v>
      </c>
      <c r="AM1070" t="n">
        <v>1</v>
      </c>
      <c r="AN1070" t="n">
        <v>0</v>
      </c>
      <c r="AO1070" t="n">
        <v>0</v>
      </c>
      <c r="AP1070" t="inlineStr">
        <is>
          <t>No</t>
        </is>
      </c>
      <c r="AQ1070" t="inlineStr">
        <is>
          <t>Yes</t>
        </is>
      </c>
      <c r="AR1070">
        <f>HYPERLINK("http://catalog.hathitrust.org/Record/002230518","HathiTrust Record")</f>
        <v/>
      </c>
      <c r="AS1070">
        <f>HYPERLINK("https://creighton-primo.hosted.exlibrisgroup.com/primo-explore/search?tab=default_tab&amp;search_scope=EVERYTHING&amp;vid=01CRU&amp;lang=en_US&amp;offset=0&amp;query=any,contains,991001032609702656","Catalog Record")</f>
        <v/>
      </c>
      <c r="AT1070">
        <f>HYPERLINK("http://www.worldcat.org/oclc/15519990","WorldCat Record")</f>
        <v/>
      </c>
      <c r="AU1070" t="inlineStr">
        <is>
          <t>890016422:eng</t>
        </is>
      </c>
      <c r="AV1070" t="inlineStr">
        <is>
          <t>15519990</t>
        </is>
      </c>
      <c r="AW1070" t="inlineStr">
        <is>
          <t>991001032609702656</t>
        </is>
      </c>
      <c r="AX1070" t="inlineStr">
        <is>
          <t>991001032609702656</t>
        </is>
      </c>
      <c r="AY1070" t="inlineStr">
        <is>
          <t>2265293880002656</t>
        </is>
      </c>
      <c r="AZ1070" t="inlineStr">
        <is>
          <t>BOOK</t>
        </is>
      </c>
      <c r="BB1070" t="inlineStr">
        <is>
          <t>9781555402464</t>
        </is>
      </c>
      <c r="BC1070" t="inlineStr">
        <is>
          <t>32285000359868</t>
        </is>
      </c>
      <c r="BD1070" t="inlineStr">
        <is>
          <t>893351753</t>
        </is>
      </c>
    </row>
    <row r="1071">
      <c r="A1071" t="inlineStr">
        <is>
          <t>No</t>
        </is>
      </c>
      <c r="B1071" t="inlineStr">
        <is>
          <t>DG268 .T35</t>
        </is>
      </c>
      <c r="C1071" t="inlineStr">
        <is>
          <t>0                      DG 0268000T  35</t>
        </is>
      </c>
      <c r="D1071" t="inlineStr">
        <is>
          <t>Octavian, Antony, and Cleopatra / by W. W. Tarn and M. P. Charlesworth.</t>
        </is>
      </c>
      <c r="F1071" t="inlineStr">
        <is>
          <t>No</t>
        </is>
      </c>
      <c r="G1071" t="inlineStr">
        <is>
          <t>1</t>
        </is>
      </c>
      <c r="H1071" t="inlineStr">
        <is>
          <t>No</t>
        </is>
      </c>
      <c r="I1071" t="inlineStr">
        <is>
          <t>No</t>
        </is>
      </c>
      <c r="J1071" t="inlineStr">
        <is>
          <t>0</t>
        </is>
      </c>
      <c r="K1071" t="inlineStr">
        <is>
          <t>Tarn, W. W. (William Woodthorpe), 1869-1957.</t>
        </is>
      </c>
      <c r="L1071" t="inlineStr">
        <is>
          <t>Cambridge, [Eng.] : University Press, 1965.</t>
        </is>
      </c>
      <c r="M1071" t="inlineStr">
        <is>
          <t>1965</t>
        </is>
      </c>
      <c r="O1071" t="inlineStr">
        <is>
          <t>eng</t>
        </is>
      </c>
      <c r="P1071" t="inlineStr">
        <is>
          <t>enk</t>
        </is>
      </c>
      <c r="R1071" t="inlineStr">
        <is>
          <t xml:space="preserve">DG </t>
        </is>
      </c>
      <c r="S1071" t="n">
        <v>4</v>
      </c>
      <c r="T1071" t="n">
        <v>4</v>
      </c>
      <c r="U1071" t="inlineStr">
        <is>
          <t>2009-10-14</t>
        </is>
      </c>
      <c r="V1071" t="inlineStr">
        <is>
          <t>2009-10-14</t>
        </is>
      </c>
      <c r="W1071" t="inlineStr">
        <is>
          <t>1993-02-17</t>
        </is>
      </c>
      <c r="X1071" t="inlineStr">
        <is>
          <t>1993-02-17</t>
        </is>
      </c>
      <c r="Y1071" t="n">
        <v>318</v>
      </c>
      <c r="Z1071" t="n">
        <v>245</v>
      </c>
      <c r="AA1071" t="n">
        <v>253</v>
      </c>
      <c r="AB1071" t="n">
        <v>3</v>
      </c>
      <c r="AC1071" t="n">
        <v>3</v>
      </c>
      <c r="AD1071" t="n">
        <v>18</v>
      </c>
      <c r="AE1071" t="n">
        <v>18</v>
      </c>
      <c r="AF1071" t="n">
        <v>6</v>
      </c>
      <c r="AG1071" t="n">
        <v>6</v>
      </c>
      <c r="AH1071" t="n">
        <v>5</v>
      </c>
      <c r="AI1071" t="n">
        <v>5</v>
      </c>
      <c r="AJ1071" t="n">
        <v>11</v>
      </c>
      <c r="AK1071" t="n">
        <v>11</v>
      </c>
      <c r="AL1071" t="n">
        <v>2</v>
      </c>
      <c r="AM1071" t="n">
        <v>2</v>
      </c>
      <c r="AN1071" t="n">
        <v>0</v>
      </c>
      <c r="AO1071" t="n">
        <v>0</v>
      </c>
      <c r="AP1071" t="inlineStr">
        <is>
          <t>No</t>
        </is>
      </c>
      <c r="AQ1071" t="inlineStr">
        <is>
          <t>Yes</t>
        </is>
      </c>
      <c r="AR1071">
        <f>HYPERLINK("http://catalog.hathitrust.org/Record/000650161","HathiTrust Record")</f>
        <v/>
      </c>
      <c r="AS1071">
        <f>HYPERLINK("https://creighton-primo.hosted.exlibrisgroup.com/primo-explore/search?tab=default_tab&amp;search_scope=EVERYTHING&amp;vid=01CRU&amp;lang=en_US&amp;offset=0&amp;query=any,contains,991003223709702656","Catalog Record")</f>
        <v/>
      </c>
      <c r="AT1071">
        <f>HYPERLINK("http://www.worldcat.org/oclc/749109","WorldCat Record")</f>
        <v/>
      </c>
      <c r="AU1071" t="inlineStr">
        <is>
          <t>1831336:eng</t>
        </is>
      </c>
      <c r="AV1071" t="inlineStr">
        <is>
          <t>749109</t>
        </is>
      </c>
      <c r="AW1071" t="inlineStr">
        <is>
          <t>991003223709702656</t>
        </is>
      </c>
      <c r="AX1071" t="inlineStr">
        <is>
          <t>991003223709702656</t>
        </is>
      </c>
      <c r="AY1071" t="inlineStr">
        <is>
          <t>2255365330002656</t>
        </is>
      </c>
      <c r="AZ1071" t="inlineStr">
        <is>
          <t>BOOK</t>
        </is>
      </c>
      <c r="BC1071" t="inlineStr">
        <is>
          <t>32285001502888</t>
        </is>
      </c>
      <c r="BD1071" t="inlineStr">
        <is>
          <t>893686319</t>
        </is>
      </c>
    </row>
    <row r="1072">
      <c r="A1072" t="inlineStr">
        <is>
          <t>No</t>
        </is>
      </c>
      <c r="B1072" t="inlineStr">
        <is>
          <t>DG270 .H45 1969</t>
        </is>
      </c>
      <c r="C1072" t="inlineStr">
        <is>
          <t>0                      DG 0270000H  45          1969</t>
        </is>
      </c>
      <c r="D1072" t="inlineStr">
        <is>
          <t>Five Roman emperors: Vespasian, Titus, Domitian, Nerva, Trajan, A.D. 69-117.</t>
        </is>
      </c>
      <c r="F1072" t="inlineStr">
        <is>
          <t>No</t>
        </is>
      </c>
      <c r="G1072" t="inlineStr">
        <is>
          <t>1</t>
        </is>
      </c>
      <c r="H1072" t="inlineStr">
        <is>
          <t>No</t>
        </is>
      </c>
      <c r="I1072" t="inlineStr">
        <is>
          <t>No</t>
        </is>
      </c>
      <c r="J1072" t="inlineStr">
        <is>
          <t>0</t>
        </is>
      </c>
      <c r="K1072" t="inlineStr">
        <is>
          <t>Henderson, Bernard W. (Bernard William), 1872-1929.</t>
        </is>
      </c>
      <c r="L1072" t="inlineStr">
        <is>
          <t>New York, Barnes &amp; Noble [1969]</t>
        </is>
      </c>
      <c r="M1072" t="inlineStr">
        <is>
          <t>1969</t>
        </is>
      </c>
      <c r="O1072" t="inlineStr">
        <is>
          <t>eng</t>
        </is>
      </c>
      <c r="P1072" t="inlineStr">
        <is>
          <t>nyu</t>
        </is>
      </c>
      <c r="R1072" t="inlineStr">
        <is>
          <t xml:space="preserve">DG </t>
        </is>
      </c>
      <c r="S1072" t="n">
        <v>3</v>
      </c>
      <c r="T1072" t="n">
        <v>3</v>
      </c>
      <c r="U1072" t="inlineStr">
        <is>
          <t>2008-02-29</t>
        </is>
      </c>
      <c r="V1072" t="inlineStr">
        <is>
          <t>2008-02-29</t>
        </is>
      </c>
      <c r="W1072" t="inlineStr">
        <is>
          <t>1997-02-04</t>
        </is>
      </c>
      <c r="X1072" t="inlineStr">
        <is>
          <t>1997-02-04</t>
        </is>
      </c>
      <c r="Y1072" t="n">
        <v>464</v>
      </c>
      <c r="Z1072" t="n">
        <v>427</v>
      </c>
      <c r="AA1072" t="n">
        <v>579</v>
      </c>
      <c r="AB1072" t="n">
        <v>4</v>
      </c>
      <c r="AC1072" t="n">
        <v>5</v>
      </c>
      <c r="AD1072" t="n">
        <v>20</v>
      </c>
      <c r="AE1072" t="n">
        <v>28</v>
      </c>
      <c r="AF1072" t="n">
        <v>10</v>
      </c>
      <c r="AG1072" t="n">
        <v>11</v>
      </c>
      <c r="AH1072" t="n">
        <v>4</v>
      </c>
      <c r="AI1072" t="n">
        <v>7</v>
      </c>
      <c r="AJ1072" t="n">
        <v>7</v>
      </c>
      <c r="AK1072" t="n">
        <v>11</v>
      </c>
      <c r="AL1072" t="n">
        <v>3</v>
      </c>
      <c r="AM1072" t="n">
        <v>4</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HYPERLINK("https://creighton-primo.hosted.exlibrisgroup.com/primo-explore/search?tab=default_tab&amp;search_scope=EVERYTHING&amp;vid=01CRU&amp;lang=en_US&amp;offset=0&amp;query=any,contains,991000122249702656","Catalog Record")</f>
        <v/>
      </c>
      <c r="AT1072">
        <f>HYPERLINK("http://www.worldcat.org/oclc/50623","WorldCat Record")</f>
        <v/>
      </c>
      <c r="AU1072" t="inlineStr">
        <is>
          <t>3159025:eng</t>
        </is>
      </c>
      <c r="AV1072" t="inlineStr">
        <is>
          <t>50623</t>
        </is>
      </c>
      <c r="AW1072" t="inlineStr">
        <is>
          <t>991000122249702656</t>
        </is>
      </c>
      <c r="AX1072" t="inlineStr">
        <is>
          <t>991000122249702656</t>
        </is>
      </c>
      <c r="AY1072" t="inlineStr">
        <is>
          <t>2255781670002656</t>
        </is>
      </c>
      <c r="AZ1072" t="inlineStr">
        <is>
          <t>BOOK</t>
        </is>
      </c>
      <c r="BB1072" t="inlineStr">
        <is>
          <t>9780389011651</t>
        </is>
      </c>
      <c r="BC1072" t="inlineStr">
        <is>
          <t>32285002420601</t>
        </is>
      </c>
      <c r="BD1072" t="inlineStr">
        <is>
          <t>893243013</t>
        </is>
      </c>
    </row>
    <row r="1073">
      <c r="A1073" t="inlineStr">
        <is>
          <t>No</t>
        </is>
      </c>
      <c r="B1073" t="inlineStr">
        <is>
          <t>DG270 .M33 1988</t>
        </is>
      </c>
      <c r="C1073" t="inlineStr">
        <is>
          <t>0                      DG 0270000M  33          1988</t>
        </is>
      </c>
      <c r="D1073" t="inlineStr">
        <is>
          <t>Corruption and the decline of Rome / Ramsay MacMullen.</t>
        </is>
      </c>
      <c r="F1073" t="inlineStr">
        <is>
          <t>No</t>
        </is>
      </c>
      <c r="G1073" t="inlineStr">
        <is>
          <t>1</t>
        </is>
      </c>
      <c r="H1073" t="inlineStr">
        <is>
          <t>No</t>
        </is>
      </c>
      <c r="I1073" t="inlineStr">
        <is>
          <t>No</t>
        </is>
      </c>
      <c r="J1073" t="inlineStr">
        <is>
          <t>0</t>
        </is>
      </c>
      <c r="K1073" t="inlineStr">
        <is>
          <t>MacMullen, Ramsay, 1928-</t>
        </is>
      </c>
      <c r="L1073" t="inlineStr">
        <is>
          <t>New Haven : Yale University Press, c1988.</t>
        </is>
      </c>
      <c r="M1073" t="inlineStr">
        <is>
          <t>1988</t>
        </is>
      </c>
      <c r="O1073" t="inlineStr">
        <is>
          <t>eng</t>
        </is>
      </c>
      <c r="P1073" t="inlineStr">
        <is>
          <t>ctu</t>
        </is>
      </c>
      <c r="R1073" t="inlineStr">
        <is>
          <t xml:space="preserve">DG </t>
        </is>
      </c>
      <c r="S1073" t="n">
        <v>5</v>
      </c>
      <c r="T1073" t="n">
        <v>5</v>
      </c>
      <c r="U1073" t="inlineStr">
        <is>
          <t>2009-03-09</t>
        </is>
      </c>
      <c r="V1073" t="inlineStr">
        <is>
          <t>2009-03-09</t>
        </is>
      </c>
      <c r="W1073" t="inlineStr">
        <is>
          <t>1990-07-09</t>
        </is>
      </c>
      <c r="X1073" t="inlineStr">
        <is>
          <t>1990-07-09</t>
        </is>
      </c>
      <c r="Y1073" t="n">
        <v>1112</v>
      </c>
      <c r="Z1073" t="n">
        <v>912</v>
      </c>
      <c r="AA1073" t="n">
        <v>1032</v>
      </c>
      <c r="AB1073" t="n">
        <v>9</v>
      </c>
      <c r="AC1073" t="n">
        <v>9</v>
      </c>
      <c r="AD1073" t="n">
        <v>47</v>
      </c>
      <c r="AE1073" t="n">
        <v>49</v>
      </c>
      <c r="AF1073" t="n">
        <v>19</v>
      </c>
      <c r="AG1073" t="n">
        <v>20</v>
      </c>
      <c r="AH1073" t="n">
        <v>9</v>
      </c>
      <c r="AI1073" t="n">
        <v>11</v>
      </c>
      <c r="AJ1073" t="n">
        <v>24</v>
      </c>
      <c r="AK1073" t="n">
        <v>24</v>
      </c>
      <c r="AL1073" t="n">
        <v>7</v>
      </c>
      <c r="AM1073" t="n">
        <v>7</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HYPERLINK("https://creighton-primo.hosted.exlibrisgroup.com/primo-explore/search?tab=default_tab&amp;search_scope=EVERYTHING&amp;vid=01CRU&amp;lang=en_US&amp;offset=0&amp;query=any,contains,991001219229702656","Catalog Record")</f>
        <v/>
      </c>
      <c r="AT1073">
        <f>HYPERLINK("http://www.worldcat.org/oclc/17441535","WorldCat Record")</f>
        <v/>
      </c>
      <c r="AU1073" t="inlineStr">
        <is>
          <t>16076656:eng</t>
        </is>
      </c>
      <c r="AV1073" t="inlineStr">
        <is>
          <t>17441535</t>
        </is>
      </c>
      <c r="AW1073" t="inlineStr">
        <is>
          <t>991001219229702656</t>
        </is>
      </c>
      <c r="AX1073" t="inlineStr">
        <is>
          <t>991001219229702656</t>
        </is>
      </c>
      <c r="AY1073" t="inlineStr">
        <is>
          <t>2260709700002656</t>
        </is>
      </c>
      <c r="AZ1073" t="inlineStr">
        <is>
          <t>BOOK</t>
        </is>
      </c>
      <c r="BB1073" t="inlineStr">
        <is>
          <t>9780300043136</t>
        </is>
      </c>
      <c r="BC1073" t="inlineStr">
        <is>
          <t>32285000226760</t>
        </is>
      </c>
      <c r="BD1073" t="inlineStr">
        <is>
          <t>893702846</t>
        </is>
      </c>
    </row>
    <row r="1074">
      <c r="A1074" t="inlineStr">
        <is>
          <t>No</t>
        </is>
      </c>
      <c r="B1074" t="inlineStr">
        <is>
          <t>DG270 .S67 1982</t>
        </is>
      </c>
      <c r="C1074" t="inlineStr">
        <is>
          <t>0                      DG 0270000S  67          1982</t>
        </is>
      </c>
      <c r="D1074" t="inlineStr">
        <is>
          <t>The Roman Empire, 27 B.C.-A.D. 476 : a study in survival / Chester G. Starr.</t>
        </is>
      </c>
      <c r="F1074" t="inlineStr">
        <is>
          <t>No</t>
        </is>
      </c>
      <c r="G1074" t="inlineStr">
        <is>
          <t>1</t>
        </is>
      </c>
      <c r="H1074" t="inlineStr">
        <is>
          <t>No</t>
        </is>
      </c>
      <c r="I1074" t="inlineStr">
        <is>
          <t>No</t>
        </is>
      </c>
      <c r="J1074" t="inlineStr">
        <is>
          <t>0</t>
        </is>
      </c>
      <c r="K1074" t="inlineStr">
        <is>
          <t>Starr, Chester G., 1914-1999.</t>
        </is>
      </c>
      <c r="L1074" t="inlineStr">
        <is>
          <t>New York : Oxford University Press, 1982.</t>
        </is>
      </c>
      <c r="M1074" t="inlineStr">
        <is>
          <t>1982</t>
        </is>
      </c>
      <c r="O1074" t="inlineStr">
        <is>
          <t>eng</t>
        </is>
      </c>
      <c r="P1074" t="inlineStr">
        <is>
          <t>nyu</t>
        </is>
      </c>
      <c r="R1074" t="inlineStr">
        <is>
          <t xml:space="preserve">DG </t>
        </is>
      </c>
      <c r="S1074" t="n">
        <v>4</v>
      </c>
      <c r="T1074" t="n">
        <v>4</v>
      </c>
      <c r="U1074" t="inlineStr">
        <is>
          <t>2008-11-24</t>
        </is>
      </c>
      <c r="V1074" t="inlineStr">
        <is>
          <t>2008-11-24</t>
        </is>
      </c>
      <c r="W1074" t="inlineStr">
        <is>
          <t>2001-05-29</t>
        </is>
      </c>
      <c r="X1074" t="inlineStr">
        <is>
          <t>2001-05-29</t>
        </is>
      </c>
      <c r="Y1074" t="n">
        <v>1127</v>
      </c>
      <c r="Z1074" t="n">
        <v>945</v>
      </c>
      <c r="AA1074" t="n">
        <v>956</v>
      </c>
      <c r="AB1074" t="n">
        <v>6</v>
      </c>
      <c r="AC1074" t="n">
        <v>6</v>
      </c>
      <c r="AD1074" t="n">
        <v>34</v>
      </c>
      <c r="AE1074" t="n">
        <v>35</v>
      </c>
      <c r="AF1074" t="n">
        <v>15</v>
      </c>
      <c r="AG1074" t="n">
        <v>15</v>
      </c>
      <c r="AH1074" t="n">
        <v>8</v>
      </c>
      <c r="AI1074" t="n">
        <v>9</v>
      </c>
      <c r="AJ1074" t="n">
        <v>16</v>
      </c>
      <c r="AK1074" t="n">
        <v>17</v>
      </c>
      <c r="AL1074" t="n">
        <v>4</v>
      </c>
      <c r="AM1074" t="n">
        <v>4</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HYPERLINK("https://creighton-primo.hosted.exlibrisgroup.com/primo-explore/search?tab=default_tab&amp;search_scope=EVERYTHING&amp;vid=01CRU&amp;lang=en_US&amp;offset=0&amp;query=any,contains,991003506819702656","Catalog Record")</f>
        <v/>
      </c>
      <c r="AT1074">
        <f>HYPERLINK("http://www.worldcat.org/oclc/8052584","WorldCat Record")</f>
        <v/>
      </c>
      <c r="AU1074" t="inlineStr">
        <is>
          <t>197420738:eng</t>
        </is>
      </c>
      <c r="AV1074" t="inlineStr">
        <is>
          <t>8052584</t>
        </is>
      </c>
      <c r="AW1074" t="inlineStr">
        <is>
          <t>991003506819702656</t>
        </is>
      </c>
      <c r="AX1074" t="inlineStr">
        <is>
          <t>991003506819702656</t>
        </is>
      </c>
      <c r="AY1074" t="inlineStr">
        <is>
          <t>2256326380002656</t>
        </is>
      </c>
      <c r="AZ1074" t="inlineStr">
        <is>
          <t>BOOK</t>
        </is>
      </c>
      <c r="BB1074" t="inlineStr">
        <is>
          <t>9780195031294</t>
        </is>
      </c>
      <c r="BC1074" t="inlineStr">
        <is>
          <t>32285004319082</t>
        </is>
      </c>
      <c r="BD1074" t="inlineStr">
        <is>
          <t>893342633</t>
        </is>
      </c>
    </row>
    <row r="1075">
      <c r="A1075" t="inlineStr">
        <is>
          <t>No</t>
        </is>
      </c>
      <c r="B1075" t="inlineStr">
        <is>
          <t>DG271 .W34 1969</t>
        </is>
      </c>
      <c r="C1075" t="inlineStr">
        <is>
          <t>0                      DG 0271000W  34          1969</t>
        </is>
      </c>
      <c r="D1075" t="inlineStr">
        <is>
          <t>The awful revolution: the decline of the Roman Empire in the West [by] F.W. Walbank.</t>
        </is>
      </c>
      <c r="F1075" t="inlineStr">
        <is>
          <t>No</t>
        </is>
      </c>
      <c r="G1075" t="inlineStr">
        <is>
          <t>1</t>
        </is>
      </c>
      <c r="H1075" t="inlineStr">
        <is>
          <t>No</t>
        </is>
      </c>
      <c r="I1075" t="inlineStr">
        <is>
          <t>No</t>
        </is>
      </c>
      <c r="J1075" t="inlineStr">
        <is>
          <t>0</t>
        </is>
      </c>
      <c r="K1075" t="inlineStr">
        <is>
          <t>Walbank, F. W. (Frank William), 1909-2008.</t>
        </is>
      </c>
      <c r="L1075" t="inlineStr">
        <is>
          <t>[Toronto] University of Toronto, 1969.</t>
        </is>
      </c>
      <c r="M1075" t="inlineStr">
        <is>
          <t>1969</t>
        </is>
      </c>
      <c r="N1075" t="inlineStr">
        <is>
          <t>[New ed.].</t>
        </is>
      </c>
      <c r="O1075" t="inlineStr">
        <is>
          <t>eng</t>
        </is>
      </c>
      <c r="P1075" t="inlineStr">
        <is>
          <t>onc</t>
        </is>
      </c>
      <c r="R1075" t="inlineStr">
        <is>
          <t xml:space="preserve">DG </t>
        </is>
      </c>
      <c r="S1075" t="n">
        <v>2</v>
      </c>
      <c r="T1075" t="n">
        <v>2</v>
      </c>
      <c r="U1075" t="inlineStr">
        <is>
          <t>2009-03-09</t>
        </is>
      </c>
      <c r="V1075" t="inlineStr">
        <is>
          <t>2009-03-09</t>
        </is>
      </c>
      <c r="W1075" t="inlineStr">
        <is>
          <t>1997-02-04</t>
        </is>
      </c>
      <c r="X1075" t="inlineStr">
        <is>
          <t>1997-02-04</t>
        </is>
      </c>
      <c r="Y1075" t="n">
        <v>336</v>
      </c>
      <c r="Z1075" t="n">
        <v>326</v>
      </c>
      <c r="AA1075" t="n">
        <v>588</v>
      </c>
      <c r="AB1075" t="n">
        <v>4</v>
      </c>
      <c r="AC1075" t="n">
        <v>6</v>
      </c>
      <c r="AD1075" t="n">
        <v>15</v>
      </c>
      <c r="AE1075" t="n">
        <v>30</v>
      </c>
      <c r="AF1075" t="n">
        <v>6</v>
      </c>
      <c r="AG1075" t="n">
        <v>10</v>
      </c>
      <c r="AH1075" t="n">
        <v>1</v>
      </c>
      <c r="AI1075" t="n">
        <v>7</v>
      </c>
      <c r="AJ1075" t="n">
        <v>9</v>
      </c>
      <c r="AK1075" t="n">
        <v>18</v>
      </c>
      <c r="AL1075" t="n">
        <v>2</v>
      </c>
      <c r="AM1075" t="n">
        <v>4</v>
      </c>
      <c r="AN1075" t="n">
        <v>0</v>
      </c>
      <c r="AO1075" t="n">
        <v>0</v>
      </c>
      <c r="AP1075" t="inlineStr">
        <is>
          <t>No</t>
        </is>
      </c>
      <c r="AQ1075" t="inlineStr">
        <is>
          <t>Yes</t>
        </is>
      </c>
      <c r="AR1075">
        <f>HYPERLINK("http://catalog.hathitrust.org/Record/000349640","HathiTrust Record")</f>
        <v/>
      </c>
      <c r="AS1075">
        <f>HYPERLINK("https://creighton-primo.hosted.exlibrisgroup.com/primo-explore/search?tab=default_tab&amp;search_scope=EVERYTHING&amp;vid=01CRU&amp;lang=en_US&amp;offset=0&amp;query=any,contains,991002483619702656","Catalog Record")</f>
        <v/>
      </c>
      <c r="AT1075">
        <f>HYPERLINK("http://www.worldcat.org/oclc/360396","WorldCat Record")</f>
        <v/>
      </c>
      <c r="AU1075" t="inlineStr">
        <is>
          <t>197672643:eng</t>
        </is>
      </c>
      <c r="AV1075" t="inlineStr">
        <is>
          <t>360396</t>
        </is>
      </c>
      <c r="AW1075" t="inlineStr">
        <is>
          <t>991002483619702656</t>
        </is>
      </c>
      <c r="AX1075" t="inlineStr">
        <is>
          <t>991002483619702656</t>
        </is>
      </c>
      <c r="AY1075" t="inlineStr">
        <is>
          <t>2263845890002656</t>
        </is>
      </c>
      <c r="AZ1075" t="inlineStr">
        <is>
          <t>BOOK</t>
        </is>
      </c>
      <c r="BC1075" t="inlineStr">
        <is>
          <t>32285002420692</t>
        </is>
      </c>
      <c r="BD1075" t="inlineStr">
        <is>
          <t>893721489</t>
        </is>
      </c>
    </row>
    <row r="1076">
      <c r="A1076" t="inlineStr">
        <is>
          <t>No</t>
        </is>
      </c>
      <c r="B1076" t="inlineStr">
        <is>
          <t>DG272 .H3</t>
        </is>
      </c>
      <c r="C1076" t="inlineStr">
        <is>
          <t>0                      DG 0272000H  3</t>
        </is>
      </c>
      <c r="D1076" t="inlineStr">
        <is>
          <t>Imperial Rome / by Moses Hadas and the editors of Time-Life books.</t>
        </is>
      </c>
      <c r="F1076" t="inlineStr">
        <is>
          <t>No</t>
        </is>
      </c>
      <c r="G1076" t="inlineStr">
        <is>
          <t>1</t>
        </is>
      </c>
      <c r="H1076" t="inlineStr">
        <is>
          <t>No</t>
        </is>
      </c>
      <c r="I1076" t="inlineStr">
        <is>
          <t>No</t>
        </is>
      </c>
      <c r="J1076" t="inlineStr">
        <is>
          <t>0</t>
        </is>
      </c>
      <c r="K1076" t="inlineStr">
        <is>
          <t>Hadas, Moses, 1900-1966.</t>
        </is>
      </c>
      <c r="L1076" t="inlineStr">
        <is>
          <t>New York : Time, inc., [1965]</t>
        </is>
      </c>
      <c r="M1076" t="inlineStr">
        <is>
          <t>1965</t>
        </is>
      </c>
      <c r="O1076" t="inlineStr">
        <is>
          <t>eng</t>
        </is>
      </c>
      <c r="P1076" t="inlineStr">
        <is>
          <t>nyu</t>
        </is>
      </c>
      <c r="Q1076" t="inlineStr">
        <is>
          <t>Great ages of man</t>
        </is>
      </c>
      <c r="R1076" t="inlineStr">
        <is>
          <t xml:space="preserve">DG </t>
        </is>
      </c>
      <c r="S1076" t="n">
        <v>3</v>
      </c>
      <c r="T1076" t="n">
        <v>3</v>
      </c>
      <c r="U1076" t="inlineStr">
        <is>
          <t>2001-11-20</t>
        </is>
      </c>
      <c r="V1076" t="inlineStr">
        <is>
          <t>2001-11-20</t>
        </is>
      </c>
      <c r="W1076" t="inlineStr">
        <is>
          <t>1995-03-23</t>
        </is>
      </c>
      <c r="X1076" t="inlineStr">
        <is>
          <t>1995-03-23</t>
        </is>
      </c>
      <c r="Y1076" t="n">
        <v>2778</v>
      </c>
      <c r="Z1076" t="n">
        <v>2613</v>
      </c>
      <c r="AA1076" t="n">
        <v>2741</v>
      </c>
      <c r="AB1076" t="n">
        <v>26</v>
      </c>
      <c r="AC1076" t="n">
        <v>27</v>
      </c>
      <c r="AD1076" t="n">
        <v>46</v>
      </c>
      <c r="AE1076" t="n">
        <v>48</v>
      </c>
      <c r="AF1076" t="n">
        <v>19</v>
      </c>
      <c r="AG1076" t="n">
        <v>20</v>
      </c>
      <c r="AH1076" t="n">
        <v>8</v>
      </c>
      <c r="AI1076" t="n">
        <v>9</v>
      </c>
      <c r="AJ1076" t="n">
        <v>21</v>
      </c>
      <c r="AK1076" t="n">
        <v>22</v>
      </c>
      <c r="AL1076" t="n">
        <v>8</v>
      </c>
      <c r="AM1076" t="n">
        <v>8</v>
      </c>
      <c r="AN1076" t="n">
        <v>0</v>
      </c>
      <c r="AO1076" t="n">
        <v>0</v>
      </c>
      <c r="AP1076" t="inlineStr">
        <is>
          <t>No</t>
        </is>
      </c>
      <c r="AQ1076" t="inlineStr">
        <is>
          <t>Yes</t>
        </is>
      </c>
      <c r="AR1076">
        <f>HYPERLINK("http://catalog.hathitrust.org/Record/000347684","HathiTrust Record")</f>
        <v/>
      </c>
      <c r="AS1076">
        <f>HYPERLINK("https://creighton-primo.hosted.exlibrisgroup.com/primo-explore/search?tab=default_tab&amp;search_scope=EVERYTHING&amp;vid=01CRU&amp;lang=en_US&amp;offset=0&amp;query=any,contains,991002742759702656","Catalog Record")</f>
        <v/>
      </c>
      <c r="AT1076">
        <f>HYPERLINK("http://www.worldcat.org/oclc/421683","WorldCat Record")</f>
        <v/>
      </c>
      <c r="AU1076" t="inlineStr">
        <is>
          <t>447940:eng</t>
        </is>
      </c>
      <c r="AV1076" t="inlineStr">
        <is>
          <t>421683</t>
        </is>
      </c>
      <c r="AW1076" t="inlineStr">
        <is>
          <t>991002742759702656</t>
        </is>
      </c>
      <c r="AX1076" t="inlineStr">
        <is>
          <t>991002742759702656</t>
        </is>
      </c>
      <c r="AY1076" t="inlineStr">
        <is>
          <t>2267604360002656</t>
        </is>
      </c>
      <c r="AZ1076" t="inlineStr">
        <is>
          <t>BOOK</t>
        </is>
      </c>
      <c r="BC1076" t="inlineStr">
        <is>
          <t>32285002013851</t>
        </is>
      </c>
      <c r="BD1076" t="inlineStr">
        <is>
          <t>893892926</t>
        </is>
      </c>
    </row>
    <row r="1077">
      <c r="A1077" t="inlineStr">
        <is>
          <t>No</t>
        </is>
      </c>
      <c r="B1077" t="inlineStr">
        <is>
          <t>DG272 .M55313 1981</t>
        </is>
      </c>
      <c r="C1077" t="inlineStr">
        <is>
          <t>0                      DG 0272000M  55313       1981</t>
        </is>
      </c>
      <c r="D1077" t="inlineStr">
        <is>
          <t>The Roman Empire and its neighbours / Fergus Millar; with contributions by Richard N. Frye ... [et al.]</t>
        </is>
      </c>
      <c r="F1077" t="inlineStr">
        <is>
          <t>No</t>
        </is>
      </c>
      <c r="G1077" t="inlineStr">
        <is>
          <t>1</t>
        </is>
      </c>
      <c r="H1077" t="inlineStr">
        <is>
          <t>No</t>
        </is>
      </c>
      <c r="I1077" t="inlineStr">
        <is>
          <t>No</t>
        </is>
      </c>
      <c r="J1077" t="inlineStr">
        <is>
          <t>0</t>
        </is>
      </c>
      <c r="K1077" t="inlineStr">
        <is>
          <t>Millar, Fergus.</t>
        </is>
      </c>
      <c r="L1077" t="inlineStr">
        <is>
          <t>New York : Holmes &amp; Meier, 1981, c1967.</t>
        </is>
      </c>
      <c r="M1077" t="inlineStr">
        <is>
          <t>1981</t>
        </is>
      </c>
      <c r="N1077" t="inlineStr">
        <is>
          <t>2nd ed.</t>
        </is>
      </c>
      <c r="O1077" t="inlineStr">
        <is>
          <t>eng</t>
        </is>
      </c>
      <c r="P1077" t="inlineStr">
        <is>
          <t>nyu</t>
        </is>
      </c>
      <c r="R1077" t="inlineStr">
        <is>
          <t xml:space="preserve">DG </t>
        </is>
      </c>
      <c r="S1077" t="n">
        <v>5</v>
      </c>
      <c r="T1077" t="n">
        <v>5</v>
      </c>
      <c r="U1077" t="inlineStr">
        <is>
          <t>2007-03-31</t>
        </is>
      </c>
      <c r="V1077" t="inlineStr">
        <is>
          <t>2007-03-31</t>
        </is>
      </c>
      <c r="W1077" t="inlineStr">
        <is>
          <t>1992-05-14</t>
        </is>
      </c>
      <c r="X1077" t="inlineStr">
        <is>
          <t>1992-05-14</t>
        </is>
      </c>
      <c r="Y1077" t="n">
        <v>185</v>
      </c>
      <c r="Z1077" t="n">
        <v>161</v>
      </c>
      <c r="AA1077" t="n">
        <v>564</v>
      </c>
      <c r="AB1077" t="n">
        <v>1</v>
      </c>
      <c r="AC1077" t="n">
        <v>5</v>
      </c>
      <c r="AD1077" t="n">
        <v>9</v>
      </c>
      <c r="AE1077" t="n">
        <v>29</v>
      </c>
      <c r="AF1077" t="n">
        <v>4</v>
      </c>
      <c r="AG1077" t="n">
        <v>12</v>
      </c>
      <c r="AH1077" t="n">
        <v>4</v>
      </c>
      <c r="AI1077" t="n">
        <v>7</v>
      </c>
      <c r="AJ1077" t="n">
        <v>6</v>
      </c>
      <c r="AK1077" t="n">
        <v>15</v>
      </c>
      <c r="AL1077" t="n">
        <v>0</v>
      </c>
      <c r="AM1077" t="n">
        <v>4</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HYPERLINK("https://creighton-primo.hosted.exlibrisgroup.com/primo-explore/search?tab=default_tab&amp;search_scope=EVERYTHING&amp;vid=01CRU&amp;lang=en_US&amp;offset=0&amp;query=any,contains,991005163459702656","Catalog Record")</f>
        <v/>
      </c>
      <c r="AT1077">
        <f>HYPERLINK("http://www.worldcat.org/oclc/7810696","WorldCat Record")</f>
        <v/>
      </c>
      <c r="AU1077" t="inlineStr">
        <is>
          <t>9593318595:eng</t>
        </is>
      </c>
      <c r="AV1077" t="inlineStr">
        <is>
          <t>7810696</t>
        </is>
      </c>
      <c r="AW1077" t="inlineStr">
        <is>
          <t>991005163459702656</t>
        </is>
      </c>
      <c r="AX1077" t="inlineStr">
        <is>
          <t>991005163459702656</t>
        </is>
      </c>
      <c r="AY1077" t="inlineStr">
        <is>
          <t>2264123080002656</t>
        </is>
      </c>
      <c r="AZ1077" t="inlineStr">
        <is>
          <t>BOOK</t>
        </is>
      </c>
      <c r="BB1077" t="inlineStr">
        <is>
          <t>9780841907119</t>
        </is>
      </c>
      <c r="BC1077" t="inlineStr">
        <is>
          <t>32285001110146</t>
        </is>
      </c>
      <c r="BD1077" t="inlineStr">
        <is>
          <t>893713551</t>
        </is>
      </c>
    </row>
    <row r="1078">
      <c r="A1078" t="inlineStr">
        <is>
          <t>No</t>
        </is>
      </c>
      <c r="B1078" t="inlineStr">
        <is>
          <t>DG274 .G69 1997</t>
        </is>
      </c>
      <c r="C1078" t="inlineStr">
        <is>
          <t>0                      DG 0274000G  69          1997</t>
        </is>
      </c>
      <c r="D1078" t="inlineStr">
        <is>
          <t>I, Caesar : ruling the Roman Empire / Phil Grabsky ; specialist research and introduction by Philip Rance.</t>
        </is>
      </c>
      <c r="F1078" t="inlineStr">
        <is>
          <t>No</t>
        </is>
      </c>
      <c r="G1078" t="inlineStr">
        <is>
          <t>1</t>
        </is>
      </c>
      <c r="H1078" t="inlineStr">
        <is>
          <t>No</t>
        </is>
      </c>
      <c r="I1078" t="inlineStr">
        <is>
          <t>No</t>
        </is>
      </c>
      <c r="J1078" t="inlineStr">
        <is>
          <t>0</t>
        </is>
      </c>
      <c r="K1078" t="inlineStr">
        <is>
          <t>Grabsky, Phil.</t>
        </is>
      </c>
      <c r="L1078" t="inlineStr">
        <is>
          <t>Parkwest, N.Y. : BBC Books, 1997.</t>
        </is>
      </c>
      <c r="M1078" t="inlineStr">
        <is>
          <t>1997</t>
        </is>
      </c>
      <c r="O1078" t="inlineStr">
        <is>
          <t>eng</t>
        </is>
      </c>
      <c r="P1078" t="inlineStr">
        <is>
          <t>nyu</t>
        </is>
      </c>
      <c r="R1078" t="inlineStr">
        <is>
          <t xml:space="preserve">DG </t>
        </is>
      </c>
      <c r="S1078" t="n">
        <v>7</v>
      </c>
      <c r="T1078" t="n">
        <v>7</v>
      </c>
      <c r="U1078" t="inlineStr">
        <is>
          <t>2002-02-16</t>
        </is>
      </c>
      <c r="V1078" t="inlineStr">
        <is>
          <t>2002-02-16</t>
        </is>
      </c>
      <c r="W1078" t="inlineStr">
        <is>
          <t>1998-08-26</t>
        </is>
      </c>
      <c r="X1078" t="inlineStr">
        <is>
          <t>1998-08-26</t>
        </is>
      </c>
      <c r="Y1078" t="n">
        <v>215</v>
      </c>
      <c r="Z1078" t="n">
        <v>203</v>
      </c>
      <c r="AA1078" t="n">
        <v>269</v>
      </c>
      <c r="AB1078" t="n">
        <v>3</v>
      </c>
      <c r="AC1078" t="n">
        <v>3</v>
      </c>
      <c r="AD1078" t="n">
        <v>2</v>
      </c>
      <c r="AE1078" t="n">
        <v>3</v>
      </c>
      <c r="AF1078" t="n">
        <v>0</v>
      </c>
      <c r="AG1078" t="n">
        <v>0</v>
      </c>
      <c r="AH1078" t="n">
        <v>1</v>
      </c>
      <c r="AI1078" t="n">
        <v>1</v>
      </c>
      <c r="AJ1078" t="n">
        <v>1</v>
      </c>
      <c r="AK1078" t="n">
        <v>2</v>
      </c>
      <c r="AL1078" t="n">
        <v>1</v>
      </c>
      <c r="AM1078" t="n">
        <v>1</v>
      </c>
      <c r="AN1078" t="n">
        <v>0</v>
      </c>
      <c r="AO1078" t="n">
        <v>0</v>
      </c>
      <c r="AP1078" t="inlineStr">
        <is>
          <t>No</t>
        </is>
      </c>
      <c r="AQ1078" t="inlineStr">
        <is>
          <t>Yes</t>
        </is>
      </c>
      <c r="AR1078">
        <f>HYPERLINK("http://catalog.hathitrust.org/Record/003263344","HathiTrust Record")</f>
        <v/>
      </c>
      <c r="AS1078">
        <f>HYPERLINK("https://creighton-primo.hosted.exlibrisgroup.com/primo-explore/search?tab=default_tab&amp;search_scope=EVERYTHING&amp;vid=01CRU&amp;lang=en_US&amp;offset=0&amp;query=any,contains,991002890819702656","Catalog Record")</f>
        <v/>
      </c>
      <c r="AT1078">
        <f>HYPERLINK("http://www.worldcat.org/oclc/38090383","WorldCat Record")</f>
        <v/>
      </c>
      <c r="AU1078" t="inlineStr">
        <is>
          <t>562809:eng</t>
        </is>
      </c>
      <c r="AV1078" t="inlineStr">
        <is>
          <t>38090383</t>
        </is>
      </c>
      <c r="AW1078" t="inlineStr">
        <is>
          <t>991002890819702656</t>
        </is>
      </c>
      <c r="AX1078" t="inlineStr">
        <is>
          <t>991002890819702656</t>
        </is>
      </c>
      <c r="AY1078" t="inlineStr">
        <is>
          <t>2271432810002656</t>
        </is>
      </c>
      <c r="AZ1078" t="inlineStr">
        <is>
          <t>BOOK</t>
        </is>
      </c>
      <c r="BB1078" t="inlineStr">
        <is>
          <t>9780563387251</t>
        </is>
      </c>
      <c r="BC1078" t="inlineStr">
        <is>
          <t>32285003463139</t>
        </is>
      </c>
      <c r="BD1078" t="inlineStr">
        <is>
          <t>893692133</t>
        </is>
      </c>
    </row>
    <row r="1079">
      <c r="A1079" t="inlineStr">
        <is>
          <t>No</t>
        </is>
      </c>
      <c r="B1079" t="inlineStr">
        <is>
          <t>DG274 .M3 1984</t>
        </is>
      </c>
      <c r="C1079" t="inlineStr">
        <is>
          <t>0                      DG 0274000M  3           1984</t>
        </is>
      </c>
      <c r="D1079" t="inlineStr">
        <is>
          <t>The Caesars / Allan Massie.</t>
        </is>
      </c>
      <c r="F1079" t="inlineStr">
        <is>
          <t>No</t>
        </is>
      </c>
      <c r="G1079" t="inlineStr">
        <is>
          <t>1</t>
        </is>
      </c>
      <c r="H1079" t="inlineStr">
        <is>
          <t>No</t>
        </is>
      </c>
      <c r="I1079" t="inlineStr">
        <is>
          <t>No</t>
        </is>
      </c>
      <c r="J1079" t="inlineStr">
        <is>
          <t>0</t>
        </is>
      </c>
      <c r="K1079" t="inlineStr">
        <is>
          <t>Massie, Allan, 1938-</t>
        </is>
      </c>
      <c r="L1079" t="inlineStr">
        <is>
          <t>New York : Franklin Watts, 1984.</t>
        </is>
      </c>
      <c r="M1079" t="inlineStr">
        <is>
          <t>1984</t>
        </is>
      </c>
      <c r="O1079" t="inlineStr">
        <is>
          <t>eng</t>
        </is>
      </c>
      <c r="P1079" t="inlineStr">
        <is>
          <t>nyu</t>
        </is>
      </c>
      <c r="R1079" t="inlineStr">
        <is>
          <t xml:space="preserve">DG </t>
        </is>
      </c>
      <c r="S1079" t="n">
        <v>5</v>
      </c>
      <c r="T1079" t="n">
        <v>5</v>
      </c>
      <c r="U1079" t="inlineStr">
        <is>
          <t>1999-03-24</t>
        </is>
      </c>
      <c r="V1079" t="inlineStr">
        <is>
          <t>1999-03-24</t>
        </is>
      </c>
      <c r="W1079" t="inlineStr">
        <is>
          <t>1990-07-09</t>
        </is>
      </c>
      <c r="X1079" t="inlineStr">
        <is>
          <t>1990-07-09</t>
        </is>
      </c>
      <c r="Y1079" t="n">
        <v>329</v>
      </c>
      <c r="Z1079" t="n">
        <v>328</v>
      </c>
      <c r="AA1079" t="n">
        <v>402</v>
      </c>
      <c r="AB1079" t="n">
        <v>2</v>
      </c>
      <c r="AC1079" t="n">
        <v>2</v>
      </c>
      <c r="AD1079" t="n">
        <v>5</v>
      </c>
      <c r="AE1079" t="n">
        <v>5</v>
      </c>
      <c r="AF1079" t="n">
        <v>1</v>
      </c>
      <c r="AG1079" t="n">
        <v>1</v>
      </c>
      <c r="AH1079" t="n">
        <v>3</v>
      </c>
      <c r="AI1079" t="n">
        <v>3</v>
      </c>
      <c r="AJ1079" t="n">
        <v>3</v>
      </c>
      <c r="AK1079" t="n">
        <v>3</v>
      </c>
      <c r="AL1079" t="n">
        <v>0</v>
      </c>
      <c r="AM1079" t="n">
        <v>0</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HYPERLINK("https://creighton-primo.hosted.exlibrisgroup.com/primo-explore/search?tab=default_tab&amp;search_scope=EVERYTHING&amp;vid=01CRU&amp;lang=en_US&amp;offset=0&amp;query=any,contains,991000369589702656","Catalog Record")</f>
        <v/>
      </c>
      <c r="AT1079">
        <f>HYPERLINK("http://www.worldcat.org/oclc/11866948","WorldCat Record")</f>
        <v/>
      </c>
      <c r="AU1079" t="inlineStr">
        <is>
          <t>3901047867:eng</t>
        </is>
      </c>
      <c r="AV1079" t="inlineStr">
        <is>
          <t>11866948</t>
        </is>
      </c>
      <c r="AW1079" t="inlineStr">
        <is>
          <t>991000369589702656</t>
        </is>
      </c>
      <c r="AX1079" t="inlineStr">
        <is>
          <t>991000369589702656</t>
        </is>
      </c>
      <c r="AY1079" t="inlineStr">
        <is>
          <t>2269196650002656</t>
        </is>
      </c>
      <c r="AZ1079" t="inlineStr">
        <is>
          <t>BOOK</t>
        </is>
      </c>
      <c r="BC1079" t="inlineStr">
        <is>
          <t>32285000226786</t>
        </is>
      </c>
      <c r="BD1079" t="inlineStr">
        <is>
          <t>893614119</t>
        </is>
      </c>
    </row>
    <row r="1080">
      <c r="A1080" t="inlineStr">
        <is>
          <t>No</t>
        </is>
      </c>
      <c r="B1080" t="inlineStr">
        <is>
          <t>DG274 .S24</t>
        </is>
      </c>
      <c r="C1080" t="inlineStr">
        <is>
          <t>0                      DG 0274000S  24</t>
        </is>
      </c>
      <c r="D1080" t="inlineStr">
        <is>
          <t>The Caesars: the Roman Empire and its rulers [by] Henry Marsh.</t>
        </is>
      </c>
      <c r="F1080" t="inlineStr">
        <is>
          <t>No</t>
        </is>
      </c>
      <c r="G1080" t="inlineStr">
        <is>
          <t>1</t>
        </is>
      </c>
      <c r="H1080" t="inlineStr">
        <is>
          <t>No</t>
        </is>
      </c>
      <c r="I1080" t="inlineStr">
        <is>
          <t>No</t>
        </is>
      </c>
      <c r="J1080" t="inlineStr">
        <is>
          <t>0</t>
        </is>
      </c>
      <c r="K1080" t="inlineStr">
        <is>
          <t>Marsh, Henry, 1911-1976.</t>
        </is>
      </c>
      <c r="L1080" t="inlineStr">
        <is>
          <t>Newton Abbot, David and Charles, 1972.</t>
        </is>
      </c>
      <c r="M1080" t="inlineStr">
        <is>
          <t>1972</t>
        </is>
      </c>
      <c r="O1080" t="inlineStr">
        <is>
          <t>eng</t>
        </is>
      </c>
      <c r="P1080" t="inlineStr">
        <is>
          <t>enk</t>
        </is>
      </c>
      <c r="R1080" t="inlineStr">
        <is>
          <t xml:space="preserve">DG </t>
        </is>
      </c>
      <c r="S1080" t="n">
        <v>4</v>
      </c>
      <c r="T1080" t="n">
        <v>4</v>
      </c>
      <c r="U1080" t="inlineStr">
        <is>
          <t>1999-07-23</t>
        </is>
      </c>
      <c r="V1080" t="inlineStr">
        <is>
          <t>1999-07-23</t>
        </is>
      </c>
      <c r="W1080" t="inlineStr">
        <is>
          <t>1997-02-04</t>
        </is>
      </c>
      <c r="X1080" t="inlineStr">
        <is>
          <t>1997-02-04</t>
        </is>
      </c>
      <c r="Y1080" t="n">
        <v>166</v>
      </c>
      <c r="Z1080" t="n">
        <v>88</v>
      </c>
      <c r="AA1080" t="n">
        <v>366</v>
      </c>
      <c r="AB1080" t="n">
        <v>1</v>
      </c>
      <c r="AC1080" t="n">
        <v>2</v>
      </c>
      <c r="AD1080" t="n">
        <v>6</v>
      </c>
      <c r="AE1080" t="n">
        <v>10</v>
      </c>
      <c r="AF1080" t="n">
        <v>1</v>
      </c>
      <c r="AG1080" t="n">
        <v>1</v>
      </c>
      <c r="AH1080" t="n">
        <v>2</v>
      </c>
      <c r="AI1080" t="n">
        <v>4</v>
      </c>
      <c r="AJ1080" t="n">
        <v>4</v>
      </c>
      <c r="AK1080" t="n">
        <v>5</v>
      </c>
      <c r="AL1080" t="n">
        <v>0</v>
      </c>
      <c r="AM1080" t="n">
        <v>1</v>
      </c>
      <c r="AN1080" t="n">
        <v>0</v>
      </c>
      <c r="AO1080" t="n">
        <v>0</v>
      </c>
      <c r="AP1080" t="inlineStr">
        <is>
          <t>No</t>
        </is>
      </c>
      <c r="AQ1080" t="inlineStr">
        <is>
          <t>Yes</t>
        </is>
      </c>
      <c r="AR1080">
        <f>HYPERLINK("http://catalog.hathitrust.org/Record/000006542","HathiTrust Record")</f>
        <v/>
      </c>
      <c r="AS1080">
        <f>HYPERLINK("https://creighton-primo.hosted.exlibrisgroup.com/primo-explore/search?tab=default_tab&amp;search_scope=EVERYTHING&amp;vid=01CRU&amp;lang=en_US&amp;offset=0&amp;query=any,contains,991002886579702656","Catalog Record")</f>
        <v/>
      </c>
      <c r="AT1080">
        <f>HYPERLINK("http://www.worldcat.org/oclc/508679","WorldCat Record")</f>
        <v/>
      </c>
      <c r="AU1080" t="inlineStr">
        <is>
          <t>1463268:eng</t>
        </is>
      </c>
      <c r="AV1080" t="inlineStr">
        <is>
          <t>508679</t>
        </is>
      </c>
      <c r="AW1080" t="inlineStr">
        <is>
          <t>991002886579702656</t>
        </is>
      </c>
      <c r="AX1080" t="inlineStr">
        <is>
          <t>991002886579702656</t>
        </is>
      </c>
      <c r="AY1080" t="inlineStr">
        <is>
          <t>2261186290002656</t>
        </is>
      </c>
      <c r="AZ1080" t="inlineStr">
        <is>
          <t>BOOK</t>
        </is>
      </c>
      <c r="BB1080" t="inlineStr">
        <is>
          <t>9780715355671</t>
        </is>
      </c>
      <c r="BC1080" t="inlineStr">
        <is>
          <t>32285002420700</t>
        </is>
      </c>
      <c r="BD1080" t="inlineStr">
        <is>
          <t>893251745</t>
        </is>
      </c>
    </row>
    <row r="1081">
      <c r="A1081" t="inlineStr">
        <is>
          <t>No</t>
        </is>
      </c>
      <c r="B1081" t="inlineStr">
        <is>
          <t>DG276 .A44 1998</t>
        </is>
      </c>
      <c r="C1081" t="inlineStr">
        <is>
          <t>0                      DG 0276000A  44          1998</t>
        </is>
      </c>
      <c r="D1081" t="inlineStr">
        <is>
          <t>Aspects of Roman history, AD 14-117 / Richard Alston.</t>
        </is>
      </c>
      <c r="F1081" t="inlineStr">
        <is>
          <t>No</t>
        </is>
      </c>
      <c r="G1081" t="inlineStr">
        <is>
          <t>1</t>
        </is>
      </c>
      <c r="H1081" t="inlineStr">
        <is>
          <t>No</t>
        </is>
      </c>
      <c r="I1081" t="inlineStr">
        <is>
          <t>No</t>
        </is>
      </c>
      <c r="J1081" t="inlineStr">
        <is>
          <t>0</t>
        </is>
      </c>
      <c r="K1081" t="inlineStr">
        <is>
          <t>Alston, Richard, 1965-</t>
        </is>
      </c>
      <c r="L1081" t="inlineStr">
        <is>
          <t>London ; New York : Routledge, 1998.</t>
        </is>
      </c>
      <c r="M1081" t="inlineStr">
        <is>
          <t>1998</t>
        </is>
      </c>
      <c r="O1081" t="inlineStr">
        <is>
          <t>eng</t>
        </is>
      </c>
      <c r="P1081" t="inlineStr">
        <is>
          <t>enk</t>
        </is>
      </c>
      <c r="R1081" t="inlineStr">
        <is>
          <t xml:space="preserve">DG </t>
        </is>
      </c>
      <c r="S1081" t="n">
        <v>6</v>
      </c>
      <c r="T1081" t="n">
        <v>6</v>
      </c>
      <c r="U1081" t="inlineStr">
        <is>
          <t>2003-11-24</t>
        </is>
      </c>
      <c r="V1081" t="inlineStr">
        <is>
          <t>2003-11-24</t>
        </is>
      </c>
      <c r="W1081" t="inlineStr">
        <is>
          <t>2002-04-22</t>
        </is>
      </c>
      <c r="X1081" t="inlineStr">
        <is>
          <t>2002-04-22</t>
        </is>
      </c>
      <c r="Y1081" t="n">
        <v>343</v>
      </c>
      <c r="Z1081" t="n">
        <v>223</v>
      </c>
      <c r="AA1081" t="n">
        <v>231</v>
      </c>
      <c r="AB1081" t="n">
        <v>1</v>
      </c>
      <c r="AC1081" t="n">
        <v>1</v>
      </c>
      <c r="AD1081" t="n">
        <v>9</v>
      </c>
      <c r="AE1081" t="n">
        <v>9</v>
      </c>
      <c r="AF1081" t="n">
        <v>3</v>
      </c>
      <c r="AG1081" t="n">
        <v>3</v>
      </c>
      <c r="AH1081" t="n">
        <v>3</v>
      </c>
      <c r="AI1081" t="n">
        <v>3</v>
      </c>
      <c r="AJ1081" t="n">
        <v>5</v>
      </c>
      <c r="AK1081" t="n">
        <v>5</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HYPERLINK("https://creighton-primo.hosted.exlibrisgroup.com/primo-explore/search?tab=default_tab&amp;search_scope=EVERYTHING&amp;vid=01CRU&amp;lang=en_US&amp;offset=0&amp;query=any,contains,991003763469702656","Catalog Record")</f>
        <v/>
      </c>
      <c r="AT1081">
        <f>HYPERLINK("http://www.worldcat.org/oclc/37300596","WorldCat Record")</f>
        <v/>
      </c>
      <c r="AU1081" t="inlineStr">
        <is>
          <t>540970:eng</t>
        </is>
      </c>
      <c r="AV1081" t="inlineStr">
        <is>
          <t>37300596</t>
        </is>
      </c>
      <c r="AW1081" t="inlineStr">
        <is>
          <t>991003763469702656</t>
        </is>
      </c>
      <c r="AX1081" t="inlineStr">
        <is>
          <t>991003763469702656</t>
        </is>
      </c>
      <c r="AY1081" t="inlineStr">
        <is>
          <t>2259393130002656</t>
        </is>
      </c>
      <c r="AZ1081" t="inlineStr">
        <is>
          <t>BOOK</t>
        </is>
      </c>
      <c r="BB1081" t="inlineStr">
        <is>
          <t>9780415132367</t>
        </is>
      </c>
      <c r="BC1081" t="inlineStr">
        <is>
          <t>32285004482310</t>
        </is>
      </c>
      <c r="BD1081" t="inlineStr">
        <is>
          <t>893410654</t>
        </is>
      </c>
    </row>
    <row r="1082">
      <c r="A1082" t="inlineStr">
        <is>
          <t>No</t>
        </is>
      </c>
      <c r="B1082" t="inlineStr">
        <is>
          <t>DG276 .C234</t>
        </is>
      </c>
      <c r="C1082" t="inlineStr">
        <is>
          <t>0                      DG 0276000C  234</t>
        </is>
      </c>
      <c r="D1082" t="inlineStr">
        <is>
          <t>The Roman Empire of the second century ; or, the age of the Antonines / by W.W. Capes.</t>
        </is>
      </c>
      <c r="F1082" t="inlineStr">
        <is>
          <t>No</t>
        </is>
      </c>
      <c r="G1082" t="inlineStr">
        <is>
          <t>1</t>
        </is>
      </c>
      <c r="H1082" t="inlineStr">
        <is>
          <t>No</t>
        </is>
      </c>
      <c r="I1082" t="inlineStr">
        <is>
          <t>No</t>
        </is>
      </c>
      <c r="J1082" t="inlineStr">
        <is>
          <t>0</t>
        </is>
      </c>
      <c r="K1082" t="inlineStr">
        <is>
          <t>Capes, W. W. (William Wolfe), 1834-1914.</t>
        </is>
      </c>
      <c r="L1082" t="inlineStr">
        <is>
          <t>New York : C. Scribner's Sons, 1909.</t>
        </is>
      </c>
      <c r="M1082" t="inlineStr">
        <is>
          <t>1909</t>
        </is>
      </c>
      <c r="O1082" t="inlineStr">
        <is>
          <t>eng</t>
        </is>
      </c>
      <c r="P1082" t="inlineStr">
        <is>
          <t>nyu</t>
        </is>
      </c>
      <c r="Q1082" t="inlineStr">
        <is>
          <t>Epochs of ancient history</t>
        </is>
      </c>
      <c r="R1082" t="inlineStr">
        <is>
          <t xml:space="preserve">DG </t>
        </is>
      </c>
      <c r="S1082" t="n">
        <v>2</v>
      </c>
      <c r="T1082" t="n">
        <v>2</v>
      </c>
      <c r="U1082" t="inlineStr">
        <is>
          <t>2007-02-26</t>
        </is>
      </c>
      <c r="V1082" t="inlineStr">
        <is>
          <t>2007-02-26</t>
        </is>
      </c>
      <c r="W1082" t="inlineStr">
        <is>
          <t>1996-09-10</t>
        </is>
      </c>
      <c r="X1082" t="inlineStr">
        <is>
          <t>1996-09-10</t>
        </is>
      </c>
      <c r="Y1082" t="n">
        <v>11</v>
      </c>
      <c r="Z1082" t="n">
        <v>10</v>
      </c>
      <c r="AA1082" t="n">
        <v>305</v>
      </c>
      <c r="AB1082" t="n">
        <v>1</v>
      </c>
      <c r="AC1082" t="n">
        <v>5</v>
      </c>
      <c r="AD1082" t="n">
        <v>0</v>
      </c>
      <c r="AE1082" t="n">
        <v>13</v>
      </c>
      <c r="AF1082" t="n">
        <v>0</v>
      </c>
      <c r="AG1082" t="n">
        <v>5</v>
      </c>
      <c r="AH1082" t="n">
        <v>0</v>
      </c>
      <c r="AI1082" t="n">
        <v>2</v>
      </c>
      <c r="AJ1082" t="n">
        <v>0</v>
      </c>
      <c r="AK1082" t="n">
        <v>3</v>
      </c>
      <c r="AL1082" t="n">
        <v>0</v>
      </c>
      <c r="AM1082" t="n">
        <v>3</v>
      </c>
      <c r="AN1082" t="n">
        <v>0</v>
      </c>
      <c r="AO1082" t="n">
        <v>0</v>
      </c>
      <c r="AP1082" t="inlineStr">
        <is>
          <t>Yes</t>
        </is>
      </c>
      <c r="AQ1082" t="inlineStr">
        <is>
          <t>No</t>
        </is>
      </c>
      <c r="AR1082">
        <f>HYPERLINK("http://catalog.hathitrust.org/Record/102123618","HathiTrust Record")</f>
        <v/>
      </c>
      <c r="AS1082">
        <f>HYPERLINK("https://creighton-primo.hosted.exlibrisgroup.com/primo-explore/search?tab=default_tab&amp;search_scope=EVERYTHING&amp;vid=01CRU&amp;lang=en_US&amp;offset=0&amp;query=any,contains,991000160099702656","Catalog Record")</f>
        <v/>
      </c>
      <c r="AT1082">
        <f>HYPERLINK("http://www.worldcat.org/oclc/9264413","WorldCat Record")</f>
        <v/>
      </c>
      <c r="AU1082" t="inlineStr">
        <is>
          <t>4485279:eng</t>
        </is>
      </c>
      <c r="AV1082" t="inlineStr">
        <is>
          <t>9264413</t>
        </is>
      </c>
      <c r="AW1082" t="inlineStr">
        <is>
          <t>991000160099702656</t>
        </is>
      </c>
      <c r="AX1082" t="inlineStr">
        <is>
          <t>991000160099702656</t>
        </is>
      </c>
      <c r="AY1082" t="inlineStr">
        <is>
          <t>2265180830002656</t>
        </is>
      </c>
      <c r="AZ1082" t="inlineStr">
        <is>
          <t>BOOK</t>
        </is>
      </c>
      <c r="BC1082" t="inlineStr">
        <is>
          <t>32285002316783</t>
        </is>
      </c>
      <c r="BD1082" t="inlineStr">
        <is>
          <t>893601539</t>
        </is>
      </c>
    </row>
    <row r="1083">
      <c r="A1083" t="inlineStr">
        <is>
          <t>No</t>
        </is>
      </c>
      <c r="B1083" t="inlineStr">
        <is>
          <t>DG276 .G3713 1974</t>
        </is>
      </c>
      <c r="C1083" t="inlineStr">
        <is>
          <t>0                      DG 0276000G  3713        1974</t>
        </is>
      </c>
      <c r="D1083" t="inlineStr">
        <is>
          <t>From Tiberius to the Antonines; a history of the Roman Empire, AD 14-192; translated by J. R. Foster.</t>
        </is>
      </c>
      <c r="F1083" t="inlineStr">
        <is>
          <t>No</t>
        </is>
      </c>
      <c r="G1083" t="inlineStr">
        <is>
          <t>1</t>
        </is>
      </c>
      <c r="H1083" t="inlineStr">
        <is>
          <t>No</t>
        </is>
      </c>
      <c r="I1083" t="inlineStr">
        <is>
          <t>No</t>
        </is>
      </c>
      <c r="J1083" t="inlineStr">
        <is>
          <t>0</t>
        </is>
      </c>
      <c r="K1083" t="inlineStr">
        <is>
          <t>Garzetti, Albino, 1914-1998.</t>
        </is>
      </c>
      <c r="L1083" t="inlineStr">
        <is>
          <t>London, Methuen [1974]</t>
        </is>
      </c>
      <c r="M1083" t="inlineStr">
        <is>
          <t>1974</t>
        </is>
      </c>
      <c r="O1083" t="inlineStr">
        <is>
          <t>eng</t>
        </is>
      </c>
      <c r="P1083" t="inlineStr">
        <is>
          <t>enk</t>
        </is>
      </c>
      <c r="R1083" t="inlineStr">
        <is>
          <t xml:space="preserve">DG </t>
        </is>
      </c>
      <c r="S1083" t="n">
        <v>10</v>
      </c>
      <c r="T1083" t="n">
        <v>10</v>
      </c>
      <c r="U1083" t="inlineStr">
        <is>
          <t>2009-10-01</t>
        </is>
      </c>
      <c r="V1083" t="inlineStr">
        <is>
          <t>2009-10-01</t>
        </is>
      </c>
      <c r="W1083" t="inlineStr">
        <is>
          <t>1997-02-04</t>
        </is>
      </c>
      <c r="X1083" t="inlineStr">
        <is>
          <t>1997-02-04</t>
        </is>
      </c>
      <c r="Y1083" t="n">
        <v>744</v>
      </c>
      <c r="Z1083" t="n">
        <v>569</v>
      </c>
      <c r="AA1083" t="n">
        <v>591</v>
      </c>
      <c r="AB1083" t="n">
        <v>4</v>
      </c>
      <c r="AC1083" t="n">
        <v>5</v>
      </c>
      <c r="AD1083" t="n">
        <v>27</v>
      </c>
      <c r="AE1083" t="n">
        <v>31</v>
      </c>
      <c r="AF1083" t="n">
        <v>9</v>
      </c>
      <c r="AG1083" t="n">
        <v>12</v>
      </c>
      <c r="AH1083" t="n">
        <v>9</v>
      </c>
      <c r="AI1083" t="n">
        <v>9</v>
      </c>
      <c r="AJ1083" t="n">
        <v>14</v>
      </c>
      <c r="AK1083" t="n">
        <v>16</v>
      </c>
      <c r="AL1083" t="n">
        <v>3</v>
      </c>
      <c r="AM1083" t="n">
        <v>4</v>
      </c>
      <c r="AN1083" t="n">
        <v>0</v>
      </c>
      <c r="AO1083" t="n">
        <v>0</v>
      </c>
      <c r="AP1083" t="inlineStr">
        <is>
          <t>No</t>
        </is>
      </c>
      <c r="AQ1083" t="inlineStr">
        <is>
          <t>Yes</t>
        </is>
      </c>
      <c r="AR1083">
        <f>HYPERLINK("http://catalog.hathitrust.org/Record/000650944","HathiTrust Record")</f>
        <v/>
      </c>
      <c r="AS1083">
        <f>HYPERLINK("https://creighton-primo.hosted.exlibrisgroup.com/primo-explore/search?tab=default_tab&amp;search_scope=EVERYTHING&amp;vid=01CRU&amp;lang=en_US&amp;offset=0&amp;query=any,contains,991003449519702656","Catalog Record")</f>
        <v/>
      </c>
      <c r="AT1083">
        <f>HYPERLINK("http://www.worldcat.org/oclc/985837","WorldCat Record")</f>
        <v/>
      </c>
      <c r="AU1083" t="inlineStr">
        <is>
          <t>918408803:eng</t>
        </is>
      </c>
      <c r="AV1083" t="inlineStr">
        <is>
          <t>985837</t>
        </is>
      </c>
      <c r="AW1083" t="inlineStr">
        <is>
          <t>991003449519702656</t>
        </is>
      </c>
      <c r="AX1083" t="inlineStr">
        <is>
          <t>991003449519702656</t>
        </is>
      </c>
      <c r="AY1083" t="inlineStr">
        <is>
          <t>2271377290002656</t>
        </is>
      </c>
      <c r="AZ1083" t="inlineStr">
        <is>
          <t>BOOK</t>
        </is>
      </c>
      <c r="BB1083" t="inlineStr">
        <is>
          <t>9780416168006</t>
        </is>
      </c>
      <c r="BC1083" t="inlineStr">
        <is>
          <t>32285002420726</t>
        </is>
      </c>
      <c r="BD1083" t="inlineStr">
        <is>
          <t>893787323</t>
        </is>
      </c>
    </row>
    <row r="1084">
      <c r="A1084" t="inlineStr">
        <is>
          <t>No</t>
        </is>
      </c>
      <c r="B1084" t="inlineStr">
        <is>
          <t>DG276.5 .C26 1984</t>
        </is>
      </c>
      <c r="C1084" t="inlineStr">
        <is>
          <t>0                      DG 0276500C  26          1984</t>
        </is>
      </c>
      <c r="D1084" t="inlineStr">
        <is>
          <t>The Emperor and the Roman Army, 31 BC-AD 235 / J.B. Campbell.</t>
        </is>
      </c>
      <c r="F1084" t="inlineStr">
        <is>
          <t>No</t>
        </is>
      </c>
      <c r="G1084" t="inlineStr">
        <is>
          <t>1</t>
        </is>
      </c>
      <c r="H1084" t="inlineStr">
        <is>
          <t>No</t>
        </is>
      </c>
      <c r="I1084" t="inlineStr">
        <is>
          <t>No</t>
        </is>
      </c>
      <c r="J1084" t="inlineStr">
        <is>
          <t>0</t>
        </is>
      </c>
      <c r="K1084" t="inlineStr">
        <is>
          <t>Campbell, J. B.</t>
        </is>
      </c>
      <c r="L1084" t="inlineStr">
        <is>
          <t>Oxford [Oxfordshire] : Clarendon Press ; New York : Oxford University Press, 1984.</t>
        </is>
      </c>
      <c r="M1084" t="inlineStr">
        <is>
          <t>1984</t>
        </is>
      </c>
      <c r="O1084" t="inlineStr">
        <is>
          <t>eng</t>
        </is>
      </c>
      <c r="P1084" t="inlineStr">
        <is>
          <t>enk</t>
        </is>
      </c>
      <c r="R1084" t="inlineStr">
        <is>
          <t xml:space="preserve">DG </t>
        </is>
      </c>
      <c r="S1084" t="n">
        <v>12</v>
      </c>
      <c r="T1084" t="n">
        <v>12</v>
      </c>
      <c r="U1084" t="inlineStr">
        <is>
          <t>2010-04-08</t>
        </is>
      </c>
      <c r="V1084" t="inlineStr">
        <is>
          <t>2010-04-08</t>
        </is>
      </c>
      <c r="W1084" t="inlineStr">
        <is>
          <t>1991-03-28</t>
        </is>
      </c>
      <c r="X1084" t="inlineStr">
        <is>
          <t>1991-03-28</t>
        </is>
      </c>
      <c r="Y1084" t="n">
        <v>510</v>
      </c>
      <c r="Z1084" t="n">
        <v>365</v>
      </c>
      <c r="AA1084" t="n">
        <v>371</v>
      </c>
      <c r="AB1084" t="n">
        <v>3</v>
      </c>
      <c r="AC1084" t="n">
        <v>3</v>
      </c>
      <c r="AD1084" t="n">
        <v>25</v>
      </c>
      <c r="AE1084" t="n">
        <v>26</v>
      </c>
      <c r="AF1084" t="n">
        <v>13</v>
      </c>
      <c r="AG1084" t="n">
        <v>13</v>
      </c>
      <c r="AH1084" t="n">
        <v>6</v>
      </c>
      <c r="AI1084" t="n">
        <v>6</v>
      </c>
      <c r="AJ1084" t="n">
        <v>14</v>
      </c>
      <c r="AK1084" t="n">
        <v>15</v>
      </c>
      <c r="AL1084" t="n">
        <v>2</v>
      </c>
      <c r="AM1084" t="n">
        <v>2</v>
      </c>
      <c r="AN1084" t="n">
        <v>0</v>
      </c>
      <c r="AO1084" t="n">
        <v>0</v>
      </c>
      <c r="AP1084" t="inlineStr">
        <is>
          <t>No</t>
        </is>
      </c>
      <c r="AQ1084" t="inlineStr">
        <is>
          <t>Yes</t>
        </is>
      </c>
      <c r="AR1084">
        <f>HYPERLINK("http://catalog.hathitrust.org/Record/000781195","HathiTrust Record")</f>
        <v/>
      </c>
      <c r="AS1084">
        <f>HYPERLINK("https://creighton-primo.hosted.exlibrisgroup.com/primo-explore/search?tab=default_tab&amp;search_scope=EVERYTHING&amp;vid=01CRU&amp;lang=en_US&amp;offset=0&amp;query=any,contains,991000288149702656","Catalog Record")</f>
        <v/>
      </c>
      <c r="AT1084">
        <f>HYPERLINK("http://www.worldcat.org/oclc/9946288","WorldCat Record")</f>
        <v/>
      </c>
      <c r="AU1084" t="inlineStr">
        <is>
          <t>197497555:eng</t>
        </is>
      </c>
      <c r="AV1084" t="inlineStr">
        <is>
          <t>9946288</t>
        </is>
      </c>
      <c r="AW1084" t="inlineStr">
        <is>
          <t>991000288149702656</t>
        </is>
      </c>
      <c r="AX1084" t="inlineStr">
        <is>
          <t>991000288149702656</t>
        </is>
      </c>
      <c r="AY1084" t="inlineStr">
        <is>
          <t>2261656100002656</t>
        </is>
      </c>
      <c r="AZ1084" t="inlineStr">
        <is>
          <t>BOOK</t>
        </is>
      </c>
      <c r="BB1084" t="inlineStr">
        <is>
          <t>9780198148340</t>
        </is>
      </c>
      <c r="BC1084" t="inlineStr">
        <is>
          <t>32285000521764</t>
        </is>
      </c>
      <c r="BD1084" t="inlineStr">
        <is>
          <t>893601633</t>
        </is>
      </c>
    </row>
    <row r="1085">
      <c r="A1085" t="inlineStr">
        <is>
          <t>No</t>
        </is>
      </c>
      <c r="B1085" t="inlineStr">
        <is>
          <t>DG276.5 .P413 1976b</t>
        </is>
      </c>
      <c r="C1085" t="inlineStr">
        <is>
          <t>0                      DG 0276500P  413         1976b</t>
        </is>
      </c>
      <c r="D1085" t="inlineStr">
        <is>
          <t>Pax Romana / Paul Petit ; translated by James Willis.</t>
        </is>
      </c>
      <c r="F1085" t="inlineStr">
        <is>
          <t>No</t>
        </is>
      </c>
      <c r="G1085" t="inlineStr">
        <is>
          <t>1</t>
        </is>
      </c>
      <c r="H1085" t="inlineStr">
        <is>
          <t>No</t>
        </is>
      </c>
      <c r="I1085" t="inlineStr">
        <is>
          <t>No</t>
        </is>
      </c>
      <c r="J1085" t="inlineStr">
        <is>
          <t>0</t>
        </is>
      </c>
      <c r="K1085" t="inlineStr">
        <is>
          <t>Petit, Paul.</t>
        </is>
      </c>
      <c r="L1085" t="inlineStr">
        <is>
          <t>Berkeley : University of California Press, 1976.</t>
        </is>
      </c>
      <c r="M1085" t="inlineStr">
        <is>
          <t>1976</t>
        </is>
      </c>
      <c r="N1085" t="inlineStr">
        <is>
          <t>1st English language ed.</t>
        </is>
      </c>
      <c r="O1085" t="inlineStr">
        <is>
          <t>eng</t>
        </is>
      </c>
      <c r="P1085" t="inlineStr">
        <is>
          <t>cau</t>
        </is>
      </c>
      <c r="R1085" t="inlineStr">
        <is>
          <t xml:space="preserve">DG </t>
        </is>
      </c>
      <c r="S1085" t="n">
        <v>2</v>
      </c>
      <c r="T1085" t="n">
        <v>2</v>
      </c>
      <c r="U1085" t="inlineStr">
        <is>
          <t>2003-11-20</t>
        </is>
      </c>
      <c r="V1085" t="inlineStr">
        <is>
          <t>2003-11-20</t>
        </is>
      </c>
      <c r="W1085" t="inlineStr">
        <is>
          <t>1997-02-04</t>
        </is>
      </c>
      <c r="X1085" t="inlineStr">
        <is>
          <t>1997-02-04</t>
        </is>
      </c>
      <c r="Y1085" t="n">
        <v>605</v>
      </c>
      <c r="Z1085" t="n">
        <v>552</v>
      </c>
      <c r="AA1085" t="n">
        <v>599</v>
      </c>
      <c r="AB1085" t="n">
        <v>5</v>
      </c>
      <c r="AC1085" t="n">
        <v>6</v>
      </c>
      <c r="AD1085" t="n">
        <v>27</v>
      </c>
      <c r="AE1085" t="n">
        <v>28</v>
      </c>
      <c r="AF1085" t="n">
        <v>11</v>
      </c>
      <c r="AG1085" t="n">
        <v>11</v>
      </c>
      <c r="AH1085" t="n">
        <v>6</v>
      </c>
      <c r="AI1085" t="n">
        <v>6</v>
      </c>
      <c r="AJ1085" t="n">
        <v>16</v>
      </c>
      <c r="AK1085" t="n">
        <v>16</v>
      </c>
      <c r="AL1085" t="n">
        <v>4</v>
      </c>
      <c r="AM1085" t="n">
        <v>5</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HYPERLINK("https://creighton-primo.hosted.exlibrisgroup.com/primo-explore/search?tab=default_tab&amp;search_scope=EVERYTHING&amp;vid=01CRU&amp;lang=en_US&amp;offset=0&amp;query=any,contains,991004281319702656","Catalog Record")</f>
        <v/>
      </c>
      <c r="AT1085">
        <f>HYPERLINK("http://www.worldcat.org/oclc/2911516","WorldCat Record")</f>
        <v/>
      </c>
      <c r="AU1085" t="inlineStr">
        <is>
          <t>5857057:eng</t>
        </is>
      </c>
      <c r="AV1085" t="inlineStr">
        <is>
          <t>2911516</t>
        </is>
      </c>
      <c r="AW1085" t="inlineStr">
        <is>
          <t>991004281319702656</t>
        </is>
      </c>
      <c r="AX1085" t="inlineStr">
        <is>
          <t>991004281319702656</t>
        </is>
      </c>
      <c r="AY1085" t="inlineStr">
        <is>
          <t>2266265310002656</t>
        </is>
      </c>
      <c r="AZ1085" t="inlineStr">
        <is>
          <t>BOOK</t>
        </is>
      </c>
      <c r="BB1085" t="inlineStr">
        <is>
          <t>9780520021716</t>
        </is>
      </c>
      <c r="BC1085" t="inlineStr">
        <is>
          <t>32285002420767</t>
        </is>
      </c>
      <c r="BD1085" t="inlineStr">
        <is>
          <t>893901041</t>
        </is>
      </c>
    </row>
    <row r="1086">
      <c r="A1086" t="inlineStr">
        <is>
          <t>No</t>
        </is>
      </c>
      <c r="B1086" t="inlineStr">
        <is>
          <t>DG278 .B37 1910</t>
        </is>
      </c>
      <c r="C1086" t="inlineStr">
        <is>
          <t>0                      DG 0278000B  37          1910</t>
        </is>
      </c>
      <c r="D1086" t="inlineStr">
        <is>
          <t>The tragdy of the Caesars : a study of the characters of the Caesars of the Julian and Claudian houses, / by S. Baring-Gould...</t>
        </is>
      </c>
      <c r="F1086" t="inlineStr">
        <is>
          <t>No</t>
        </is>
      </c>
      <c r="G1086" t="inlineStr">
        <is>
          <t>1</t>
        </is>
      </c>
      <c r="H1086" t="inlineStr">
        <is>
          <t>No</t>
        </is>
      </c>
      <c r="I1086" t="inlineStr">
        <is>
          <t>No</t>
        </is>
      </c>
      <c r="J1086" t="inlineStr">
        <is>
          <t>0</t>
        </is>
      </c>
      <c r="K1086" t="inlineStr">
        <is>
          <t>Baring-Gould, S. (Sabine), 1834-1924.</t>
        </is>
      </c>
      <c r="L1086" t="inlineStr">
        <is>
          <t>London : Methuen, [1910]</t>
        </is>
      </c>
      <c r="M1086" t="inlineStr">
        <is>
          <t>1910</t>
        </is>
      </c>
      <c r="N1086" t="inlineStr">
        <is>
          <t>7th ed.</t>
        </is>
      </c>
      <c r="O1086" t="inlineStr">
        <is>
          <t>eng</t>
        </is>
      </c>
      <c r="P1086" t="inlineStr">
        <is>
          <t xml:space="preserve">xx </t>
        </is>
      </c>
      <c r="R1086" t="inlineStr">
        <is>
          <t xml:space="preserve">DG </t>
        </is>
      </c>
      <c r="S1086" t="n">
        <v>2</v>
      </c>
      <c r="T1086" t="n">
        <v>2</v>
      </c>
      <c r="U1086" t="inlineStr">
        <is>
          <t>1999-09-19</t>
        </is>
      </c>
      <c r="V1086" t="inlineStr">
        <is>
          <t>1999-09-19</t>
        </is>
      </c>
      <c r="W1086" t="inlineStr">
        <is>
          <t>1997-02-04</t>
        </is>
      </c>
      <c r="X1086" t="inlineStr">
        <is>
          <t>1997-02-04</t>
        </is>
      </c>
      <c r="Y1086" t="n">
        <v>30</v>
      </c>
      <c r="Z1086" t="n">
        <v>28</v>
      </c>
      <c r="AA1086" t="n">
        <v>41</v>
      </c>
      <c r="AB1086" t="n">
        <v>2</v>
      </c>
      <c r="AC1086" t="n">
        <v>2</v>
      </c>
      <c r="AD1086" t="n">
        <v>1</v>
      </c>
      <c r="AE1086" t="n">
        <v>1</v>
      </c>
      <c r="AF1086" t="n">
        <v>0</v>
      </c>
      <c r="AG1086" t="n">
        <v>0</v>
      </c>
      <c r="AH1086" t="n">
        <v>0</v>
      </c>
      <c r="AI1086" t="n">
        <v>0</v>
      </c>
      <c r="AJ1086" t="n">
        <v>0</v>
      </c>
      <c r="AK1086" t="n">
        <v>0</v>
      </c>
      <c r="AL1086" t="n">
        <v>1</v>
      </c>
      <c r="AM1086" t="n">
        <v>1</v>
      </c>
      <c r="AN1086" t="n">
        <v>0</v>
      </c>
      <c r="AO1086" t="n">
        <v>0</v>
      </c>
      <c r="AP1086" t="inlineStr">
        <is>
          <t>Yes</t>
        </is>
      </c>
      <c r="AQ1086" t="inlineStr">
        <is>
          <t>No</t>
        </is>
      </c>
      <c r="AR1086">
        <f>HYPERLINK("http://catalog.hathitrust.org/Record/009182262","HathiTrust Record")</f>
        <v/>
      </c>
      <c r="AS1086">
        <f>HYPERLINK("https://creighton-primo.hosted.exlibrisgroup.com/primo-explore/search?tab=default_tab&amp;search_scope=EVERYTHING&amp;vid=01CRU&amp;lang=en_US&amp;offset=0&amp;query=any,contains,991003901009702656","Catalog Record")</f>
        <v/>
      </c>
      <c r="AT1086">
        <f>HYPERLINK("http://www.worldcat.org/oclc/1824060","WorldCat Record")</f>
        <v/>
      </c>
      <c r="AU1086" t="inlineStr">
        <is>
          <t>3860089141:eng</t>
        </is>
      </c>
      <c r="AV1086" t="inlineStr">
        <is>
          <t>1824060</t>
        </is>
      </c>
      <c r="AW1086" t="inlineStr">
        <is>
          <t>991003901009702656</t>
        </is>
      </c>
      <c r="AX1086" t="inlineStr">
        <is>
          <t>991003901009702656</t>
        </is>
      </c>
      <c r="AY1086" t="inlineStr">
        <is>
          <t>2257416650002656</t>
        </is>
      </c>
      <c r="AZ1086" t="inlineStr">
        <is>
          <t>BOOK</t>
        </is>
      </c>
      <c r="BC1086" t="inlineStr">
        <is>
          <t>32285002420775</t>
        </is>
      </c>
      <c r="BD1086" t="inlineStr">
        <is>
          <t>893888077</t>
        </is>
      </c>
    </row>
    <row r="1087">
      <c r="A1087" t="inlineStr">
        <is>
          <t>No</t>
        </is>
      </c>
      <c r="B1087" t="inlineStr">
        <is>
          <t>DG278 .G68 2000</t>
        </is>
      </c>
      <c r="C1087" t="inlineStr">
        <is>
          <t>0                      DG 0278000G  68          2000</t>
        </is>
      </c>
      <c r="D1087" t="inlineStr">
        <is>
          <t>The twelve Caesars / Michael Grant.</t>
        </is>
      </c>
      <c r="F1087" t="inlineStr">
        <is>
          <t>No</t>
        </is>
      </c>
      <c r="G1087" t="inlineStr">
        <is>
          <t>1</t>
        </is>
      </c>
      <c r="H1087" t="inlineStr">
        <is>
          <t>No</t>
        </is>
      </c>
      <c r="I1087" t="inlineStr">
        <is>
          <t>Yes</t>
        </is>
      </c>
      <c r="J1087" t="inlineStr">
        <is>
          <t>0</t>
        </is>
      </c>
      <c r="K1087" t="inlineStr">
        <is>
          <t>Grant, Michael, 1914-2004.</t>
        </is>
      </c>
      <c r="L1087" t="inlineStr">
        <is>
          <t>New York : History Book Club, c2000.</t>
        </is>
      </c>
      <c r="M1087" t="inlineStr">
        <is>
          <t>2000</t>
        </is>
      </c>
      <c r="N1087" t="inlineStr">
        <is>
          <t>History Book Club ed.</t>
        </is>
      </c>
      <c r="O1087" t="inlineStr">
        <is>
          <t>eng</t>
        </is>
      </c>
      <c r="P1087" t="inlineStr">
        <is>
          <t>nyu</t>
        </is>
      </c>
      <c r="R1087" t="inlineStr">
        <is>
          <t xml:space="preserve">DG </t>
        </is>
      </c>
      <c r="S1087" t="n">
        <v>2</v>
      </c>
      <c r="T1087" t="n">
        <v>2</v>
      </c>
      <c r="U1087" t="inlineStr">
        <is>
          <t>2010-09-28</t>
        </is>
      </c>
      <c r="V1087" t="inlineStr">
        <is>
          <t>2010-09-28</t>
        </is>
      </c>
      <c r="W1087" t="inlineStr">
        <is>
          <t>2008-05-20</t>
        </is>
      </c>
      <c r="X1087" t="inlineStr">
        <is>
          <t>2008-05-20</t>
        </is>
      </c>
      <c r="Y1087" t="n">
        <v>71</v>
      </c>
      <c r="Z1087" t="n">
        <v>69</v>
      </c>
      <c r="AA1087" t="n">
        <v>1460</v>
      </c>
      <c r="AB1087" t="n">
        <v>1</v>
      </c>
      <c r="AC1087" t="n">
        <v>14</v>
      </c>
      <c r="AD1087" t="n">
        <v>0</v>
      </c>
      <c r="AE1087" t="n">
        <v>41</v>
      </c>
      <c r="AF1087" t="n">
        <v>0</v>
      </c>
      <c r="AG1087" t="n">
        <v>15</v>
      </c>
      <c r="AH1087" t="n">
        <v>0</v>
      </c>
      <c r="AI1087" t="n">
        <v>8</v>
      </c>
      <c r="AJ1087" t="n">
        <v>0</v>
      </c>
      <c r="AK1087" t="n">
        <v>18</v>
      </c>
      <c r="AL1087" t="n">
        <v>0</v>
      </c>
      <c r="AM1087" t="n">
        <v>10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HYPERLINK("https://creighton-primo.hosted.exlibrisgroup.com/primo-explore/search?tab=default_tab&amp;search_scope=EVERYTHING&amp;vid=01CRU&amp;lang=en_US&amp;offset=0&amp;query=any,contains,991005223679702656","Catalog Record")</f>
        <v/>
      </c>
      <c r="AT1087">
        <f>HYPERLINK("http://www.worldcat.org/oclc/43703224","WorldCat Record")</f>
        <v/>
      </c>
      <c r="AU1087" t="inlineStr">
        <is>
          <t>4080216377:eng</t>
        </is>
      </c>
      <c r="AV1087" t="inlineStr">
        <is>
          <t>43703224</t>
        </is>
      </c>
      <c r="AW1087" t="inlineStr">
        <is>
          <t>991005223679702656</t>
        </is>
      </c>
      <c r="AX1087" t="inlineStr">
        <is>
          <t>991005223679702656</t>
        </is>
      </c>
      <c r="AY1087" t="inlineStr">
        <is>
          <t>2272429220002656</t>
        </is>
      </c>
      <c r="AZ1087" t="inlineStr">
        <is>
          <t>BOOK</t>
        </is>
      </c>
      <c r="BB1087" t="inlineStr">
        <is>
          <t>9780965014212</t>
        </is>
      </c>
      <c r="BC1087" t="inlineStr">
        <is>
          <t>32285005409791</t>
        </is>
      </c>
      <c r="BD1087" t="inlineStr">
        <is>
          <t>893625652</t>
        </is>
      </c>
    </row>
    <row r="1088">
      <c r="A1088" t="inlineStr">
        <is>
          <t>No</t>
        </is>
      </c>
      <c r="B1088" t="inlineStr">
        <is>
          <t>DG278 .M38 2006</t>
        </is>
      </c>
      <c r="C1088" t="inlineStr">
        <is>
          <t>0                      DG 0278000M  38          2006</t>
        </is>
      </c>
      <c r="D1088" t="inlineStr">
        <is>
          <t>The sons of Caesar : Imperial Rome's first dynasty / Philip Matyszak.</t>
        </is>
      </c>
      <c r="F1088" t="inlineStr">
        <is>
          <t>No</t>
        </is>
      </c>
      <c r="G1088" t="inlineStr">
        <is>
          <t>1</t>
        </is>
      </c>
      <c r="H1088" t="inlineStr">
        <is>
          <t>No</t>
        </is>
      </c>
      <c r="I1088" t="inlineStr">
        <is>
          <t>No</t>
        </is>
      </c>
      <c r="J1088" t="inlineStr">
        <is>
          <t>0</t>
        </is>
      </c>
      <c r="K1088" t="inlineStr">
        <is>
          <t>Matyszak, Philip.</t>
        </is>
      </c>
      <c r="L1088" t="inlineStr">
        <is>
          <t>London : Thames &amp; Hudson Ltd., 2006.</t>
        </is>
      </c>
      <c r="M1088" t="inlineStr">
        <is>
          <t>2006</t>
        </is>
      </c>
      <c r="O1088" t="inlineStr">
        <is>
          <t>eng</t>
        </is>
      </c>
      <c r="P1088" t="inlineStr">
        <is>
          <t>enk</t>
        </is>
      </c>
      <c r="R1088" t="inlineStr">
        <is>
          <t xml:space="preserve">DG </t>
        </is>
      </c>
      <c r="S1088" t="n">
        <v>1</v>
      </c>
      <c r="T1088" t="n">
        <v>1</v>
      </c>
      <c r="U1088" t="inlineStr">
        <is>
          <t>2006-07-20</t>
        </is>
      </c>
      <c r="V1088" t="inlineStr">
        <is>
          <t>2006-07-20</t>
        </is>
      </c>
      <c r="W1088" t="inlineStr">
        <is>
          <t>2006-07-20</t>
        </is>
      </c>
      <c r="X1088" t="inlineStr">
        <is>
          <t>2006-07-20</t>
        </is>
      </c>
      <c r="Y1088" t="n">
        <v>594</v>
      </c>
      <c r="Z1088" t="n">
        <v>484</v>
      </c>
      <c r="AA1088" t="n">
        <v>496</v>
      </c>
      <c r="AB1088" t="n">
        <v>4</v>
      </c>
      <c r="AC1088" t="n">
        <v>4</v>
      </c>
      <c r="AD1088" t="n">
        <v>12</v>
      </c>
      <c r="AE1088" t="n">
        <v>12</v>
      </c>
      <c r="AF1088" t="n">
        <v>1</v>
      </c>
      <c r="AG1088" t="n">
        <v>1</v>
      </c>
      <c r="AH1088" t="n">
        <v>5</v>
      </c>
      <c r="AI1088" t="n">
        <v>5</v>
      </c>
      <c r="AJ1088" t="n">
        <v>7</v>
      </c>
      <c r="AK1088" t="n">
        <v>7</v>
      </c>
      <c r="AL1088" t="n">
        <v>2</v>
      </c>
      <c r="AM1088" t="n">
        <v>2</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HYPERLINK("https://creighton-primo.hosted.exlibrisgroup.com/primo-explore/search?tab=default_tab&amp;search_scope=EVERYTHING&amp;vid=01CRU&amp;lang=en_US&amp;offset=0&amp;query=any,contains,991004859699702656","Catalog Record")</f>
        <v/>
      </c>
      <c r="AT1088">
        <f>HYPERLINK("http://www.worldcat.org/oclc/62796342","WorldCat Record")</f>
        <v/>
      </c>
      <c r="AU1088" t="inlineStr">
        <is>
          <t>198159208:eng</t>
        </is>
      </c>
      <c r="AV1088" t="inlineStr">
        <is>
          <t>62796342</t>
        </is>
      </c>
      <c r="AW1088" t="inlineStr">
        <is>
          <t>991004859699702656</t>
        </is>
      </c>
      <c r="AX1088" t="inlineStr">
        <is>
          <t>991004859699702656</t>
        </is>
      </c>
      <c r="AY1088" t="inlineStr">
        <is>
          <t>2260727530002656</t>
        </is>
      </c>
      <c r="AZ1088" t="inlineStr">
        <is>
          <t>BOOK</t>
        </is>
      </c>
      <c r="BB1088" t="inlineStr">
        <is>
          <t>9780500251287</t>
        </is>
      </c>
      <c r="BC1088" t="inlineStr">
        <is>
          <t>32285005197073</t>
        </is>
      </c>
      <c r="BD1088" t="inlineStr">
        <is>
          <t>893795341</t>
        </is>
      </c>
    </row>
    <row r="1089">
      <c r="A1089" t="inlineStr">
        <is>
          <t>No</t>
        </is>
      </c>
      <c r="B1089" t="inlineStr">
        <is>
          <t>DG278.3 .W5</t>
        </is>
      </c>
      <c r="C1089" t="inlineStr">
        <is>
          <t>0                      DG 0278300W  5</t>
        </is>
      </c>
      <c r="D1089" t="inlineStr">
        <is>
          <t>The world of Josephus / G.A. Williamson.</t>
        </is>
      </c>
      <c r="F1089" t="inlineStr">
        <is>
          <t>No</t>
        </is>
      </c>
      <c r="G1089" t="inlineStr">
        <is>
          <t>1</t>
        </is>
      </c>
      <c r="H1089" t="inlineStr">
        <is>
          <t>No</t>
        </is>
      </c>
      <c r="I1089" t="inlineStr">
        <is>
          <t>No</t>
        </is>
      </c>
      <c r="J1089" t="inlineStr">
        <is>
          <t>0</t>
        </is>
      </c>
      <c r="K1089" t="inlineStr">
        <is>
          <t>Williamson, G. A. (Geoffrey Arthur), 1895-1982.</t>
        </is>
      </c>
      <c r="L1089" t="inlineStr">
        <is>
          <t>Boston : Little, Brown, c1964.</t>
        </is>
      </c>
      <c r="M1089" t="inlineStr">
        <is>
          <t>1964</t>
        </is>
      </c>
      <c r="N1089" t="inlineStr">
        <is>
          <t>1st Am. ed.</t>
        </is>
      </c>
      <c r="O1089" t="inlineStr">
        <is>
          <t>eng</t>
        </is>
      </c>
      <c r="P1089" t="inlineStr">
        <is>
          <t>mau</t>
        </is>
      </c>
      <c r="R1089" t="inlineStr">
        <is>
          <t xml:space="preserve">DG </t>
        </is>
      </c>
      <c r="S1089" t="n">
        <v>6</v>
      </c>
      <c r="T1089" t="n">
        <v>6</v>
      </c>
      <c r="U1089" t="inlineStr">
        <is>
          <t>2010-09-23</t>
        </is>
      </c>
      <c r="V1089" t="inlineStr">
        <is>
          <t>2010-09-23</t>
        </is>
      </c>
      <c r="W1089" t="inlineStr">
        <is>
          <t>1997-02-04</t>
        </is>
      </c>
      <c r="X1089" t="inlineStr">
        <is>
          <t>1997-02-04</t>
        </is>
      </c>
      <c r="Y1089" t="n">
        <v>863</v>
      </c>
      <c r="Z1089" t="n">
        <v>822</v>
      </c>
      <c r="AA1089" t="n">
        <v>1032</v>
      </c>
      <c r="AB1089" t="n">
        <v>4</v>
      </c>
      <c r="AC1089" t="n">
        <v>5</v>
      </c>
      <c r="AD1089" t="n">
        <v>27</v>
      </c>
      <c r="AE1089" t="n">
        <v>31</v>
      </c>
      <c r="AF1089" t="n">
        <v>9</v>
      </c>
      <c r="AG1089" t="n">
        <v>10</v>
      </c>
      <c r="AH1089" t="n">
        <v>7</v>
      </c>
      <c r="AI1089" t="n">
        <v>7</v>
      </c>
      <c r="AJ1089" t="n">
        <v>16</v>
      </c>
      <c r="AK1089" t="n">
        <v>18</v>
      </c>
      <c r="AL1089" t="n">
        <v>2</v>
      </c>
      <c r="AM1089" t="n">
        <v>3</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HYPERLINK("https://creighton-primo.hosted.exlibrisgroup.com/primo-explore/search?tab=default_tab&amp;search_scope=EVERYTHING&amp;vid=01CRU&amp;lang=en_US&amp;offset=0&amp;query=any,contains,991000496239702656","Catalog Record")</f>
        <v/>
      </c>
      <c r="AT1089">
        <f>HYPERLINK("http://www.worldcat.org/oclc/928063","WorldCat Record")</f>
        <v/>
      </c>
      <c r="AU1089" t="inlineStr">
        <is>
          <t>1877822:eng</t>
        </is>
      </c>
      <c r="AV1089" t="inlineStr">
        <is>
          <t>928063</t>
        </is>
      </c>
      <c r="AW1089" t="inlineStr">
        <is>
          <t>991000496239702656</t>
        </is>
      </c>
      <c r="AX1089" t="inlineStr">
        <is>
          <t>991000496239702656</t>
        </is>
      </c>
      <c r="AY1089" t="inlineStr">
        <is>
          <t>2261913480002656</t>
        </is>
      </c>
      <c r="AZ1089" t="inlineStr">
        <is>
          <t>BOOK</t>
        </is>
      </c>
      <c r="BC1089" t="inlineStr">
        <is>
          <t>32285002421963</t>
        </is>
      </c>
      <c r="BD1089" t="inlineStr">
        <is>
          <t>893708416</t>
        </is>
      </c>
    </row>
    <row r="1090">
      <c r="A1090" t="inlineStr">
        <is>
          <t>No</t>
        </is>
      </c>
      <c r="B1090" t="inlineStr">
        <is>
          <t>DG279 .B3 2000</t>
        </is>
      </c>
      <c r="C1090" t="inlineStr">
        <is>
          <t>0                      DG 0279000B  3           2000</t>
        </is>
      </c>
      <c r="D1090" t="inlineStr">
        <is>
          <t>Augustus : the Golden Age of Rome / G.P. Baker.</t>
        </is>
      </c>
      <c r="F1090" t="inlineStr">
        <is>
          <t>No</t>
        </is>
      </c>
      <c r="G1090" t="inlineStr">
        <is>
          <t>1</t>
        </is>
      </c>
      <c r="H1090" t="inlineStr">
        <is>
          <t>No</t>
        </is>
      </c>
      <c r="I1090" t="inlineStr">
        <is>
          <t>No</t>
        </is>
      </c>
      <c r="J1090" t="inlineStr">
        <is>
          <t>0</t>
        </is>
      </c>
      <c r="K1090" t="inlineStr">
        <is>
          <t>Baker, G. P. (George Philip), 1879-1951.</t>
        </is>
      </c>
      <c r="L1090" t="inlineStr">
        <is>
          <t>New York : Cooper Square Press, 2000, c1937.</t>
        </is>
      </c>
      <c r="M1090" t="inlineStr">
        <is>
          <t>2000</t>
        </is>
      </c>
      <c r="N1090" t="inlineStr">
        <is>
          <t>1st Cooper Square Press ed.</t>
        </is>
      </c>
      <c r="O1090" t="inlineStr">
        <is>
          <t>eng</t>
        </is>
      </c>
      <c r="P1090" t="inlineStr">
        <is>
          <t>nyu</t>
        </is>
      </c>
      <c r="R1090" t="inlineStr">
        <is>
          <t xml:space="preserve">DG </t>
        </is>
      </c>
      <c r="S1090" t="n">
        <v>8</v>
      </c>
      <c r="T1090" t="n">
        <v>8</v>
      </c>
      <c r="U1090" t="inlineStr">
        <is>
          <t>2008-02-01</t>
        </is>
      </c>
      <c r="V1090" t="inlineStr">
        <is>
          <t>2008-02-01</t>
        </is>
      </c>
      <c r="W1090" t="inlineStr">
        <is>
          <t>2001-01-09</t>
        </is>
      </c>
      <c r="X1090" t="inlineStr">
        <is>
          <t>2001-01-09</t>
        </is>
      </c>
      <c r="Y1090" t="n">
        <v>173</v>
      </c>
      <c r="Z1090" t="n">
        <v>160</v>
      </c>
      <c r="AA1090" t="n">
        <v>335</v>
      </c>
      <c r="AB1090" t="n">
        <v>1</v>
      </c>
      <c r="AC1090" t="n">
        <v>2</v>
      </c>
      <c r="AD1090" t="n">
        <v>9</v>
      </c>
      <c r="AE1090" t="n">
        <v>21</v>
      </c>
      <c r="AF1090" t="n">
        <v>5</v>
      </c>
      <c r="AG1090" t="n">
        <v>10</v>
      </c>
      <c r="AH1090" t="n">
        <v>2</v>
      </c>
      <c r="AI1090" t="n">
        <v>5</v>
      </c>
      <c r="AJ1090" t="n">
        <v>4</v>
      </c>
      <c r="AK1090" t="n">
        <v>12</v>
      </c>
      <c r="AL1090" t="n">
        <v>0</v>
      </c>
      <c r="AM1090" t="n">
        <v>1</v>
      </c>
      <c r="AN1090" t="n">
        <v>0</v>
      </c>
      <c r="AO1090" t="n">
        <v>0</v>
      </c>
      <c r="AP1090" t="inlineStr">
        <is>
          <t>No</t>
        </is>
      </c>
      <c r="AQ1090" t="inlineStr">
        <is>
          <t>Yes</t>
        </is>
      </c>
      <c r="AR1090">
        <f>HYPERLINK("http://catalog.hathitrust.org/Record/007139758","HathiTrust Record")</f>
        <v/>
      </c>
      <c r="AS1090">
        <f>HYPERLINK("https://creighton-primo.hosted.exlibrisgroup.com/primo-explore/search?tab=default_tab&amp;search_scope=EVERYTHING&amp;vid=01CRU&amp;lang=en_US&amp;offset=0&amp;query=any,contains,991003358639702656","Catalog Record")</f>
        <v/>
      </c>
      <c r="AT1090">
        <f>HYPERLINK("http://www.worldcat.org/oclc/44090465","WorldCat Record")</f>
        <v/>
      </c>
      <c r="AU1090" t="inlineStr">
        <is>
          <t>3855584094:eng</t>
        </is>
      </c>
      <c r="AV1090" t="inlineStr">
        <is>
          <t>44090465</t>
        </is>
      </c>
      <c r="AW1090" t="inlineStr">
        <is>
          <t>991003358639702656</t>
        </is>
      </c>
      <c r="AX1090" t="inlineStr">
        <is>
          <t>991003358639702656</t>
        </is>
      </c>
      <c r="AY1090" t="inlineStr">
        <is>
          <t>2259272630002656</t>
        </is>
      </c>
      <c r="AZ1090" t="inlineStr">
        <is>
          <t>BOOK</t>
        </is>
      </c>
      <c r="BB1090" t="inlineStr">
        <is>
          <t>9780815410898</t>
        </is>
      </c>
      <c r="BC1090" t="inlineStr">
        <is>
          <t>32285004281597</t>
        </is>
      </c>
      <c r="BD1090" t="inlineStr">
        <is>
          <t>893434931</t>
        </is>
      </c>
    </row>
    <row r="1091">
      <c r="A1091" t="inlineStr">
        <is>
          <t>No</t>
        </is>
      </c>
      <c r="B1091" t="inlineStr">
        <is>
          <t>DG279 .B68</t>
        </is>
      </c>
      <c r="C1091" t="inlineStr">
        <is>
          <t>0                      DG 0279000B  68</t>
        </is>
      </c>
      <c r="D1091" t="inlineStr">
        <is>
          <t>Augustus and the Greek world / [by] G.W. Bowersock.</t>
        </is>
      </c>
      <c r="F1091" t="inlineStr">
        <is>
          <t>No</t>
        </is>
      </c>
      <c r="G1091" t="inlineStr">
        <is>
          <t>1</t>
        </is>
      </c>
      <c r="H1091" t="inlineStr">
        <is>
          <t>No</t>
        </is>
      </c>
      <c r="I1091" t="inlineStr">
        <is>
          <t>No</t>
        </is>
      </c>
      <c r="J1091" t="inlineStr">
        <is>
          <t>0</t>
        </is>
      </c>
      <c r="K1091" t="inlineStr">
        <is>
          <t>Bowersock, G. W. (Glen Warren), 1936-</t>
        </is>
      </c>
      <c r="L1091" t="inlineStr">
        <is>
          <t>Oxford, [Eng.] : Clarendon Press, 1965.</t>
        </is>
      </c>
      <c r="M1091" t="inlineStr">
        <is>
          <t>1965</t>
        </is>
      </c>
      <c r="O1091" t="inlineStr">
        <is>
          <t>eng</t>
        </is>
      </c>
      <c r="P1091" t="inlineStr">
        <is>
          <t>enk</t>
        </is>
      </c>
      <c r="R1091" t="inlineStr">
        <is>
          <t xml:space="preserve">DG </t>
        </is>
      </c>
      <c r="S1091" t="n">
        <v>7</v>
      </c>
      <c r="T1091" t="n">
        <v>7</v>
      </c>
      <c r="U1091" t="inlineStr">
        <is>
          <t>2010-10-08</t>
        </is>
      </c>
      <c r="V1091" t="inlineStr">
        <is>
          <t>2010-10-08</t>
        </is>
      </c>
      <c r="W1091" t="inlineStr">
        <is>
          <t>1993-02-25</t>
        </is>
      </c>
      <c r="X1091" t="inlineStr">
        <is>
          <t>1993-02-25</t>
        </is>
      </c>
      <c r="Y1091" t="n">
        <v>781</v>
      </c>
      <c r="Z1091" t="n">
        <v>629</v>
      </c>
      <c r="AA1091" t="n">
        <v>719</v>
      </c>
      <c r="AB1091" t="n">
        <v>5</v>
      </c>
      <c r="AC1091" t="n">
        <v>5</v>
      </c>
      <c r="AD1091" t="n">
        <v>33</v>
      </c>
      <c r="AE1091" t="n">
        <v>37</v>
      </c>
      <c r="AF1091" t="n">
        <v>10</v>
      </c>
      <c r="AG1091" t="n">
        <v>14</v>
      </c>
      <c r="AH1091" t="n">
        <v>8</v>
      </c>
      <c r="AI1091" t="n">
        <v>9</v>
      </c>
      <c r="AJ1091" t="n">
        <v>19</v>
      </c>
      <c r="AK1091" t="n">
        <v>20</v>
      </c>
      <c r="AL1091" t="n">
        <v>4</v>
      </c>
      <c r="AM1091" t="n">
        <v>4</v>
      </c>
      <c r="AN1091" t="n">
        <v>1</v>
      </c>
      <c r="AO1091" t="n">
        <v>1</v>
      </c>
      <c r="AP1091" t="inlineStr">
        <is>
          <t>No</t>
        </is>
      </c>
      <c r="AQ1091" t="inlineStr">
        <is>
          <t>Yes</t>
        </is>
      </c>
      <c r="AR1091">
        <f>HYPERLINK("http://catalog.hathitrust.org/Record/000651079","HathiTrust Record")</f>
        <v/>
      </c>
      <c r="AS1091">
        <f>HYPERLINK("https://creighton-primo.hosted.exlibrisgroup.com/primo-explore/search?tab=default_tab&amp;search_scope=EVERYTHING&amp;vid=01CRU&amp;lang=en_US&amp;offset=0&amp;query=any,contains,991002696179702656","Catalog Record")</f>
        <v/>
      </c>
      <c r="AT1091">
        <f>HYPERLINK("http://www.worldcat.org/oclc/403671","WorldCat Record")</f>
        <v/>
      </c>
      <c r="AU1091" t="inlineStr">
        <is>
          <t>1424562:eng</t>
        </is>
      </c>
      <c r="AV1091" t="inlineStr">
        <is>
          <t>403671</t>
        </is>
      </c>
      <c r="AW1091" t="inlineStr">
        <is>
          <t>991002696179702656</t>
        </is>
      </c>
      <c r="AX1091" t="inlineStr">
        <is>
          <t>991002696179702656</t>
        </is>
      </c>
      <c r="AY1091" t="inlineStr">
        <is>
          <t>2259820930002656</t>
        </is>
      </c>
      <c r="AZ1091" t="inlineStr">
        <is>
          <t>BOOK</t>
        </is>
      </c>
      <c r="BC1091" t="inlineStr">
        <is>
          <t>32285001538494</t>
        </is>
      </c>
      <c r="BD1091" t="inlineStr">
        <is>
          <t>893434174</t>
        </is>
      </c>
    </row>
    <row r="1092">
      <c r="A1092" t="inlineStr">
        <is>
          <t>No</t>
        </is>
      </c>
      <c r="B1092" t="inlineStr">
        <is>
          <t>DG279 .C483</t>
        </is>
      </c>
      <c r="C1092" t="inlineStr">
        <is>
          <t>0                      DG 0279000C  483</t>
        </is>
      </c>
      <c r="D1092" t="inlineStr">
        <is>
          <t>Augustus and Nero: the secret empire ; translated from the French by Len Ortzen.</t>
        </is>
      </c>
      <c r="F1092" t="inlineStr">
        <is>
          <t>No</t>
        </is>
      </c>
      <c r="G1092" t="inlineStr">
        <is>
          <t>1</t>
        </is>
      </c>
      <c r="H1092" t="inlineStr">
        <is>
          <t>No</t>
        </is>
      </c>
      <c r="I1092" t="inlineStr">
        <is>
          <t>No</t>
        </is>
      </c>
      <c r="J1092" t="inlineStr">
        <is>
          <t>0</t>
        </is>
      </c>
      <c r="K1092" t="inlineStr">
        <is>
          <t>Charles-Picard, Gilbert.</t>
        </is>
      </c>
      <c r="L1092" t="inlineStr">
        <is>
          <t>London, Phoenix House, 1966.</t>
        </is>
      </c>
      <c r="M1092" t="inlineStr">
        <is>
          <t>1966</t>
        </is>
      </c>
      <c r="O1092" t="inlineStr">
        <is>
          <t>eng</t>
        </is>
      </c>
      <c r="P1092" t="inlineStr">
        <is>
          <t>enk</t>
        </is>
      </c>
      <c r="R1092" t="inlineStr">
        <is>
          <t xml:space="preserve">DG </t>
        </is>
      </c>
      <c r="S1092" t="n">
        <v>3</v>
      </c>
      <c r="T1092" t="n">
        <v>3</v>
      </c>
      <c r="U1092" t="inlineStr">
        <is>
          <t>2003-03-28</t>
        </is>
      </c>
      <c r="V1092" t="inlineStr">
        <is>
          <t>2003-03-28</t>
        </is>
      </c>
      <c r="W1092" t="inlineStr">
        <is>
          <t>1997-02-04</t>
        </is>
      </c>
      <c r="X1092" t="inlineStr">
        <is>
          <t>1997-02-04</t>
        </is>
      </c>
      <c r="Y1092" t="n">
        <v>158</v>
      </c>
      <c r="Z1092" t="n">
        <v>103</v>
      </c>
      <c r="AA1092" t="n">
        <v>558</v>
      </c>
      <c r="AB1092" t="n">
        <v>2</v>
      </c>
      <c r="AC1092" t="n">
        <v>8</v>
      </c>
      <c r="AD1092" t="n">
        <v>7</v>
      </c>
      <c r="AE1092" t="n">
        <v>27</v>
      </c>
      <c r="AF1092" t="n">
        <v>3</v>
      </c>
      <c r="AG1092" t="n">
        <v>9</v>
      </c>
      <c r="AH1092" t="n">
        <v>1</v>
      </c>
      <c r="AI1092" t="n">
        <v>4</v>
      </c>
      <c r="AJ1092" t="n">
        <v>4</v>
      </c>
      <c r="AK1092" t="n">
        <v>15</v>
      </c>
      <c r="AL1092" t="n">
        <v>1</v>
      </c>
      <c r="AM1092" t="n">
        <v>6</v>
      </c>
      <c r="AN1092" t="n">
        <v>0</v>
      </c>
      <c r="AO1092" t="n">
        <v>0</v>
      </c>
      <c r="AP1092" t="inlineStr">
        <is>
          <t>No</t>
        </is>
      </c>
      <c r="AQ1092" t="inlineStr">
        <is>
          <t>Yes</t>
        </is>
      </c>
      <c r="AR1092">
        <f>HYPERLINK("http://catalog.hathitrust.org/Record/000651085","HathiTrust Record")</f>
        <v/>
      </c>
      <c r="AS1092">
        <f>HYPERLINK("https://creighton-primo.hosted.exlibrisgroup.com/primo-explore/search?tab=default_tab&amp;search_scope=EVERYTHING&amp;vid=01CRU&amp;lang=en_US&amp;offset=0&amp;query=any,contains,991004080829702656","Catalog Record")</f>
        <v/>
      </c>
      <c r="AT1092">
        <f>HYPERLINK("http://www.worldcat.org/oclc/2327807","WorldCat Record")</f>
        <v/>
      </c>
      <c r="AU1092" t="inlineStr">
        <is>
          <t>1568040:eng</t>
        </is>
      </c>
      <c r="AV1092" t="inlineStr">
        <is>
          <t>2327807</t>
        </is>
      </c>
      <c r="AW1092" t="inlineStr">
        <is>
          <t>991004080829702656</t>
        </is>
      </c>
      <c r="AX1092" t="inlineStr">
        <is>
          <t>991004080829702656</t>
        </is>
      </c>
      <c r="AY1092" t="inlineStr">
        <is>
          <t>2261010520002656</t>
        </is>
      </c>
      <c r="AZ1092" t="inlineStr">
        <is>
          <t>BOOK</t>
        </is>
      </c>
      <c r="BC1092" t="inlineStr">
        <is>
          <t>32285002421948</t>
        </is>
      </c>
      <c r="BD1092" t="inlineStr">
        <is>
          <t>893624326</t>
        </is>
      </c>
    </row>
    <row r="1093">
      <c r="A1093" t="inlineStr">
        <is>
          <t>No</t>
        </is>
      </c>
      <c r="B1093" t="inlineStr">
        <is>
          <t>DG279 .G6</t>
        </is>
      </c>
      <c r="C1093" t="inlineStr">
        <is>
          <t>0                      DG 0279000G  6</t>
        </is>
      </c>
      <c r="D1093" t="inlineStr">
        <is>
          <t>The Golden age of Augustus / [compiled and translated by] Meyer Reinhold, with the assistance of Paul T. Alessi.</t>
        </is>
      </c>
      <c r="F1093" t="inlineStr">
        <is>
          <t>No</t>
        </is>
      </c>
      <c r="G1093" t="inlineStr">
        <is>
          <t>1</t>
        </is>
      </c>
      <c r="H1093" t="inlineStr">
        <is>
          <t>No</t>
        </is>
      </c>
      <c r="I1093" t="inlineStr">
        <is>
          <t>No</t>
        </is>
      </c>
      <c r="J1093" t="inlineStr">
        <is>
          <t>0</t>
        </is>
      </c>
      <c r="L1093" t="inlineStr">
        <is>
          <t>Toronto ; Sarasota Fla. : S. Stevens, 1978.</t>
        </is>
      </c>
      <c r="M1093" t="inlineStr">
        <is>
          <t>1978</t>
        </is>
      </c>
      <c r="O1093" t="inlineStr">
        <is>
          <t>eng</t>
        </is>
      </c>
      <c r="P1093" t="inlineStr">
        <is>
          <t>onc</t>
        </is>
      </c>
      <c r="Q1093" t="inlineStr">
        <is>
          <t>Aspects of antiquity</t>
        </is>
      </c>
      <c r="R1093" t="inlineStr">
        <is>
          <t xml:space="preserve">DG </t>
        </is>
      </c>
      <c r="S1093" t="n">
        <v>2</v>
      </c>
      <c r="T1093" t="n">
        <v>2</v>
      </c>
      <c r="U1093" t="inlineStr">
        <is>
          <t>1997-10-29</t>
        </is>
      </c>
      <c r="V1093" t="inlineStr">
        <is>
          <t>1997-10-29</t>
        </is>
      </c>
      <c r="W1093" t="inlineStr">
        <is>
          <t>1993-04-28</t>
        </is>
      </c>
      <c r="X1093" t="inlineStr">
        <is>
          <t>1993-04-28</t>
        </is>
      </c>
      <c r="Y1093" t="n">
        <v>305</v>
      </c>
      <c r="Z1093" t="n">
        <v>253</v>
      </c>
      <c r="AA1093" t="n">
        <v>261</v>
      </c>
      <c r="AB1093" t="n">
        <v>3</v>
      </c>
      <c r="AC1093" t="n">
        <v>3</v>
      </c>
      <c r="AD1093" t="n">
        <v>14</v>
      </c>
      <c r="AE1093" t="n">
        <v>14</v>
      </c>
      <c r="AF1093" t="n">
        <v>3</v>
      </c>
      <c r="AG1093" t="n">
        <v>3</v>
      </c>
      <c r="AH1093" t="n">
        <v>3</v>
      </c>
      <c r="AI1093" t="n">
        <v>3</v>
      </c>
      <c r="AJ1093" t="n">
        <v>10</v>
      </c>
      <c r="AK1093" t="n">
        <v>10</v>
      </c>
      <c r="AL1093" t="n">
        <v>2</v>
      </c>
      <c r="AM1093" t="n">
        <v>2</v>
      </c>
      <c r="AN1093" t="n">
        <v>0</v>
      </c>
      <c r="AO1093" t="n">
        <v>0</v>
      </c>
      <c r="AP1093" t="inlineStr">
        <is>
          <t>No</t>
        </is>
      </c>
      <c r="AQ1093" t="inlineStr">
        <is>
          <t>Yes</t>
        </is>
      </c>
      <c r="AR1093">
        <f>HYPERLINK("http://catalog.hathitrust.org/Record/009182199","HathiTrust Record")</f>
        <v/>
      </c>
      <c r="AS1093">
        <f>HYPERLINK("https://creighton-primo.hosted.exlibrisgroup.com/primo-explore/search?tab=default_tab&amp;search_scope=EVERYTHING&amp;vid=01CRU&amp;lang=en_US&amp;offset=0&amp;query=any,contains,991004451649702656","Catalog Record")</f>
        <v/>
      </c>
      <c r="AT1093">
        <f>HYPERLINK("http://www.worldcat.org/oclc/3516251","WorldCat Record")</f>
        <v/>
      </c>
      <c r="AU1093" t="inlineStr">
        <is>
          <t>10689307:eng</t>
        </is>
      </c>
      <c r="AV1093" t="inlineStr">
        <is>
          <t>3516251</t>
        </is>
      </c>
      <c r="AW1093" t="inlineStr">
        <is>
          <t>991004451649702656</t>
        </is>
      </c>
      <c r="AX1093" t="inlineStr">
        <is>
          <t>991004451649702656</t>
        </is>
      </c>
      <c r="AY1093" t="inlineStr">
        <is>
          <t>2272509730002656</t>
        </is>
      </c>
      <c r="AZ1093" t="inlineStr">
        <is>
          <t>BOOK</t>
        </is>
      </c>
      <c r="BB1093" t="inlineStr">
        <is>
          <t>9780895220073</t>
        </is>
      </c>
      <c r="BC1093" t="inlineStr">
        <is>
          <t>32285001629442</t>
        </is>
      </c>
      <c r="BD1093" t="inlineStr">
        <is>
          <t>893423811</t>
        </is>
      </c>
    </row>
    <row r="1094">
      <c r="A1094" t="inlineStr">
        <is>
          <t>No</t>
        </is>
      </c>
      <c r="B1094" t="inlineStr">
        <is>
          <t>DG279 .L33 1996</t>
        </is>
      </c>
      <c r="C1094" t="inlineStr">
        <is>
          <t>0                      DG 0279000L  33          1996</t>
        </is>
      </c>
      <c r="D1094" t="inlineStr">
        <is>
          <t>Augustus and the principate : the evolution of the system / W.K. Lacey.</t>
        </is>
      </c>
      <c r="F1094" t="inlineStr">
        <is>
          <t>No</t>
        </is>
      </c>
      <c r="G1094" t="inlineStr">
        <is>
          <t>1</t>
        </is>
      </c>
      <c r="H1094" t="inlineStr">
        <is>
          <t>No</t>
        </is>
      </c>
      <c r="I1094" t="inlineStr">
        <is>
          <t>No</t>
        </is>
      </c>
      <c r="J1094" t="inlineStr">
        <is>
          <t>0</t>
        </is>
      </c>
      <c r="K1094" t="inlineStr">
        <is>
          <t>Lacey, W. K. (Walter Kirkpatrick)</t>
        </is>
      </c>
      <c r="L1094" t="inlineStr">
        <is>
          <t>Leeds, Great Britain : Francis Cairns, 1996.</t>
        </is>
      </c>
      <c r="M1094" t="inlineStr">
        <is>
          <t>1996</t>
        </is>
      </c>
      <c r="O1094" t="inlineStr">
        <is>
          <t>eng</t>
        </is>
      </c>
      <c r="P1094" t="inlineStr">
        <is>
          <t>enk</t>
        </is>
      </c>
      <c r="Q1094" t="inlineStr">
        <is>
          <t>ARCA, classical and medieval texts, papers, and monographs ; 35</t>
        </is>
      </c>
      <c r="R1094" t="inlineStr">
        <is>
          <t xml:space="preserve">DG </t>
        </is>
      </c>
      <c r="S1094" t="n">
        <v>3</v>
      </c>
      <c r="T1094" t="n">
        <v>3</v>
      </c>
      <c r="U1094" t="inlineStr">
        <is>
          <t>2005-04-14</t>
        </is>
      </c>
      <c r="V1094" t="inlineStr">
        <is>
          <t>2005-04-14</t>
        </is>
      </c>
      <c r="W1094" t="inlineStr">
        <is>
          <t>1997-12-29</t>
        </is>
      </c>
      <c r="X1094" t="inlineStr">
        <is>
          <t>1997-12-29</t>
        </is>
      </c>
      <c r="Y1094" t="n">
        <v>174</v>
      </c>
      <c r="Z1094" t="n">
        <v>86</v>
      </c>
      <c r="AA1094" t="n">
        <v>87</v>
      </c>
      <c r="AB1094" t="n">
        <v>2</v>
      </c>
      <c r="AC1094" t="n">
        <v>2</v>
      </c>
      <c r="AD1094" t="n">
        <v>3</v>
      </c>
      <c r="AE1094" t="n">
        <v>3</v>
      </c>
      <c r="AF1094" t="n">
        <v>0</v>
      </c>
      <c r="AG1094" t="n">
        <v>0</v>
      </c>
      <c r="AH1094" t="n">
        <v>1</v>
      </c>
      <c r="AI1094" t="n">
        <v>1</v>
      </c>
      <c r="AJ1094" t="n">
        <v>2</v>
      </c>
      <c r="AK1094" t="n">
        <v>2</v>
      </c>
      <c r="AL1094" t="n">
        <v>1</v>
      </c>
      <c r="AM1094" t="n">
        <v>1</v>
      </c>
      <c r="AN1094" t="n">
        <v>0</v>
      </c>
      <c r="AO1094" t="n">
        <v>0</v>
      </c>
      <c r="AP1094" t="inlineStr">
        <is>
          <t>No</t>
        </is>
      </c>
      <c r="AQ1094" t="inlineStr">
        <is>
          <t>Yes</t>
        </is>
      </c>
      <c r="AR1094">
        <f>HYPERLINK("http://catalog.hathitrust.org/Record/003968342","HathiTrust Record")</f>
        <v/>
      </c>
      <c r="AS1094">
        <f>HYPERLINK("https://creighton-primo.hosted.exlibrisgroup.com/primo-explore/search?tab=default_tab&amp;search_scope=EVERYTHING&amp;vid=01CRU&amp;lang=en_US&amp;offset=0&amp;query=any,contains,991002742329702656","Catalog Record")</f>
        <v/>
      </c>
      <c r="AT1094">
        <f>HYPERLINK("http://www.worldcat.org/oclc/36008962","WorldCat Record")</f>
        <v/>
      </c>
      <c r="AU1094" t="inlineStr">
        <is>
          <t>807191807:eng</t>
        </is>
      </c>
      <c r="AV1094" t="inlineStr">
        <is>
          <t>36008962</t>
        </is>
      </c>
      <c r="AW1094" t="inlineStr">
        <is>
          <t>991002742329702656</t>
        </is>
      </c>
      <c r="AX1094" t="inlineStr">
        <is>
          <t>991002742329702656</t>
        </is>
      </c>
      <c r="AY1094" t="inlineStr">
        <is>
          <t>2258914260002656</t>
        </is>
      </c>
      <c r="AZ1094" t="inlineStr">
        <is>
          <t>BOOK</t>
        </is>
      </c>
      <c r="BB1094" t="inlineStr">
        <is>
          <t>9780905205915</t>
        </is>
      </c>
      <c r="BC1094" t="inlineStr">
        <is>
          <t>32285003284824</t>
        </is>
      </c>
      <c r="BD1094" t="inlineStr">
        <is>
          <t>893440464</t>
        </is>
      </c>
    </row>
    <row r="1095">
      <c r="A1095" t="inlineStr">
        <is>
          <t>No</t>
        </is>
      </c>
      <c r="B1095" t="inlineStr">
        <is>
          <t>DG279 .R63</t>
        </is>
      </c>
      <c r="C1095" t="inlineStr">
        <is>
          <t>0                      DG 0279000R  63</t>
        </is>
      </c>
      <c r="D1095" t="inlineStr">
        <is>
          <t>Rome in the Augustan Age.</t>
        </is>
      </c>
      <c r="F1095" t="inlineStr">
        <is>
          <t>No</t>
        </is>
      </c>
      <c r="G1095" t="inlineStr">
        <is>
          <t>1</t>
        </is>
      </c>
      <c r="H1095" t="inlineStr">
        <is>
          <t>No</t>
        </is>
      </c>
      <c r="I1095" t="inlineStr">
        <is>
          <t>No</t>
        </is>
      </c>
      <c r="J1095" t="inlineStr">
        <is>
          <t>0</t>
        </is>
      </c>
      <c r="K1095" t="inlineStr">
        <is>
          <t>Rowell, Henry T.</t>
        </is>
      </c>
      <c r="L1095" t="inlineStr">
        <is>
          <t>Norman, University of Oklahoma Press [1962]</t>
        </is>
      </c>
      <c r="M1095" t="inlineStr">
        <is>
          <t>1962</t>
        </is>
      </c>
      <c r="N1095" t="inlineStr">
        <is>
          <t>[1st ed.]</t>
        </is>
      </c>
      <c r="O1095" t="inlineStr">
        <is>
          <t>eng</t>
        </is>
      </c>
      <c r="P1095" t="inlineStr">
        <is>
          <t>___</t>
        </is>
      </c>
      <c r="Q1095" t="inlineStr">
        <is>
          <t>The Centers of civilization series; 5</t>
        </is>
      </c>
      <c r="R1095" t="inlineStr">
        <is>
          <t xml:space="preserve">DG </t>
        </is>
      </c>
      <c r="S1095" t="n">
        <v>7</v>
      </c>
      <c r="T1095" t="n">
        <v>7</v>
      </c>
      <c r="U1095" t="inlineStr">
        <is>
          <t>2004-12-23</t>
        </is>
      </c>
      <c r="V1095" t="inlineStr">
        <is>
          <t>2004-12-23</t>
        </is>
      </c>
      <c r="W1095" t="inlineStr">
        <is>
          <t>1991-04-10</t>
        </is>
      </c>
      <c r="X1095" t="inlineStr">
        <is>
          <t>1991-04-10</t>
        </is>
      </c>
      <c r="Y1095" t="n">
        <v>1168</v>
      </c>
      <c r="Z1095" t="n">
        <v>1060</v>
      </c>
      <c r="AA1095" t="n">
        <v>1363</v>
      </c>
      <c r="AB1095" t="n">
        <v>4</v>
      </c>
      <c r="AC1095" t="n">
        <v>4</v>
      </c>
      <c r="AD1095" t="n">
        <v>37</v>
      </c>
      <c r="AE1095" t="n">
        <v>38</v>
      </c>
      <c r="AF1095" t="n">
        <v>18</v>
      </c>
      <c r="AG1095" t="n">
        <v>19</v>
      </c>
      <c r="AH1095" t="n">
        <v>7</v>
      </c>
      <c r="AI1095" t="n">
        <v>7</v>
      </c>
      <c r="AJ1095" t="n">
        <v>20</v>
      </c>
      <c r="AK1095" t="n">
        <v>20</v>
      </c>
      <c r="AL1095" t="n">
        <v>3</v>
      </c>
      <c r="AM1095" t="n">
        <v>3</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HYPERLINK("https://creighton-primo.hosted.exlibrisgroup.com/primo-explore/search?tab=default_tab&amp;search_scope=EVERYTHING&amp;vid=01CRU&amp;lang=en_US&amp;offset=0&amp;query=any,contains,991003148619702656","Catalog Record")</f>
        <v/>
      </c>
      <c r="AT1095">
        <f>HYPERLINK("http://www.worldcat.org/oclc/688596","WorldCat Record")</f>
        <v/>
      </c>
      <c r="AU1095" t="inlineStr">
        <is>
          <t>579087:eng</t>
        </is>
      </c>
      <c r="AV1095" t="inlineStr">
        <is>
          <t>688596</t>
        </is>
      </c>
      <c r="AW1095" t="inlineStr">
        <is>
          <t>991003148619702656</t>
        </is>
      </c>
      <c r="AX1095" t="inlineStr">
        <is>
          <t>991003148619702656</t>
        </is>
      </c>
      <c r="AY1095" t="inlineStr">
        <is>
          <t>2272055390002656</t>
        </is>
      </c>
      <c r="AZ1095" t="inlineStr">
        <is>
          <t>BOOK</t>
        </is>
      </c>
      <c r="BC1095" t="inlineStr">
        <is>
          <t>32285000521814</t>
        </is>
      </c>
      <c r="BD1095" t="inlineStr">
        <is>
          <t>893692434</t>
        </is>
      </c>
    </row>
    <row r="1096">
      <c r="A1096" t="inlineStr">
        <is>
          <t>No</t>
        </is>
      </c>
      <c r="B1096" t="inlineStr">
        <is>
          <t>DG28.5 .L38 1999</t>
        </is>
      </c>
      <c r="C1096" t="inlineStr">
        <is>
          <t>0                      DG 0028500L  38          1999</t>
        </is>
      </c>
      <c r="D1096" t="inlineStr">
        <is>
          <t>The roads of Roman Italy : mobility and cultural change / Ray Laurence.</t>
        </is>
      </c>
      <c r="F1096" t="inlineStr">
        <is>
          <t>No</t>
        </is>
      </c>
      <c r="G1096" t="inlineStr">
        <is>
          <t>1</t>
        </is>
      </c>
      <c r="H1096" t="inlineStr">
        <is>
          <t>No</t>
        </is>
      </c>
      <c r="I1096" t="inlineStr">
        <is>
          <t>No</t>
        </is>
      </c>
      <c r="J1096" t="inlineStr">
        <is>
          <t>0</t>
        </is>
      </c>
      <c r="K1096" t="inlineStr">
        <is>
          <t>Laurence, Ray, 1963-</t>
        </is>
      </c>
      <c r="L1096" t="inlineStr">
        <is>
          <t>London ; New York : Routledge, 1999.</t>
        </is>
      </c>
      <c r="M1096" t="inlineStr">
        <is>
          <t>1999</t>
        </is>
      </c>
      <c r="O1096" t="inlineStr">
        <is>
          <t>eng</t>
        </is>
      </c>
      <c r="P1096" t="inlineStr">
        <is>
          <t>enk</t>
        </is>
      </c>
      <c r="R1096" t="inlineStr">
        <is>
          <t xml:space="preserve">DG </t>
        </is>
      </c>
      <c r="S1096" t="n">
        <v>3</v>
      </c>
      <c r="T1096" t="n">
        <v>3</v>
      </c>
      <c r="U1096" t="inlineStr">
        <is>
          <t>2004-06-24</t>
        </is>
      </c>
      <c r="V1096" t="inlineStr">
        <is>
          <t>2004-06-24</t>
        </is>
      </c>
      <c r="W1096" t="inlineStr">
        <is>
          <t>2003-04-30</t>
        </is>
      </c>
      <c r="X1096" t="inlineStr">
        <is>
          <t>2003-04-30</t>
        </is>
      </c>
      <c r="Y1096" t="n">
        <v>289</v>
      </c>
      <c r="Z1096" t="n">
        <v>192</v>
      </c>
      <c r="AA1096" t="n">
        <v>218</v>
      </c>
      <c r="AB1096" t="n">
        <v>1</v>
      </c>
      <c r="AC1096" t="n">
        <v>1</v>
      </c>
      <c r="AD1096" t="n">
        <v>12</v>
      </c>
      <c r="AE1096" t="n">
        <v>12</v>
      </c>
      <c r="AF1096" t="n">
        <v>5</v>
      </c>
      <c r="AG1096" t="n">
        <v>5</v>
      </c>
      <c r="AH1096" t="n">
        <v>3</v>
      </c>
      <c r="AI1096" t="n">
        <v>3</v>
      </c>
      <c r="AJ1096" t="n">
        <v>10</v>
      </c>
      <c r="AK1096" t="n">
        <v>10</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HYPERLINK("https://creighton-primo.hosted.exlibrisgroup.com/primo-explore/search?tab=default_tab&amp;search_scope=EVERYTHING&amp;vid=01CRU&amp;lang=en_US&amp;offset=0&amp;query=any,contains,991004016969702656","Catalog Record")</f>
        <v/>
      </c>
      <c r="AT1096">
        <f>HYPERLINK("http://www.worldcat.org/oclc/40948446","WorldCat Record")</f>
        <v/>
      </c>
      <c r="AU1096" t="inlineStr">
        <is>
          <t>806836316:eng</t>
        </is>
      </c>
      <c r="AV1096" t="inlineStr">
        <is>
          <t>40948446</t>
        </is>
      </c>
      <c r="AW1096" t="inlineStr">
        <is>
          <t>991004016969702656</t>
        </is>
      </c>
      <c r="AX1096" t="inlineStr">
        <is>
          <t>991004016969702656</t>
        </is>
      </c>
      <c r="AY1096" t="inlineStr">
        <is>
          <t>2269154770002656</t>
        </is>
      </c>
      <c r="AZ1096" t="inlineStr">
        <is>
          <t>BOOK</t>
        </is>
      </c>
      <c r="BB1096" t="inlineStr">
        <is>
          <t>9780415166164</t>
        </is>
      </c>
      <c r="BC1096" t="inlineStr">
        <is>
          <t>32285004744735</t>
        </is>
      </c>
      <c r="BD1096" t="inlineStr">
        <is>
          <t>893624244</t>
        </is>
      </c>
    </row>
    <row r="1097">
      <c r="A1097" t="inlineStr">
        <is>
          <t>No</t>
        </is>
      </c>
      <c r="B1097" t="inlineStr">
        <is>
          <t>DG282 .R6</t>
        </is>
      </c>
      <c r="C1097" t="inlineStr">
        <is>
          <t>0                      DG 0282000R  6</t>
        </is>
      </c>
      <c r="D1097" t="inlineStr">
        <is>
          <t>Studies in the reign of Tiberius; some imperial virtues of Tiberius and Drusus Julius Caesar, by Robert Samuel Rogers.</t>
        </is>
      </c>
      <c r="F1097" t="inlineStr">
        <is>
          <t>No</t>
        </is>
      </c>
      <c r="G1097" t="inlineStr">
        <is>
          <t>1</t>
        </is>
      </c>
      <c r="H1097" t="inlineStr">
        <is>
          <t>No</t>
        </is>
      </c>
      <c r="I1097" t="inlineStr">
        <is>
          <t>No</t>
        </is>
      </c>
      <c r="J1097" t="inlineStr">
        <is>
          <t>0</t>
        </is>
      </c>
      <c r="K1097" t="inlineStr">
        <is>
          <t>Rogers, Robert Samuel, -1968.</t>
        </is>
      </c>
      <c r="L1097" t="inlineStr">
        <is>
          <t>Baltimore, The Johns Hopkins Press, 1943.</t>
        </is>
      </c>
      <c r="M1097" t="inlineStr">
        <is>
          <t>1943</t>
        </is>
      </c>
      <c r="O1097" t="inlineStr">
        <is>
          <t>eng</t>
        </is>
      </c>
      <c r="P1097" t="inlineStr">
        <is>
          <t>mdu</t>
        </is>
      </c>
      <c r="R1097" t="inlineStr">
        <is>
          <t xml:space="preserve">DG </t>
        </is>
      </c>
      <c r="S1097" t="n">
        <v>1</v>
      </c>
      <c r="T1097" t="n">
        <v>1</v>
      </c>
      <c r="U1097" t="inlineStr">
        <is>
          <t>2001-02-07</t>
        </is>
      </c>
      <c r="V1097" t="inlineStr">
        <is>
          <t>2001-02-07</t>
        </is>
      </c>
      <c r="W1097" t="inlineStr">
        <is>
          <t>1997-02-04</t>
        </is>
      </c>
      <c r="X1097" t="inlineStr">
        <is>
          <t>1997-02-04</t>
        </is>
      </c>
      <c r="Y1097" t="n">
        <v>279</v>
      </c>
      <c r="Z1097" t="n">
        <v>210</v>
      </c>
      <c r="AA1097" t="n">
        <v>336</v>
      </c>
      <c r="AB1097" t="n">
        <v>2</v>
      </c>
      <c r="AC1097" t="n">
        <v>3</v>
      </c>
      <c r="AD1097" t="n">
        <v>15</v>
      </c>
      <c r="AE1097" t="n">
        <v>19</v>
      </c>
      <c r="AF1097" t="n">
        <v>2</v>
      </c>
      <c r="AG1097" t="n">
        <v>4</v>
      </c>
      <c r="AH1097" t="n">
        <v>4</v>
      </c>
      <c r="AI1097" t="n">
        <v>5</v>
      </c>
      <c r="AJ1097" t="n">
        <v>11</v>
      </c>
      <c r="AK1097" t="n">
        <v>12</v>
      </c>
      <c r="AL1097" t="n">
        <v>1</v>
      </c>
      <c r="AM1097" t="n">
        <v>2</v>
      </c>
      <c r="AN1097" t="n">
        <v>0</v>
      </c>
      <c r="AO1097" t="n">
        <v>0</v>
      </c>
      <c r="AP1097" t="inlineStr">
        <is>
          <t>No</t>
        </is>
      </c>
      <c r="AQ1097" t="inlineStr">
        <is>
          <t>Yes</t>
        </is>
      </c>
      <c r="AR1097">
        <f>HYPERLINK("http://catalog.hathitrust.org/Record/000374965","HathiTrust Record")</f>
        <v/>
      </c>
      <c r="AS1097">
        <f>HYPERLINK("https://creighton-primo.hosted.exlibrisgroup.com/primo-explore/search?tab=default_tab&amp;search_scope=EVERYTHING&amp;vid=01CRU&amp;lang=en_US&amp;offset=0&amp;query=any,contains,991004227309702656","Catalog Record")</f>
        <v/>
      </c>
      <c r="AT1097">
        <f>HYPERLINK("http://www.worldcat.org/oclc/2353360","WorldCat Record")</f>
        <v/>
      </c>
      <c r="AU1097" t="inlineStr">
        <is>
          <t>199057694:eng</t>
        </is>
      </c>
      <c r="AV1097" t="inlineStr">
        <is>
          <t>2353360</t>
        </is>
      </c>
      <c r="AW1097" t="inlineStr">
        <is>
          <t>991004227309702656</t>
        </is>
      </c>
      <c r="AX1097" t="inlineStr">
        <is>
          <t>991004227309702656</t>
        </is>
      </c>
      <c r="AY1097" t="inlineStr">
        <is>
          <t>2257454060002656</t>
        </is>
      </c>
      <c r="AZ1097" t="inlineStr">
        <is>
          <t>BOOK</t>
        </is>
      </c>
      <c r="BC1097" t="inlineStr">
        <is>
          <t>32285002420833</t>
        </is>
      </c>
      <c r="BD1097" t="inlineStr">
        <is>
          <t>893794626</t>
        </is>
      </c>
    </row>
    <row r="1098">
      <c r="A1098" t="inlineStr">
        <is>
          <t>No</t>
        </is>
      </c>
      <c r="B1098" t="inlineStr">
        <is>
          <t>DG283 .B37 1989</t>
        </is>
      </c>
      <c r="C1098" t="inlineStr">
        <is>
          <t>0                      DG 0283000B  37          1989</t>
        </is>
      </c>
      <c r="D1098" t="inlineStr">
        <is>
          <t>Caligula : the corruption of power / Anthony A. Barrett.</t>
        </is>
      </c>
      <c r="F1098" t="inlineStr">
        <is>
          <t>No</t>
        </is>
      </c>
      <c r="G1098" t="inlineStr">
        <is>
          <t>1</t>
        </is>
      </c>
      <c r="H1098" t="inlineStr">
        <is>
          <t>No</t>
        </is>
      </c>
      <c r="I1098" t="inlineStr">
        <is>
          <t>No</t>
        </is>
      </c>
      <c r="J1098" t="inlineStr">
        <is>
          <t>0</t>
        </is>
      </c>
      <c r="K1098" t="inlineStr">
        <is>
          <t>Barrett, Anthony, 1941-</t>
        </is>
      </c>
      <c r="L1098" t="inlineStr">
        <is>
          <t>London : Batsford, 1989.</t>
        </is>
      </c>
      <c r="M1098" t="inlineStr">
        <is>
          <t>1989</t>
        </is>
      </c>
      <c r="O1098" t="inlineStr">
        <is>
          <t>eng</t>
        </is>
      </c>
      <c r="P1098" t="inlineStr">
        <is>
          <t>enk</t>
        </is>
      </c>
      <c r="Q1098" t="inlineStr">
        <is>
          <t>Imperial biographies</t>
        </is>
      </c>
      <c r="R1098" t="inlineStr">
        <is>
          <t xml:space="preserve">DG </t>
        </is>
      </c>
      <c r="S1098" t="n">
        <v>4</v>
      </c>
      <c r="T1098" t="n">
        <v>4</v>
      </c>
      <c r="U1098" t="inlineStr">
        <is>
          <t>1997-06-04</t>
        </is>
      </c>
      <c r="V1098" t="inlineStr">
        <is>
          <t>1997-06-04</t>
        </is>
      </c>
      <c r="W1098" t="inlineStr">
        <is>
          <t>1990-11-26</t>
        </is>
      </c>
      <c r="X1098" t="inlineStr">
        <is>
          <t>1990-11-26</t>
        </is>
      </c>
      <c r="Y1098" t="n">
        <v>191</v>
      </c>
      <c r="Z1098" t="n">
        <v>74</v>
      </c>
      <c r="AA1098" t="n">
        <v>1932</v>
      </c>
      <c r="AB1098" t="n">
        <v>1</v>
      </c>
      <c r="AC1098" t="n">
        <v>34</v>
      </c>
      <c r="AD1098" t="n">
        <v>2</v>
      </c>
      <c r="AE1098" t="n">
        <v>58</v>
      </c>
      <c r="AF1098" t="n">
        <v>0</v>
      </c>
      <c r="AG1098" t="n">
        <v>24</v>
      </c>
      <c r="AH1098" t="n">
        <v>1</v>
      </c>
      <c r="AI1098" t="n">
        <v>8</v>
      </c>
      <c r="AJ1098" t="n">
        <v>2</v>
      </c>
      <c r="AK1098" t="n">
        <v>23</v>
      </c>
      <c r="AL1098" t="n">
        <v>0</v>
      </c>
      <c r="AM1098" t="n">
        <v>15</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HYPERLINK("https://creighton-primo.hosted.exlibrisgroup.com/primo-explore/search?tab=default_tab&amp;search_scope=EVERYTHING&amp;vid=01CRU&amp;lang=en_US&amp;offset=0&amp;query=any,contains,991001572779702656","Catalog Record")</f>
        <v/>
      </c>
      <c r="AT1098">
        <f>HYPERLINK("http://www.worldcat.org/oclc/23941625","WorldCat Record")</f>
        <v/>
      </c>
      <c r="AU1098" t="inlineStr">
        <is>
          <t>606286:eng</t>
        </is>
      </c>
      <c r="AV1098" t="inlineStr">
        <is>
          <t>23941625</t>
        </is>
      </c>
      <c r="AW1098" t="inlineStr">
        <is>
          <t>991001572779702656</t>
        </is>
      </c>
      <c r="AX1098" t="inlineStr">
        <is>
          <t>991001572779702656</t>
        </is>
      </c>
      <c r="AY1098" t="inlineStr">
        <is>
          <t>2260164330002656</t>
        </is>
      </c>
      <c r="AZ1098" t="inlineStr">
        <is>
          <t>BOOK</t>
        </is>
      </c>
      <c r="BB1098" t="inlineStr">
        <is>
          <t>9780713454871</t>
        </is>
      </c>
      <c r="BC1098" t="inlineStr">
        <is>
          <t>32285000356971</t>
        </is>
      </c>
      <c r="BD1098" t="inlineStr">
        <is>
          <t>893696832</t>
        </is>
      </c>
    </row>
    <row r="1099">
      <c r="A1099" t="inlineStr">
        <is>
          <t>No</t>
        </is>
      </c>
      <c r="B1099" t="inlineStr">
        <is>
          <t>DG283 .F47 1991</t>
        </is>
      </c>
      <c r="C1099" t="inlineStr">
        <is>
          <t>0                      DG 0283000F  47          1991</t>
        </is>
      </c>
      <c r="D1099" t="inlineStr">
        <is>
          <t>Caligula : emperor of Rome / Arther Ferrill.</t>
        </is>
      </c>
      <c r="F1099" t="inlineStr">
        <is>
          <t>No</t>
        </is>
      </c>
      <c r="G1099" t="inlineStr">
        <is>
          <t>1</t>
        </is>
      </c>
      <c r="H1099" t="inlineStr">
        <is>
          <t>No</t>
        </is>
      </c>
      <c r="I1099" t="inlineStr">
        <is>
          <t>No</t>
        </is>
      </c>
      <c r="J1099" t="inlineStr">
        <is>
          <t>0</t>
        </is>
      </c>
      <c r="K1099" t="inlineStr">
        <is>
          <t>Ferrill, Arther.</t>
        </is>
      </c>
      <c r="L1099" t="inlineStr">
        <is>
          <t>London : Thames and Hudson, c1991.</t>
        </is>
      </c>
      <c r="M1099" t="inlineStr">
        <is>
          <t>1991</t>
        </is>
      </c>
      <c r="O1099" t="inlineStr">
        <is>
          <t>eng</t>
        </is>
      </c>
      <c r="P1099" t="inlineStr">
        <is>
          <t>enk</t>
        </is>
      </c>
      <c r="R1099" t="inlineStr">
        <is>
          <t xml:space="preserve">DG </t>
        </is>
      </c>
      <c r="S1099" t="n">
        <v>3</v>
      </c>
      <c r="T1099" t="n">
        <v>3</v>
      </c>
      <c r="U1099" t="inlineStr">
        <is>
          <t>2010-10-20</t>
        </is>
      </c>
      <c r="V1099" t="inlineStr">
        <is>
          <t>2010-10-20</t>
        </is>
      </c>
      <c r="W1099" t="inlineStr">
        <is>
          <t>1991-08-13</t>
        </is>
      </c>
      <c r="X1099" t="inlineStr">
        <is>
          <t>1991-08-13</t>
        </is>
      </c>
      <c r="Y1099" t="n">
        <v>704</v>
      </c>
      <c r="Z1099" t="n">
        <v>553</v>
      </c>
      <c r="AA1099" t="n">
        <v>570</v>
      </c>
      <c r="AB1099" t="n">
        <v>7</v>
      </c>
      <c r="AC1099" t="n">
        <v>7</v>
      </c>
      <c r="AD1099" t="n">
        <v>16</v>
      </c>
      <c r="AE1099" t="n">
        <v>16</v>
      </c>
      <c r="AF1099" t="n">
        <v>4</v>
      </c>
      <c r="AG1099" t="n">
        <v>4</v>
      </c>
      <c r="AH1099" t="n">
        <v>3</v>
      </c>
      <c r="AI1099" t="n">
        <v>3</v>
      </c>
      <c r="AJ1099" t="n">
        <v>8</v>
      </c>
      <c r="AK1099" t="n">
        <v>8</v>
      </c>
      <c r="AL1099" t="n">
        <v>5</v>
      </c>
      <c r="AM1099" t="n">
        <v>5</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HYPERLINK("https://creighton-primo.hosted.exlibrisgroup.com/primo-explore/search?tab=default_tab&amp;search_scope=EVERYTHING&amp;vid=01CRU&amp;lang=en_US&amp;offset=0&amp;query=any,contains,991001907749702656","Catalog Record")</f>
        <v/>
      </c>
      <c r="AT1099">
        <f>HYPERLINK("http://www.worldcat.org/oclc/26096441","WorldCat Record")</f>
        <v/>
      </c>
      <c r="AU1099" t="inlineStr">
        <is>
          <t>288044701:eng</t>
        </is>
      </c>
      <c r="AV1099" t="inlineStr">
        <is>
          <t>26096441</t>
        </is>
      </c>
      <c r="AW1099" t="inlineStr">
        <is>
          <t>991001907749702656</t>
        </is>
      </c>
      <c r="AX1099" t="inlineStr">
        <is>
          <t>991001907749702656</t>
        </is>
      </c>
      <c r="AY1099" t="inlineStr">
        <is>
          <t>2256477750002656</t>
        </is>
      </c>
      <c r="AZ1099" t="inlineStr">
        <is>
          <t>BOOK</t>
        </is>
      </c>
      <c r="BB1099" t="inlineStr">
        <is>
          <t>9780500251126</t>
        </is>
      </c>
      <c r="BC1099" t="inlineStr">
        <is>
          <t>32285000700541</t>
        </is>
      </c>
      <c r="BD1099" t="inlineStr">
        <is>
          <t>893414607</t>
        </is>
      </c>
    </row>
    <row r="1100">
      <c r="A1100" t="inlineStr">
        <is>
          <t>No</t>
        </is>
      </c>
      <c r="B1100" t="inlineStr">
        <is>
          <t>DG285 .A2</t>
        </is>
      </c>
      <c r="C1100" t="inlineStr">
        <is>
          <t>0                      DG 0285000A  2</t>
        </is>
      </c>
      <c r="D1100" t="inlineStr">
        <is>
          <t>History of Nero. By Jacob Abbott.</t>
        </is>
      </c>
      <c r="F1100" t="inlineStr">
        <is>
          <t>No</t>
        </is>
      </c>
      <c r="G1100" t="inlineStr">
        <is>
          <t>1</t>
        </is>
      </c>
      <c r="H1100" t="inlineStr">
        <is>
          <t>No</t>
        </is>
      </c>
      <c r="I1100" t="inlineStr">
        <is>
          <t>No</t>
        </is>
      </c>
      <c r="J1100" t="inlineStr">
        <is>
          <t>0</t>
        </is>
      </c>
      <c r="K1100" t="inlineStr">
        <is>
          <t>Abbott, Jacob, 1803-1879.</t>
        </is>
      </c>
      <c r="L1100" t="inlineStr">
        <is>
          <t>New York, Harper &amp; Brothers, 1853,</t>
        </is>
      </c>
      <c r="M1100" t="inlineStr">
        <is>
          <t>1853</t>
        </is>
      </c>
      <c r="O1100" t="inlineStr">
        <is>
          <t>eng</t>
        </is>
      </c>
      <c r="P1100" t="inlineStr">
        <is>
          <t>nyu</t>
        </is>
      </c>
      <c r="R1100" t="inlineStr">
        <is>
          <t xml:space="preserve">DG </t>
        </is>
      </c>
      <c r="S1100" t="n">
        <v>3</v>
      </c>
      <c r="T1100" t="n">
        <v>3</v>
      </c>
      <c r="U1100" t="inlineStr">
        <is>
          <t>2003-03-28</t>
        </is>
      </c>
      <c r="V1100" t="inlineStr">
        <is>
          <t>2003-03-28</t>
        </is>
      </c>
      <c r="W1100" t="inlineStr">
        <is>
          <t>1997-02-04</t>
        </is>
      </c>
      <c r="X1100" t="inlineStr">
        <is>
          <t>1997-02-04</t>
        </is>
      </c>
      <c r="Y1100" t="n">
        <v>69</v>
      </c>
      <c r="Z1100" t="n">
        <v>68</v>
      </c>
      <c r="AA1100" t="n">
        <v>192</v>
      </c>
      <c r="AB1100" t="n">
        <v>1</v>
      </c>
      <c r="AC1100" t="n">
        <v>2</v>
      </c>
      <c r="AD1100" t="n">
        <v>0</v>
      </c>
      <c r="AE1100" t="n">
        <v>9</v>
      </c>
      <c r="AF1100" t="n">
        <v>0</v>
      </c>
      <c r="AG1100" t="n">
        <v>2</v>
      </c>
      <c r="AH1100" t="n">
        <v>0</v>
      </c>
      <c r="AI1100" t="n">
        <v>3</v>
      </c>
      <c r="AJ1100" t="n">
        <v>0</v>
      </c>
      <c r="AK1100" t="n">
        <v>5</v>
      </c>
      <c r="AL1100" t="n">
        <v>0</v>
      </c>
      <c r="AM1100" t="n">
        <v>1</v>
      </c>
      <c r="AN1100" t="n">
        <v>0</v>
      </c>
      <c r="AO1100" t="n">
        <v>0</v>
      </c>
      <c r="AP1100" t="inlineStr">
        <is>
          <t>Yes</t>
        </is>
      </c>
      <c r="AQ1100" t="inlineStr">
        <is>
          <t>No</t>
        </is>
      </c>
      <c r="AR1100">
        <f>HYPERLINK("http://catalog.hathitrust.org/Record/007677753","HathiTrust Record")</f>
        <v/>
      </c>
      <c r="AS1100">
        <f>HYPERLINK("https://creighton-primo.hosted.exlibrisgroup.com/primo-explore/search?tab=default_tab&amp;search_scope=EVERYTHING&amp;vid=01CRU&amp;lang=en_US&amp;offset=0&amp;query=any,contains,991004260389702656","Catalog Record")</f>
        <v/>
      </c>
      <c r="AT1100">
        <f>HYPERLINK("http://www.worldcat.org/oclc/2841132","WorldCat Record")</f>
        <v/>
      </c>
      <c r="AU1100" t="inlineStr">
        <is>
          <t>1150898595:eng</t>
        </is>
      </c>
      <c r="AV1100" t="inlineStr">
        <is>
          <t>2841132</t>
        </is>
      </c>
      <c r="AW1100" t="inlineStr">
        <is>
          <t>991004260389702656</t>
        </is>
      </c>
      <c r="AX1100" t="inlineStr">
        <is>
          <t>991004260389702656</t>
        </is>
      </c>
      <c r="AY1100" t="inlineStr">
        <is>
          <t>2266764130002656</t>
        </is>
      </c>
      <c r="AZ1100" t="inlineStr">
        <is>
          <t>BOOK</t>
        </is>
      </c>
      <c r="BC1100" t="inlineStr">
        <is>
          <t>32285002420866</t>
        </is>
      </c>
      <c r="BD1100" t="inlineStr">
        <is>
          <t>893599616</t>
        </is>
      </c>
    </row>
    <row r="1101">
      <c r="A1101" t="inlineStr">
        <is>
          <t>No</t>
        </is>
      </c>
      <c r="B1101" t="inlineStr">
        <is>
          <t>DG285 .B4</t>
        </is>
      </c>
      <c r="C1101" t="inlineStr">
        <is>
          <t>0                      DG 0285000B  4</t>
        </is>
      </c>
      <c r="D1101" t="inlineStr">
        <is>
          <t>Nero, the man and the legend / by John Bishop.</t>
        </is>
      </c>
      <c r="F1101" t="inlineStr">
        <is>
          <t>No</t>
        </is>
      </c>
      <c r="G1101" t="inlineStr">
        <is>
          <t>1</t>
        </is>
      </c>
      <c r="H1101" t="inlineStr">
        <is>
          <t>No</t>
        </is>
      </c>
      <c r="I1101" t="inlineStr">
        <is>
          <t>No</t>
        </is>
      </c>
      <c r="J1101" t="inlineStr">
        <is>
          <t>0</t>
        </is>
      </c>
      <c r="K1101" t="inlineStr">
        <is>
          <t>Bishop, John H.</t>
        </is>
      </c>
      <c r="L1101" t="inlineStr">
        <is>
          <t>New York : A.S. Barnes, [1965, c1964]</t>
        </is>
      </c>
      <c r="M1101" t="inlineStr">
        <is>
          <t>1965</t>
        </is>
      </c>
      <c r="O1101" t="inlineStr">
        <is>
          <t>eng</t>
        </is>
      </c>
      <c r="P1101" t="inlineStr">
        <is>
          <t>nyu</t>
        </is>
      </c>
      <c r="R1101" t="inlineStr">
        <is>
          <t xml:space="preserve">DG </t>
        </is>
      </c>
      <c r="S1101" t="n">
        <v>3</v>
      </c>
      <c r="T1101" t="n">
        <v>3</v>
      </c>
      <c r="U1101" t="inlineStr">
        <is>
          <t>2008-04-17</t>
        </is>
      </c>
      <c r="V1101" t="inlineStr">
        <is>
          <t>2008-04-17</t>
        </is>
      </c>
      <c r="W1101" t="inlineStr">
        <is>
          <t>1991-02-14</t>
        </is>
      </c>
      <c r="X1101" t="inlineStr">
        <is>
          <t>1991-02-14</t>
        </is>
      </c>
      <c r="Y1101" t="n">
        <v>343</v>
      </c>
      <c r="Z1101" t="n">
        <v>328</v>
      </c>
      <c r="AA1101" t="n">
        <v>469</v>
      </c>
      <c r="AB1101" t="n">
        <v>2</v>
      </c>
      <c r="AC1101" t="n">
        <v>3</v>
      </c>
      <c r="AD1101" t="n">
        <v>7</v>
      </c>
      <c r="AE1101" t="n">
        <v>13</v>
      </c>
      <c r="AF1101" t="n">
        <v>2</v>
      </c>
      <c r="AG1101" t="n">
        <v>2</v>
      </c>
      <c r="AH1101" t="n">
        <v>4</v>
      </c>
      <c r="AI1101" t="n">
        <v>5</v>
      </c>
      <c r="AJ1101" t="n">
        <v>1</v>
      </c>
      <c r="AK1101" t="n">
        <v>6</v>
      </c>
      <c r="AL1101" t="n">
        <v>1</v>
      </c>
      <c r="AM1101" t="n">
        <v>2</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HYPERLINK("https://creighton-primo.hosted.exlibrisgroup.com/primo-explore/search?tab=default_tab&amp;search_scope=EVERYTHING&amp;vid=01CRU&amp;lang=en_US&amp;offset=0&amp;query=any,contains,991003244119702656","Catalog Record")</f>
        <v/>
      </c>
      <c r="AT1101">
        <f>HYPERLINK("http://www.worldcat.org/oclc/767162","WorldCat Record")</f>
        <v/>
      </c>
      <c r="AU1101" t="inlineStr">
        <is>
          <t>141231977:eng</t>
        </is>
      </c>
      <c r="AV1101" t="inlineStr">
        <is>
          <t>767162</t>
        </is>
      </c>
      <c r="AW1101" t="inlineStr">
        <is>
          <t>991003244119702656</t>
        </is>
      </c>
      <c r="AX1101" t="inlineStr">
        <is>
          <t>991003244119702656</t>
        </is>
      </c>
      <c r="AY1101" t="inlineStr">
        <is>
          <t>2267146650002656</t>
        </is>
      </c>
      <c r="AZ1101" t="inlineStr">
        <is>
          <t>BOOK</t>
        </is>
      </c>
      <c r="BC1101" t="inlineStr">
        <is>
          <t>32285000510189</t>
        </is>
      </c>
      <c r="BD1101" t="inlineStr">
        <is>
          <t>893441065</t>
        </is>
      </c>
    </row>
    <row r="1102">
      <c r="A1102" t="inlineStr">
        <is>
          <t>No</t>
        </is>
      </c>
      <c r="B1102" t="inlineStr">
        <is>
          <t>DG286 .A84 1999</t>
        </is>
      </c>
      <c r="C1102" t="inlineStr">
        <is>
          <t>0                      DG 0286000A  84          1999</t>
        </is>
      </c>
      <c r="D1102" t="inlineStr">
        <is>
          <t>Ordering anarchy : armies and leaders in Tacitus' Histories / Rhiannon Ash.</t>
        </is>
      </c>
      <c r="F1102" t="inlineStr">
        <is>
          <t>No</t>
        </is>
      </c>
      <c r="G1102" t="inlineStr">
        <is>
          <t>1</t>
        </is>
      </c>
      <c r="H1102" t="inlineStr">
        <is>
          <t>No</t>
        </is>
      </c>
      <c r="I1102" t="inlineStr">
        <is>
          <t>No</t>
        </is>
      </c>
      <c r="J1102" t="inlineStr">
        <is>
          <t>0</t>
        </is>
      </c>
      <c r="K1102" t="inlineStr">
        <is>
          <t>Ash, Rhiannon.</t>
        </is>
      </c>
      <c r="L1102" t="inlineStr">
        <is>
          <t>London : Duckworth, 1999.</t>
        </is>
      </c>
      <c r="M1102" t="inlineStr">
        <is>
          <t>1999</t>
        </is>
      </c>
      <c r="O1102" t="inlineStr">
        <is>
          <t>eng</t>
        </is>
      </c>
      <c r="P1102" t="inlineStr">
        <is>
          <t>enk</t>
        </is>
      </c>
      <c r="R1102" t="inlineStr">
        <is>
          <t xml:space="preserve">DG </t>
        </is>
      </c>
      <c r="S1102" t="n">
        <v>4</v>
      </c>
      <c r="T1102" t="n">
        <v>4</v>
      </c>
      <c r="U1102" t="inlineStr">
        <is>
          <t>2007-10-29</t>
        </is>
      </c>
      <c r="V1102" t="inlineStr">
        <is>
          <t>2007-10-29</t>
        </is>
      </c>
      <c r="W1102" t="inlineStr">
        <is>
          <t>2000-11-01</t>
        </is>
      </c>
      <c r="X1102" t="inlineStr">
        <is>
          <t>2000-11-01</t>
        </is>
      </c>
      <c r="Y1102" t="n">
        <v>102</v>
      </c>
      <c r="Z1102" t="n">
        <v>35</v>
      </c>
      <c r="AA1102" t="n">
        <v>271</v>
      </c>
      <c r="AB1102" t="n">
        <v>1</v>
      </c>
      <c r="AC1102" t="n">
        <v>4</v>
      </c>
      <c r="AD1102" t="n">
        <v>3</v>
      </c>
      <c r="AE1102" t="n">
        <v>16</v>
      </c>
      <c r="AF1102" t="n">
        <v>1</v>
      </c>
      <c r="AG1102" t="n">
        <v>3</v>
      </c>
      <c r="AH1102" t="n">
        <v>2</v>
      </c>
      <c r="AI1102" t="n">
        <v>5</v>
      </c>
      <c r="AJ1102" t="n">
        <v>3</v>
      </c>
      <c r="AK1102" t="n">
        <v>10</v>
      </c>
      <c r="AL1102" t="n">
        <v>0</v>
      </c>
      <c r="AM1102" t="n">
        <v>3</v>
      </c>
      <c r="AN1102" t="n">
        <v>0</v>
      </c>
      <c r="AO1102" t="n">
        <v>0</v>
      </c>
      <c r="AP1102" t="inlineStr">
        <is>
          <t>No</t>
        </is>
      </c>
      <c r="AQ1102" t="inlineStr">
        <is>
          <t>Yes</t>
        </is>
      </c>
      <c r="AR1102">
        <f>HYPERLINK("http://catalog.hathitrust.org/Record/004067610","HathiTrust Record")</f>
        <v/>
      </c>
      <c r="AS1102">
        <f>HYPERLINK("https://creighton-primo.hosted.exlibrisgroup.com/primo-explore/search?tab=default_tab&amp;search_scope=EVERYTHING&amp;vid=01CRU&amp;lang=en_US&amp;offset=0&amp;query=any,contains,991003256409702656","Catalog Record")</f>
        <v/>
      </c>
      <c r="AT1102">
        <f>HYPERLINK("http://www.worldcat.org/oclc/42958975","WorldCat Record")</f>
        <v/>
      </c>
      <c r="AU1102" t="inlineStr">
        <is>
          <t>27670996:eng</t>
        </is>
      </c>
      <c r="AV1102" t="inlineStr">
        <is>
          <t>42958975</t>
        </is>
      </c>
      <c r="AW1102" t="inlineStr">
        <is>
          <t>991003256409702656</t>
        </is>
      </c>
      <c r="AX1102" t="inlineStr">
        <is>
          <t>991003256409702656</t>
        </is>
      </c>
      <c r="AY1102" t="inlineStr">
        <is>
          <t>2262637130002656</t>
        </is>
      </c>
      <c r="AZ1102" t="inlineStr">
        <is>
          <t>BOOK</t>
        </is>
      </c>
      <c r="BB1102" t="inlineStr">
        <is>
          <t>9780715628003</t>
        </is>
      </c>
      <c r="BC1102" t="inlineStr">
        <is>
          <t>32285004262258</t>
        </is>
      </c>
      <c r="BD1102" t="inlineStr">
        <is>
          <t>893535404</t>
        </is>
      </c>
    </row>
    <row r="1103">
      <c r="A1103" t="inlineStr">
        <is>
          <t>No</t>
        </is>
      </c>
      <c r="B1103" t="inlineStr">
        <is>
          <t>DG286 .M3</t>
        </is>
      </c>
      <c r="C1103" t="inlineStr">
        <is>
          <t>0                      DG 0286000M  3</t>
        </is>
      </c>
      <c r="D1103" t="inlineStr">
        <is>
          <t>Select documents of the principates of the Flavian emperors : including the year of revolution, A.D. 68-96 / collected by M. McCrum and A. G. Woodhead.</t>
        </is>
      </c>
      <c r="F1103" t="inlineStr">
        <is>
          <t>No</t>
        </is>
      </c>
      <c r="G1103" t="inlineStr">
        <is>
          <t>1</t>
        </is>
      </c>
      <c r="H1103" t="inlineStr">
        <is>
          <t>No</t>
        </is>
      </c>
      <c r="I1103" t="inlineStr">
        <is>
          <t>No</t>
        </is>
      </c>
      <c r="J1103" t="inlineStr">
        <is>
          <t>0</t>
        </is>
      </c>
      <c r="K1103" t="inlineStr">
        <is>
          <t>McCrum, M. (Michael)</t>
        </is>
      </c>
      <c r="L1103" t="inlineStr">
        <is>
          <t>Cambridge : The University Press, 1966, 1961.</t>
        </is>
      </c>
      <c r="M1103" t="inlineStr">
        <is>
          <t>1966</t>
        </is>
      </c>
      <c r="O1103" t="inlineStr">
        <is>
          <t>eng</t>
        </is>
      </c>
      <c r="P1103" t="inlineStr">
        <is>
          <t>enk</t>
        </is>
      </c>
      <c r="R1103" t="inlineStr">
        <is>
          <t xml:space="preserve">DG </t>
        </is>
      </c>
      <c r="S1103" t="n">
        <v>4</v>
      </c>
      <c r="T1103" t="n">
        <v>4</v>
      </c>
      <c r="U1103" t="inlineStr">
        <is>
          <t>2009-07-06</t>
        </is>
      </c>
      <c r="V1103" t="inlineStr">
        <is>
          <t>2009-07-06</t>
        </is>
      </c>
      <c r="W1103" t="inlineStr">
        <is>
          <t>1997-02-04</t>
        </is>
      </c>
      <c r="X1103" t="inlineStr">
        <is>
          <t>1997-02-04</t>
        </is>
      </c>
      <c r="Y1103" t="n">
        <v>62</v>
      </c>
      <c r="Z1103" t="n">
        <v>46</v>
      </c>
      <c r="AA1103" t="n">
        <v>50</v>
      </c>
      <c r="AB1103" t="n">
        <v>1</v>
      </c>
      <c r="AC1103" t="n">
        <v>1</v>
      </c>
      <c r="AD1103" t="n">
        <v>3</v>
      </c>
      <c r="AE1103" t="n">
        <v>4</v>
      </c>
      <c r="AF1103" t="n">
        <v>1</v>
      </c>
      <c r="AG1103" t="n">
        <v>2</v>
      </c>
      <c r="AH1103" t="n">
        <v>1</v>
      </c>
      <c r="AI1103" t="n">
        <v>1</v>
      </c>
      <c r="AJ1103" t="n">
        <v>2</v>
      </c>
      <c r="AK1103" t="n">
        <v>2</v>
      </c>
      <c r="AL1103" t="n">
        <v>0</v>
      </c>
      <c r="AM1103" t="n">
        <v>0</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HYPERLINK("https://creighton-primo.hosted.exlibrisgroup.com/primo-explore/search?tab=default_tab&amp;search_scope=EVERYTHING&amp;vid=01CRU&amp;lang=en_US&amp;offset=0&amp;query=any,contains,991000074479702656","Catalog Record")</f>
        <v/>
      </c>
      <c r="AT1103">
        <f>HYPERLINK("http://www.worldcat.org/oclc/8804390","WorldCat Record")</f>
        <v/>
      </c>
      <c r="AU1103" t="inlineStr">
        <is>
          <t>478738039:eng</t>
        </is>
      </c>
      <c r="AV1103" t="inlineStr">
        <is>
          <t>8804390</t>
        </is>
      </c>
      <c r="AW1103" t="inlineStr">
        <is>
          <t>991000074479702656</t>
        </is>
      </c>
      <c r="AX1103" t="inlineStr">
        <is>
          <t>991000074479702656</t>
        </is>
      </c>
      <c r="AY1103" t="inlineStr">
        <is>
          <t>2272789880002656</t>
        </is>
      </c>
      <c r="AZ1103" t="inlineStr">
        <is>
          <t>BOOK</t>
        </is>
      </c>
      <c r="BC1103" t="inlineStr">
        <is>
          <t>32285002420890</t>
        </is>
      </c>
      <c r="BD1103" t="inlineStr">
        <is>
          <t>893613860</t>
        </is>
      </c>
    </row>
    <row r="1104">
      <c r="A1104" t="inlineStr">
        <is>
          <t>No</t>
        </is>
      </c>
      <c r="B1104" t="inlineStr">
        <is>
          <t>DG288.T323 C46</t>
        </is>
      </c>
      <c r="C1104" t="inlineStr">
        <is>
          <t>0                      DG 0288000T  323                C  46</t>
        </is>
      </c>
      <c r="D1104" t="inlineStr">
        <is>
          <t>A historical commentary on Tacitus' Histories I and II / by G. E. F. Chilver.</t>
        </is>
      </c>
      <c r="F1104" t="inlineStr">
        <is>
          <t>No</t>
        </is>
      </c>
      <c r="G1104" t="inlineStr">
        <is>
          <t>1</t>
        </is>
      </c>
      <c r="H1104" t="inlineStr">
        <is>
          <t>No</t>
        </is>
      </c>
      <c r="I1104" t="inlineStr">
        <is>
          <t>No</t>
        </is>
      </c>
      <c r="J1104" t="inlineStr">
        <is>
          <t>0</t>
        </is>
      </c>
      <c r="K1104" t="inlineStr">
        <is>
          <t>Chilver, Guy Edward Farquhar.</t>
        </is>
      </c>
      <c r="L1104" t="inlineStr">
        <is>
          <t>Oxford [Eng.] : Clarendon Press ; New York : Oxford University Press, 1979.</t>
        </is>
      </c>
      <c r="M1104" t="inlineStr">
        <is>
          <t>1979</t>
        </is>
      </c>
      <c r="O1104" t="inlineStr">
        <is>
          <t>eng</t>
        </is>
      </c>
      <c r="P1104" t="inlineStr">
        <is>
          <t>enk</t>
        </is>
      </c>
      <c r="R1104" t="inlineStr">
        <is>
          <t xml:space="preserve">DG </t>
        </is>
      </c>
      <c r="S1104" t="n">
        <v>13</v>
      </c>
      <c r="T1104" t="n">
        <v>13</v>
      </c>
      <c r="U1104" t="inlineStr">
        <is>
          <t>2003-10-30</t>
        </is>
      </c>
      <c r="V1104" t="inlineStr">
        <is>
          <t>2003-10-30</t>
        </is>
      </c>
      <c r="W1104" t="inlineStr">
        <is>
          <t>1990-07-09</t>
        </is>
      </c>
      <c r="X1104" t="inlineStr">
        <is>
          <t>1990-07-09</t>
        </is>
      </c>
      <c r="Y1104" t="n">
        <v>525</v>
      </c>
      <c r="Z1104" t="n">
        <v>392</v>
      </c>
      <c r="AA1104" t="n">
        <v>397</v>
      </c>
      <c r="AB1104" t="n">
        <v>3</v>
      </c>
      <c r="AC1104" t="n">
        <v>3</v>
      </c>
      <c r="AD1104" t="n">
        <v>24</v>
      </c>
      <c r="AE1104" t="n">
        <v>24</v>
      </c>
      <c r="AF1104" t="n">
        <v>7</v>
      </c>
      <c r="AG1104" t="n">
        <v>7</v>
      </c>
      <c r="AH1104" t="n">
        <v>7</v>
      </c>
      <c r="AI1104" t="n">
        <v>7</v>
      </c>
      <c r="AJ1104" t="n">
        <v>16</v>
      </c>
      <c r="AK1104" t="n">
        <v>16</v>
      </c>
      <c r="AL1104" t="n">
        <v>2</v>
      </c>
      <c r="AM1104" t="n">
        <v>2</v>
      </c>
      <c r="AN1104" t="n">
        <v>0</v>
      </c>
      <c r="AO1104" t="n">
        <v>0</v>
      </c>
      <c r="AP1104" t="inlineStr">
        <is>
          <t>No</t>
        </is>
      </c>
      <c r="AQ1104" t="inlineStr">
        <is>
          <t>Yes</t>
        </is>
      </c>
      <c r="AR1104">
        <f>HYPERLINK("http://catalog.hathitrust.org/Record/000730406","HathiTrust Record")</f>
        <v/>
      </c>
      <c r="AS1104">
        <f>HYPERLINK("https://creighton-primo.hosted.exlibrisgroup.com/primo-explore/search?tab=default_tab&amp;search_scope=EVERYTHING&amp;vid=01CRU&amp;lang=en_US&amp;offset=0&amp;query=any,contains,991004913839702656","Catalog Record")</f>
        <v/>
      </c>
      <c r="AT1104">
        <f>HYPERLINK("http://www.worldcat.org/oclc/6010922","WorldCat Record")</f>
        <v/>
      </c>
      <c r="AU1104" t="inlineStr">
        <is>
          <t>415846:eng</t>
        </is>
      </c>
      <c r="AV1104" t="inlineStr">
        <is>
          <t>6010922</t>
        </is>
      </c>
      <c r="AW1104" t="inlineStr">
        <is>
          <t>991004913839702656</t>
        </is>
      </c>
      <c r="AX1104" t="inlineStr">
        <is>
          <t>991004913839702656</t>
        </is>
      </c>
      <c r="AY1104" t="inlineStr">
        <is>
          <t>2259025020002656</t>
        </is>
      </c>
      <c r="AZ1104" t="inlineStr">
        <is>
          <t>BOOK</t>
        </is>
      </c>
      <c r="BB1104" t="inlineStr">
        <is>
          <t>9780198148302</t>
        </is>
      </c>
      <c r="BC1104" t="inlineStr">
        <is>
          <t>32285000226752</t>
        </is>
      </c>
      <c r="BD1104" t="inlineStr">
        <is>
          <t>893338272</t>
        </is>
      </c>
    </row>
    <row r="1105">
      <c r="A1105" t="inlineStr">
        <is>
          <t>No</t>
        </is>
      </c>
      <c r="B1105" t="inlineStr">
        <is>
          <t>DG29.A6 V613 2004</t>
        </is>
      </c>
      <c r="C1105" t="inlineStr">
        <is>
          <t>0                      DG 0029000A  6                  V  613         2004</t>
        </is>
      </c>
      <c r="D1105" t="inlineStr">
        <is>
          <t>The Appian Way : from its foundation to the Middle Ages / edited by Ivana Della Portella ; text, Ivana Della Portella, Giuseppina Pisani Sartorio, Francesca Ventre ; photographs, Franco Mammana.</t>
        </is>
      </c>
      <c r="F1105" t="inlineStr">
        <is>
          <t>No</t>
        </is>
      </c>
      <c r="G1105" t="inlineStr">
        <is>
          <t>1</t>
        </is>
      </c>
      <c r="H1105" t="inlineStr">
        <is>
          <t>No</t>
        </is>
      </c>
      <c r="I1105" t="inlineStr">
        <is>
          <t>No</t>
        </is>
      </c>
      <c r="J1105" t="inlineStr">
        <is>
          <t>0</t>
        </is>
      </c>
      <c r="K1105" t="inlineStr">
        <is>
          <t>Via Appia antica. English.</t>
        </is>
      </c>
      <c r="L1105" t="inlineStr">
        <is>
          <t>Los Angeles : J. Paul Getty Museum, 2004.</t>
        </is>
      </c>
      <c r="M1105" t="inlineStr">
        <is>
          <t>2004</t>
        </is>
      </c>
      <c r="O1105" t="inlineStr">
        <is>
          <t>eng</t>
        </is>
      </c>
      <c r="P1105" t="inlineStr">
        <is>
          <t>cau</t>
        </is>
      </c>
      <c r="R1105" t="inlineStr">
        <is>
          <t xml:space="preserve">DG </t>
        </is>
      </c>
      <c r="S1105" t="n">
        <v>3</v>
      </c>
      <c r="T1105" t="n">
        <v>3</v>
      </c>
      <c r="U1105" t="inlineStr">
        <is>
          <t>2005-01-10</t>
        </is>
      </c>
      <c r="V1105" t="inlineStr">
        <is>
          <t>2005-01-10</t>
        </is>
      </c>
      <c r="W1105" t="inlineStr">
        <is>
          <t>2004-08-30</t>
        </is>
      </c>
      <c r="X1105" t="inlineStr">
        <is>
          <t>2004-08-30</t>
        </is>
      </c>
      <c r="Y1105" t="n">
        <v>313</v>
      </c>
      <c r="Z1105" t="n">
        <v>247</v>
      </c>
      <c r="AA1105" t="n">
        <v>253</v>
      </c>
      <c r="AB1105" t="n">
        <v>3</v>
      </c>
      <c r="AC1105" t="n">
        <v>3</v>
      </c>
      <c r="AD1105" t="n">
        <v>12</v>
      </c>
      <c r="AE1105" t="n">
        <v>12</v>
      </c>
      <c r="AF1105" t="n">
        <v>4</v>
      </c>
      <c r="AG1105" t="n">
        <v>4</v>
      </c>
      <c r="AH1105" t="n">
        <v>5</v>
      </c>
      <c r="AI1105" t="n">
        <v>5</v>
      </c>
      <c r="AJ1105" t="n">
        <v>7</v>
      </c>
      <c r="AK1105" t="n">
        <v>7</v>
      </c>
      <c r="AL1105" t="n">
        <v>2</v>
      </c>
      <c r="AM1105" t="n">
        <v>2</v>
      </c>
      <c r="AN1105" t="n">
        <v>0</v>
      </c>
      <c r="AO1105" t="n">
        <v>0</v>
      </c>
      <c r="AP1105" t="inlineStr">
        <is>
          <t>No</t>
        </is>
      </c>
      <c r="AQ1105" t="inlineStr">
        <is>
          <t>Yes</t>
        </is>
      </c>
      <c r="AR1105">
        <f>HYPERLINK("http://catalog.hathitrust.org/Record/004740482","HathiTrust Record")</f>
        <v/>
      </c>
      <c r="AS1105">
        <f>HYPERLINK("https://creighton-primo.hosted.exlibrisgroup.com/primo-explore/search?tab=default_tab&amp;search_scope=EVERYTHING&amp;vid=01CRU&amp;lang=en_US&amp;offset=0&amp;query=any,contains,991004329009702656","Catalog Record")</f>
        <v/>
      </c>
      <c r="AT1105">
        <f>HYPERLINK("http://www.worldcat.org/oclc/53839889","WorldCat Record")</f>
        <v/>
      </c>
      <c r="AU1105" t="inlineStr">
        <is>
          <t>57000502:eng</t>
        </is>
      </c>
      <c r="AV1105" t="inlineStr">
        <is>
          <t>53839889</t>
        </is>
      </c>
      <c r="AW1105" t="inlineStr">
        <is>
          <t>991004329009702656</t>
        </is>
      </c>
      <c r="AX1105" t="inlineStr">
        <is>
          <t>991004329009702656</t>
        </is>
      </c>
      <c r="AY1105" t="inlineStr">
        <is>
          <t>2271115050002656</t>
        </is>
      </c>
      <c r="AZ1105" t="inlineStr">
        <is>
          <t>BOOK</t>
        </is>
      </c>
      <c r="BB1105" t="inlineStr">
        <is>
          <t>9780892367528</t>
        </is>
      </c>
      <c r="BC1105" t="inlineStr">
        <is>
          <t>32285004983937</t>
        </is>
      </c>
      <c r="BD1105" t="inlineStr">
        <is>
          <t>893693810</t>
        </is>
      </c>
    </row>
    <row r="1106">
      <c r="A1106" t="inlineStr">
        <is>
          <t>No</t>
        </is>
      </c>
      <c r="B1106" t="inlineStr">
        <is>
          <t>DG29.E34 F37 2005</t>
        </is>
      </c>
      <c r="C1106" t="inlineStr">
        <is>
          <t>0                      DG 0029000E  34                 F  37          2005</t>
        </is>
      </c>
      <c r="D1106" t="inlineStr">
        <is>
          <t>La via Egnatia / Michele Fasolo.</t>
        </is>
      </c>
      <c r="E1106" t="inlineStr">
        <is>
          <t>V. 1</t>
        </is>
      </c>
      <c r="F1106" t="inlineStr">
        <is>
          <t>No</t>
        </is>
      </c>
      <c r="G1106" t="inlineStr">
        <is>
          <t>1</t>
        </is>
      </c>
      <c r="H1106" t="inlineStr">
        <is>
          <t>No</t>
        </is>
      </c>
      <c r="I1106" t="inlineStr">
        <is>
          <t>No</t>
        </is>
      </c>
      <c r="J1106" t="inlineStr">
        <is>
          <t>0</t>
        </is>
      </c>
      <c r="K1106" t="inlineStr">
        <is>
          <t>Fasolo, Michele.</t>
        </is>
      </c>
      <c r="L1106" t="inlineStr">
        <is>
          <t>Roma : Istituto grafico editoriale romano, [2005]-</t>
        </is>
      </c>
      <c r="M1106" t="inlineStr">
        <is>
          <t>2005</t>
        </is>
      </c>
      <c r="O1106" t="inlineStr">
        <is>
          <t>ita</t>
        </is>
      </c>
      <c r="P1106" t="inlineStr">
        <is>
          <t xml:space="preserve">it </t>
        </is>
      </c>
      <c r="Q1106" t="inlineStr">
        <is>
          <t>Viae publicae romanae ; 1</t>
        </is>
      </c>
      <c r="R1106" t="inlineStr">
        <is>
          <t xml:space="preserve">DG </t>
        </is>
      </c>
      <c r="S1106" t="n">
        <v>1</v>
      </c>
      <c r="T1106" t="n">
        <v>1</v>
      </c>
      <c r="U1106" t="inlineStr">
        <is>
          <t>2008-05-21</t>
        </is>
      </c>
      <c r="V1106" t="inlineStr">
        <is>
          <t>2008-05-21</t>
        </is>
      </c>
      <c r="W1106" t="inlineStr">
        <is>
          <t>2005-08-15</t>
        </is>
      </c>
      <c r="X1106" t="inlineStr">
        <is>
          <t>2005-08-15</t>
        </is>
      </c>
      <c r="Y1106" t="n">
        <v>49</v>
      </c>
      <c r="Z1106" t="n">
        <v>37</v>
      </c>
      <c r="AA1106" t="n">
        <v>37</v>
      </c>
      <c r="AB1106" t="n">
        <v>1</v>
      </c>
      <c r="AC1106" t="n">
        <v>1</v>
      </c>
      <c r="AD1106" t="n">
        <v>0</v>
      </c>
      <c r="AE1106" t="n">
        <v>0</v>
      </c>
      <c r="AF1106" t="n">
        <v>0</v>
      </c>
      <c r="AG1106" t="n">
        <v>0</v>
      </c>
      <c r="AH1106" t="n">
        <v>0</v>
      </c>
      <c r="AI1106" t="n">
        <v>0</v>
      </c>
      <c r="AJ1106" t="n">
        <v>0</v>
      </c>
      <c r="AK1106" t="n">
        <v>0</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HYPERLINK("https://creighton-primo.hosted.exlibrisgroup.com/primo-explore/search?tab=default_tab&amp;search_scope=EVERYTHING&amp;vid=01CRU&amp;lang=en_US&amp;offset=0&amp;query=any,contains,991004240369702656","Catalog Record")</f>
        <v/>
      </c>
      <c r="AT1106">
        <f>HYPERLINK("http://www.worldcat.org/oclc/52329644","WorldCat Record")</f>
        <v/>
      </c>
      <c r="AU1106" t="inlineStr">
        <is>
          <t>5091204245:ita</t>
        </is>
      </c>
      <c r="AV1106" t="inlineStr">
        <is>
          <t>52329644</t>
        </is>
      </c>
      <c r="AW1106" t="inlineStr">
        <is>
          <t>991004240369702656</t>
        </is>
      </c>
      <c r="AX1106" t="inlineStr">
        <is>
          <t>991004240369702656</t>
        </is>
      </c>
      <c r="AY1106" t="inlineStr">
        <is>
          <t>2260353740002656</t>
        </is>
      </c>
      <c r="AZ1106" t="inlineStr">
        <is>
          <t>BOOK</t>
        </is>
      </c>
      <c r="BC1106" t="inlineStr">
        <is>
          <t>32285005080899</t>
        </is>
      </c>
      <c r="BD1106" t="inlineStr">
        <is>
          <t>893512997</t>
        </is>
      </c>
    </row>
    <row r="1107">
      <c r="A1107" t="inlineStr">
        <is>
          <t>No</t>
        </is>
      </c>
      <c r="B1107" t="inlineStr">
        <is>
          <t>DG291.7.G35 H45 1998</t>
        </is>
      </c>
      <c r="C1107" t="inlineStr">
        <is>
          <t>0                      DG 0291700G  35                 H  45          1998</t>
        </is>
      </c>
      <c r="D1107" t="inlineStr">
        <is>
          <t>A Roman life : Rutilius Gallicus on paper &amp; in stone / John Henderson.</t>
        </is>
      </c>
      <c r="F1107" t="inlineStr">
        <is>
          <t>No</t>
        </is>
      </c>
      <c r="G1107" t="inlineStr">
        <is>
          <t>1</t>
        </is>
      </c>
      <c r="H1107" t="inlineStr">
        <is>
          <t>No</t>
        </is>
      </c>
      <c r="I1107" t="inlineStr">
        <is>
          <t>No</t>
        </is>
      </c>
      <c r="J1107" t="inlineStr">
        <is>
          <t>0</t>
        </is>
      </c>
      <c r="K1107" t="inlineStr">
        <is>
          <t>Henderson, John, 1948-</t>
        </is>
      </c>
      <c r="L1107" t="inlineStr">
        <is>
          <t>Exeter, Devon : University of Exeter Press, 1998.</t>
        </is>
      </c>
      <c r="M1107" t="inlineStr">
        <is>
          <t>1998</t>
        </is>
      </c>
      <c r="O1107" t="inlineStr">
        <is>
          <t>eng</t>
        </is>
      </c>
      <c r="P1107" t="inlineStr">
        <is>
          <t>enk</t>
        </is>
      </c>
      <c r="Q1107" t="inlineStr">
        <is>
          <t>Exeter studies in history</t>
        </is>
      </c>
      <c r="R1107" t="inlineStr">
        <is>
          <t xml:space="preserve">DG </t>
        </is>
      </c>
      <c r="S1107" t="n">
        <v>3</v>
      </c>
      <c r="T1107" t="n">
        <v>3</v>
      </c>
      <c r="U1107" t="inlineStr">
        <is>
          <t>1998-09-11</t>
        </is>
      </c>
      <c r="V1107" t="inlineStr">
        <is>
          <t>1998-09-11</t>
        </is>
      </c>
      <c r="W1107" t="inlineStr">
        <is>
          <t>1998-08-25</t>
        </is>
      </c>
      <c r="X1107" t="inlineStr">
        <is>
          <t>1998-08-25</t>
        </is>
      </c>
      <c r="Y1107" t="n">
        <v>205</v>
      </c>
      <c r="Z1107" t="n">
        <v>134</v>
      </c>
      <c r="AA1107" t="n">
        <v>141</v>
      </c>
      <c r="AB1107" t="n">
        <v>3</v>
      </c>
      <c r="AC1107" t="n">
        <v>3</v>
      </c>
      <c r="AD1107" t="n">
        <v>9</v>
      </c>
      <c r="AE1107" t="n">
        <v>9</v>
      </c>
      <c r="AF1107" t="n">
        <v>2</v>
      </c>
      <c r="AG1107" t="n">
        <v>2</v>
      </c>
      <c r="AH1107" t="n">
        <v>3</v>
      </c>
      <c r="AI1107" t="n">
        <v>3</v>
      </c>
      <c r="AJ1107" t="n">
        <v>5</v>
      </c>
      <c r="AK1107" t="n">
        <v>5</v>
      </c>
      <c r="AL1107" t="n">
        <v>2</v>
      </c>
      <c r="AM1107" t="n">
        <v>2</v>
      </c>
      <c r="AN1107" t="n">
        <v>0</v>
      </c>
      <c r="AO1107" t="n">
        <v>0</v>
      </c>
      <c r="AP1107" t="inlineStr">
        <is>
          <t>No</t>
        </is>
      </c>
      <c r="AQ1107" t="inlineStr">
        <is>
          <t>Yes</t>
        </is>
      </c>
      <c r="AR1107">
        <f>HYPERLINK("http://catalog.hathitrust.org/Record/003998405","HathiTrust Record")</f>
        <v/>
      </c>
      <c r="AS1107">
        <f>HYPERLINK("https://creighton-primo.hosted.exlibrisgroup.com/primo-explore/search?tab=default_tab&amp;search_scope=EVERYTHING&amp;vid=01CRU&amp;lang=en_US&amp;offset=0&amp;query=any,contains,991002945559702656","Catalog Record")</f>
        <v/>
      </c>
      <c r="AT1107">
        <f>HYPERLINK("http://www.worldcat.org/oclc/39221601","WorldCat Record")</f>
        <v/>
      </c>
      <c r="AU1107" t="inlineStr">
        <is>
          <t>637026:eng</t>
        </is>
      </c>
      <c r="AV1107" t="inlineStr">
        <is>
          <t>39221601</t>
        </is>
      </c>
      <c r="AW1107" t="inlineStr">
        <is>
          <t>991002945559702656</t>
        </is>
      </c>
      <c r="AX1107" t="inlineStr">
        <is>
          <t>991002945559702656</t>
        </is>
      </c>
      <c r="AY1107" t="inlineStr">
        <is>
          <t>2269890380002656</t>
        </is>
      </c>
      <c r="AZ1107" t="inlineStr">
        <is>
          <t>BOOK</t>
        </is>
      </c>
      <c r="BB1107" t="inlineStr">
        <is>
          <t>9780859895651</t>
        </is>
      </c>
      <c r="BC1107" t="inlineStr">
        <is>
          <t>32285003461679</t>
        </is>
      </c>
      <c r="BD1107" t="inlineStr">
        <is>
          <t>893409746</t>
        </is>
      </c>
    </row>
    <row r="1108">
      <c r="A1108" t="inlineStr">
        <is>
          <t>No</t>
        </is>
      </c>
      <c r="B1108" t="inlineStr">
        <is>
          <t>DG291.7.J85 F36 2006</t>
        </is>
      </c>
      <c r="C1108" t="inlineStr">
        <is>
          <t>0                      DG 0291700J  85                 F  36          2006</t>
        </is>
      </c>
      <c r="D1108" t="inlineStr">
        <is>
          <t>Julia Augusti : the emperor's daughter / Elaine Fantham.</t>
        </is>
      </c>
      <c r="F1108" t="inlineStr">
        <is>
          <t>No</t>
        </is>
      </c>
      <c r="G1108" t="inlineStr">
        <is>
          <t>1</t>
        </is>
      </c>
      <c r="H1108" t="inlineStr">
        <is>
          <t>No</t>
        </is>
      </c>
      <c r="I1108" t="inlineStr">
        <is>
          <t>No</t>
        </is>
      </c>
      <c r="J1108" t="inlineStr">
        <is>
          <t>0</t>
        </is>
      </c>
      <c r="K1108" t="inlineStr">
        <is>
          <t>Fantham, Elaine.</t>
        </is>
      </c>
      <c r="L1108" t="inlineStr">
        <is>
          <t>London ; New York : Routledge, 2006.</t>
        </is>
      </c>
      <c r="M1108" t="inlineStr">
        <is>
          <t>2006</t>
        </is>
      </c>
      <c r="O1108" t="inlineStr">
        <is>
          <t>eng</t>
        </is>
      </c>
      <c r="P1108" t="inlineStr">
        <is>
          <t>enk</t>
        </is>
      </c>
      <c r="Q1108" t="inlineStr">
        <is>
          <t>Women of the ancient world</t>
        </is>
      </c>
      <c r="R1108" t="inlineStr">
        <is>
          <t xml:space="preserve">DG </t>
        </is>
      </c>
      <c r="S1108" t="n">
        <v>1</v>
      </c>
      <c r="T1108" t="n">
        <v>1</v>
      </c>
      <c r="U1108" t="inlineStr">
        <is>
          <t>2010-04-21</t>
        </is>
      </c>
      <c r="V1108" t="inlineStr">
        <is>
          <t>2010-04-21</t>
        </is>
      </c>
      <c r="W1108" t="inlineStr">
        <is>
          <t>2010-04-21</t>
        </is>
      </c>
      <c r="X1108" t="inlineStr">
        <is>
          <t>2010-04-21</t>
        </is>
      </c>
      <c r="Y1108" t="n">
        <v>313</v>
      </c>
      <c r="Z1108" t="n">
        <v>212</v>
      </c>
      <c r="AA1108" t="n">
        <v>466</v>
      </c>
      <c r="AB1108" t="n">
        <v>1</v>
      </c>
      <c r="AC1108" t="n">
        <v>11</v>
      </c>
      <c r="AD1108" t="n">
        <v>11</v>
      </c>
      <c r="AE1108" t="n">
        <v>21</v>
      </c>
      <c r="AF1108" t="n">
        <v>5</v>
      </c>
      <c r="AG1108" t="n">
        <v>6</v>
      </c>
      <c r="AH1108" t="n">
        <v>1</v>
      </c>
      <c r="AI1108" t="n">
        <v>2</v>
      </c>
      <c r="AJ1108" t="n">
        <v>9</v>
      </c>
      <c r="AK1108" t="n">
        <v>9</v>
      </c>
      <c r="AL1108" t="n">
        <v>0</v>
      </c>
      <c r="AM1108" t="n">
        <v>8</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HYPERLINK("https://creighton-primo.hosted.exlibrisgroup.com/primo-explore/search?tab=default_tab&amp;search_scope=EVERYTHING&amp;vid=01CRU&amp;lang=en_US&amp;offset=0&amp;query=any,contains,991005382379702656","Catalog Record")</f>
        <v/>
      </c>
      <c r="AT1108">
        <f>HYPERLINK("http://www.worldcat.org/oclc/62872809","WorldCat Record")</f>
        <v/>
      </c>
      <c r="AU1108" t="inlineStr">
        <is>
          <t>802429352:eng</t>
        </is>
      </c>
      <c r="AV1108" t="inlineStr">
        <is>
          <t>62872809</t>
        </is>
      </c>
      <c r="AW1108" t="inlineStr">
        <is>
          <t>991005382379702656</t>
        </is>
      </c>
      <c r="AX1108" t="inlineStr">
        <is>
          <t>991005382379702656</t>
        </is>
      </c>
      <c r="AY1108" t="inlineStr">
        <is>
          <t>2262221790002656</t>
        </is>
      </c>
      <c r="AZ1108" t="inlineStr">
        <is>
          <t>BOOK</t>
        </is>
      </c>
      <c r="BB1108" t="inlineStr">
        <is>
          <t>9780415331456</t>
        </is>
      </c>
      <c r="BC1108" t="inlineStr">
        <is>
          <t>32285005566608</t>
        </is>
      </c>
      <c r="BD1108" t="inlineStr">
        <is>
          <t>893701495</t>
        </is>
      </c>
    </row>
    <row r="1109">
      <c r="A1109" t="inlineStr">
        <is>
          <t>No</t>
        </is>
      </c>
      <c r="B1109" t="inlineStr">
        <is>
          <t>DG292 .S6</t>
        </is>
      </c>
      <c r="C1109" t="inlineStr">
        <is>
          <t>0                      DG 0292000S  6</t>
        </is>
      </c>
      <c r="D1109" t="inlineStr">
        <is>
          <t>Documents illustrating the principates of Nerva, Trajan and Hadrian; collected by E. Mary Smallwood.</t>
        </is>
      </c>
      <c r="F1109" t="inlineStr">
        <is>
          <t>No</t>
        </is>
      </c>
      <c r="G1109" t="inlineStr">
        <is>
          <t>1</t>
        </is>
      </c>
      <c r="H1109" t="inlineStr">
        <is>
          <t>No</t>
        </is>
      </c>
      <c r="I1109" t="inlineStr">
        <is>
          <t>No</t>
        </is>
      </c>
      <c r="J1109" t="inlineStr">
        <is>
          <t>0</t>
        </is>
      </c>
      <c r="K1109" t="inlineStr">
        <is>
          <t>Smallwood, E. Mary, compiler.</t>
        </is>
      </c>
      <c r="L1109" t="inlineStr">
        <is>
          <t>Cambridge, Cambridge U.P., 1966.</t>
        </is>
      </c>
      <c r="M1109" t="inlineStr">
        <is>
          <t>1966</t>
        </is>
      </c>
      <c r="O1109" t="inlineStr">
        <is>
          <t>lat</t>
        </is>
      </c>
      <c r="P1109" t="inlineStr">
        <is>
          <t>enk</t>
        </is>
      </c>
      <c r="R1109" t="inlineStr">
        <is>
          <t xml:space="preserve">DG </t>
        </is>
      </c>
      <c r="S1109" t="n">
        <v>4</v>
      </c>
      <c r="T1109" t="n">
        <v>4</v>
      </c>
      <c r="U1109" t="inlineStr">
        <is>
          <t>2009-07-06</t>
        </is>
      </c>
      <c r="V1109" t="inlineStr">
        <is>
          <t>2009-07-06</t>
        </is>
      </c>
      <c r="W1109" t="inlineStr">
        <is>
          <t>1997-02-04</t>
        </is>
      </c>
      <c r="X1109" t="inlineStr">
        <is>
          <t>1997-02-04</t>
        </is>
      </c>
      <c r="Y1109" t="n">
        <v>501</v>
      </c>
      <c r="Z1109" t="n">
        <v>372</v>
      </c>
      <c r="AA1109" t="n">
        <v>381</v>
      </c>
      <c r="AB1109" t="n">
        <v>2</v>
      </c>
      <c r="AC1109" t="n">
        <v>2</v>
      </c>
      <c r="AD1109" t="n">
        <v>25</v>
      </c>
      <c r="AE1109" t="n">
        <v>25</v>
      </c>
      <c r="AF1109" t="n">
        <v>8</v>
      </c>
      <c r="AG1109" t="n">
        <v>8</v>
      </c>
      <c r="AH1109" t="n">
        <v>10</v>
      </c>
      <c r="AI1109" t="n">
        <v>10</v>
      </c>
      <c r="AJ1109" t="n">
        <v>17</v>
      </c>
      <c r="AK1109" t="n">
        <v>17</v>
      </c>
      <c r="AL1109" t="n">
        <v>1</v>
      </c>
      <c r="AM1109" t="n">
        <v>1</v>
      </c>
      <c r="AN1109" t="n">
        <v>0</v>
      </c>
      <c r="AO1109" t="n">
        <v>0</v>
      </c>
      <c r="AP1109" t="inlineStr">
        <is>
          <t>No</t>
        </is>
      </c>
      <c r="AQ1109" t="inlineStr">
        <is>
          <t>Yes</t>
        </is>
      </c>
      <c r="AR1109">
        <f>HYPERLINK("http://catalog.hathitrust.org/Record/000651447","HathiTrust Record")</f>
        <v/>
      </c>
      <c r="AS1109">
        <f>HYPERLINK("https://creighton-primo.hosted.exlibrisgroup.com/primo-explore/search?tab=default_tab&amp;search_scope=EVERYTHING&amp;vid=01CRU&amp;lang=en_US&amp;offset=0&amp;query=any,contains,991003390279702656","Catalog Record")</f>
        <v/>
      </c>
      <c r="AT1109">
        <f>HYPERLINK("http://www.worldcat.org/oclc/928121","WorldCat Record")</f>
        <v/>
      </c>
      <c r="AU1109" t="inlineStr">
        <is>
          <t>47535251:lat</t>
        </is>
      </c>
      <c r="AV1109" t="inlineStr">
        <is>
          <t>928121</t>
        </is>
      </c>
      <c r="AW1109" t="inlineStr">
        <is>
          <t>991003390279702656</t>
        </is>
      </c>
      <c r="AX1109" t="inlineStr">
        <is>
          <t>991003390279702656</t>
        </is>
      </c>
      <c r="AY1109" t="inlineStr">
        <is>
          <t>2268500660002656</t>
        </is>
      </c>
      <c r="AZ1109" t="inlineStr">
        <is>
          <t>BOOK</t>
        </is>
      </c>
      <c r="BC1109" t="inlineStr">
        <is>
          <t>32285002420908</t>
        </is>
      </c>
      <c r="BD1109" t="inlineStr">
        <is>
          <t>893324045</t>
        </is>
      </c>
    </row>
    <row r="1110">
      <c r="A1110" t="inlineStr">
        <is>
          <t>No</t>
        </is>
      </c>
      <c r="B1110" t="inlineStr">
        <is>
          <t>DG292.7.F47 C45 1980</t>
        </is>
      </c>
      <c r="C1110" t="inlineStr">
        <is>
          <t>0                      DG 0292700F  47                 C  45          1980</t>
        </is>
      </c>
      <c r="D1110" t="inlineStr">
        <is>
          <t>Fronto and Antonine Rome / Edward Champlin.</t>
        </is>
      </c>
      <c r="F1110" t="inlineStr">
        <is>
          <t>No</t>
        </is>
      </c>
      <c r="G1110" t="inlineStr">
        <is>
          <t>1</t>
        </is>
      </c>
      <c r="H1110" t="inlineStr">
        <is>
          <t>No</t>
        </is>
      </c>
      <c r="I1110" t="inlineStr">
        <is>
          <t>No</t>
        </is>
      </c>
      <c r="J1110" t="inlineStr">
        <is>
          <t>0</t>
        </is>
      </c>
      <c r="K1110" t="inlineStr">
        <is>
          <t>Champlin, Edward, 1948-</t>
        </is>
      </c>
      <c r="L1110" t="inlineStr">
        <is>
          <t>Cambridge, Mass. : Harvard University Press, 1980.</t>
        </is>
      </c>
      <c r="M1110" t="inlineStr">
        <is>
          <t>1980</t>
        </is>
      </c>
      <c r="O1110" t="inlineStr">
        <is>
          <t>eng</t>
        </is>
      </c>
      <c r="P1110" t="inlineStr">
        <is>
          <t>mau</t>
        </is>
      </c>
      <c r="R1110" t="inlineStr">
        <is>
          <t xml:space="preserve">DG </t>
        </is>
      </c>
      <c r="S1110" t="n">
        <v>2</v>
      </c>
      <c r="T1110" t="n">
        <v>2</v>
      </c>
      <c r="U1110" t="inlineStr">
        <is>
          <t>2004-02-06</t>
        </is>
      </c>
      <c r="V1110" t="inlineStr">
        <is>
          <t>2004-02-06</t>
        </is>
      </c>
      <c r="W1110" t="inlineStr">
        <is>
          <t>2003-12-18</t>
        </is>
      </c>
      <c r="X1110" t="inlineStr">
        <is>
          <t>2003-12-18</t>
        </is>
      </c>
      <c r="Y1110" t="n">
        <v>544</v>
      </c>
      <c r="Z1110" t="n">
        <v>395</v>
      </c>
      <c r="AA1110" t="n">
        <v>406</v>
      </c>
      <c r="AB1110" t="n">
        <v>2</v>
      </c>
      <c r="AC1110" t="n">
        <v>2</v>
      </c>
      <c r="AD1110" t="n">
        <v>19</v>
      </c>
      <c r="AE1110" t="n">
        <v>19</v>
      </c>
      <c r="AF1110" t="n">
        <v>5</v>
      </c>
      <c r="AG1110" t="n">
        <v>5</v>
      </c>
      <c r="AH1110" t="n">
        <v>6</v>
      </c>
      <c r="AI1110" t="n">
        <v>6</v>
      </c>
      <c r="AJ1110" t="n">
        <v>13</v>
      </c>
      <c r="AK1110" t="n">
        <v>13</v>
      </c>
      <c r="AL1110" t="n">
        <v>1</v>
      </c>
      <c r="AM1110" t="n">
        <v>1</v>
      </c>
      <c r="AN1110" t="n">
        <v>0</v>
      </c>
      <c r="AO1110" t="n">
        <v>0</v>
      </c>
      <c r="AP1110" t="inlineStr">
        <is>
          <t>No</t>
        </is>
      </c>
      <c r="AQ1110" t="inlineStr">
        <is>
          <t>Yes</t>
        </is>
      </c>
      <c r="AR1110">
        <f>HYPERLINK("http://catalog.hathitrust.org/Record/000705984","HathiTrust Record")</f>
        <v/>
      </c>
      <c r="AS1110">
        <f>HYPERLINK("https://creighton-primo.hosted.exlibrisgroup.com/primo-explore/search?tab=default_tab&amp;search_scope=EVERYTHING&amp;vid=01CRU&amp;lang=en_US&amp;offset=0&amp;query=any,contains,991004182609702656","Catalog Record")</f>
        <v/>
      </c>
      <c r="AT1110">
        <f>HYPERLINK("http://www.worldcat.org/oclc/5831348","WorldCat Record")</f>
        <v/>
      </c>
      <c r="AU1110" t="inlineStr">
        <is>
          <t>521349:eng</t>
        </is>
      </c>
      <c r="AV1110" t="inlineStr">
        <is>
          <t>5831348</t>
        </is>
      </c>
      <c r="AW1110" t="inlineStr">
        <is>
          <t>991004182609702656</t>
        </is>
      </c>
      <c r="AX1110" t="inlineStr">
        <is>
          <t>991004182609702656</t>
        </is>
      </c>
      <c r="AY1110" t="inlineStr">
        <is>
          <t>2263200870002656</t>
        </is>
      </c>
      <c r="AZ1110" t="inlineStr">
        <is>
          <t>BOOK</t>
        </is>
      </c>
      <c r="BB1110" t="inlineStr">
        <is>
          <t>9780674326682</t>
        </is>
      </c>
      <c r="BC1110" t="inlineStr">
        <is>
          <t>32285004848205</t>
        </is>
      </c>
      <c r="BD1110" t="inlineStr">
        <is>
          <t>893900922</t>
        </is>
      </c>
    </row>
    <row r="1111">
      <c r="A1111" t="inlineStr">
        <is>
          <t>No</t>
        </is>
      </c>
      <c r="B1111" t="inlineStr">
        <is>
          <t>DG295 .B57 1997</t>
        </is>
      </c>
      <c r="C1111" t="inlineStr">
        <is>
          <t>0                      DG 0295000B  57          1997</t>
        </is>
      </c>
      <c r="D1111" t="inlineStr">
        <is>
          <t>Hadrian : the restless emperor / Anthony R. Birley.</t>
        </is>
      </c>
      <c r="F1111" t="inlineStr">
        <is>
          <t>No</t>
        </is>
      </c>
      <c r="G1111" t="inlineStr">
        <is>
          <t>1</t>
        </is>
      </c>
      <c r="H1111" t="inlineStr">
        <is>
          <t>No</t>
        </is>
      </c>
      <c r="I1111" t="inlineStr">
        <is>
          <t>No</t>
        </is>
      </c>
      <c r="J1111" t="inlineStr">
        <is>
          <t>0</t>
        </is>
      </c>
      <c r="K1111" t="inlineStr">
        <is>
          <t>Birley, Anthony, 1937-</t>
        </is>
      </c>
      <c r="L1111" t="inlineStr">
        <is>
          <t>London ; New York, NY : Routledge, 1997.</t>
        </is>
      </c>
      <c r="M1111" t="inlineStr">
        <is>
          <t>1997</t>
        </is>
      </c>
      <c r="O1111" t="inlineStr">
        <is>
          <t>eng</t>
        </is>
      </c>
      <c r="P1111" t="inlineStr">
        <is>
          <t>enk</t>
        </is>
      </c>
      <c r="R1111" t="inlineStr">
        <is>
          <t xml:space="preserve">DG </t>
        </is>
      </c>
      <c r="S1111" t="n">
        <v>4</v>
      </c>
      <c r="T1111" t="n">
        <v>4</v>
      </c>
      <c r="U1111" t="inlineStr">
        <is>
          <t>2008-04-22</t>
        </is>
      </c>
      <c r="V1111" t="inlineStr">
        <is>
          <t>2008-04-22</t>
        </is>
      </c>
      <c r="W1111" t="inlineStr">
        <is>
          <t>1998-05-20</t>
        </is>
      </c>
      <c r="X1111" t="inlineStr">
        <is>
          <t>1998-05-20</t>
        </is>
      </c>
      <c r="Y1111" t="n">
        <v>992</v>
      </c>
      <c r="Z1111" t="n">
        <v>801</v>
      </c>
      <c r="AA1111" t="n">
        <v>896</v>
      </c>
      <c r="AB1111" t="n">
        <v>4</v>
      </c>
      <c r="AC1111" t="n">
        <v>4</v>
      </c>
      <c r="AD1111" t="n">
        <v>37</v>
      </c>
      <c r="AE1111" t="n">
        <v>38</v>
      </c>
      <c r="AF1111" t="n">
        <v>16</v>
      </c>
      <c r="AG1111" t="n">
        <v>17</v>
      </c>
      <c r="AH1111" t="n">
        <v>7</v>
      </c>
      <c r="AI1111" t="n">
        <v>7</v>
      </c>
      <c r="AJ1111" t="n">
        <v>20</v>
      </c>
      <c r="AK1111" t="n">
        <v>20</v>
      </c>
      <c r="AL1111" t="n">
        <v>3</v>
      </c>
      <c r="AM1111" t="n">
        <v>3</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HYPERLINK("https://creighton-primo.hosted.exlibrisgroup.com/primo-explore/search?tab=default_tab&amp;search_scope=EVERYTHING&amp;vid=01CRU&amp;lang=en_US&amp;offset=0&amp;query=any,contains,991002744919702656","Catalog Record")</f>
        <v/>
      </c>
      <c r="AT1111">
        <f>HYPERLINK("http://www.worldcat.org/oclc/36024001","WorldCat Record")</f>
        <v/>
      </c>
      <c r="AU1111" t="inlineStr">
        <is>
          <t>3768759193:eng</t>
        </is>
      </c>
      <c r="AV1111" t="inlineStr">
        <is>
          <t>36024001</t>
        </is>
      </c>
      <c r="AW1111" t="inlineStr">
        <is>
          <t>991002744919702656</t>
        </is>
      </c>
      <c r="AX1111" t="inlineStr">
        <is>
          <t>991002744919702656</t>
        </is>
      </c>
      <c r="AY1111" t="inlineStr">
        <is>
          <t>2255960950002656</t>
        </is>
      </c>
      <c r="AZ1111" t="inlineStr">
        <is>
          <t>BOOK</t>
        </is>
      </c>
      <c r="BB1111" t="inlineStr">
        <is>
          <t>9780415165440</t>
        </is>
      </c>
      <c r="BC1111" t="inlineStr">
        <is>
          <t>32285003410486</t>
        </is>
      </c>
      <c r="BD1111" t="inlineStr">
        <is>
          <t>893227222</t>
        </is>
      </c>
    </row>
    <row r="1112">
      <c r="A1112" t="inlineStr">
        <is>
          <t>No</t>
        </is>
      </c>
      <c r="B1112" t="inlineStr">
        <is>
          <t>DG30 .T73 2001</t>
        </is>
      </c>
      <c r="C1112" t="inlineStr">
        <is>
          <t>0                      DG 0030000T  73          2001</t>
        </is>
      </c>
      <c r="D1112" t="inlineStr">
        <is>
          <t>Travel and geography in the Roman Empire / edited by Colin Adams and Ray Laurence.</t>
        </is>
      </c>
      <c r="F1112" t="inlineStr">
        <is>
          <t>No</t>
        </is>
      </c>
      <c r="G1112" t="inlineStr">
        <is>
          <t>1</t>
        </is>
      </c>
      <c r="H1112" t="inlineStr">
        <is>
          <t>No</t>
        </is>
      </c>
      <c r="I1112" t="inlineStr">
        <is>
          <t>No</t>
        </is>
      </c>
      <c r="J1112" t="inlineStr">
        <is>
          <t>0</t>
        </is>
      </c>
      <c r="L1112" t="inlineStr">
        <is>
          <t>London ; New York : Routledge, 2001.</t>
        </is>
      </c>
      <c r="M1112" t="inlineStr">
        <is>
          <t>2001</t>
        </is>
      </c>
      <c r="O1112" t="inlineStr">
        <is>
          <t>eng</t>
        </is>
      </c>
      <c r="P1112" t="inlineStr">
        <is>
          <t>enk</t>
        </is>
      </c>
      <c r="R1112" t="inlineStr">
        <is>
          <t xml:space="preserve">DG </t>
        </is>
      </c>
      <c r="S1112" t="n">
        <v>6</v>
      </c>
      <c r="T1112" t="n">
        <v>6</v>
      </c>
      <c r="U1112" t="inlineStr">
        <is>
          <t>2010-03-07</t>
        </is>
      </c>
      <c r="V1112" t="inlineStr">
        <is>
          <t>2010-03-07</t>
        </is>
      </c>
      <c r="W1112" t="inlineStr">
        <is>
          <t>2002-02-20</t>
        </is>
      </c>
      <c r="X1112" t="inlineStr">
        <is>
          <t>2002-02-20</t>
        </is>
      </c>
      <c r="Y1112" t="n">
        <v>276</v>
      </c>
      <c r="Z1112" t="n">
        <v>178</v>
      </c>
      <c r="AA1112" t="n">
        <v>207</v>
      </c>
      <c r="AB1112" t="n">
        <v>1</v>
      </c>
      <c r="AC1112" t="n">
        <v>1</v>
      </c>
      <c r="AD1112" t="n">
        <v>7</v>
      </c>
      <c r="AE1112" t="n">
        <v>8</v>
      </c>
      <c r="AF1112" t="n">
        <v>1</v>
      </c>
      <c r="AG1112" t="n">
        <v>2</v>
      </c>
      <c r="AH1112" t="n">
        <v>4</v>
      </c>
      <c r="AI1112" t="n">
        <v>4</v>
      </c>
      <c r="AJ1112" t="n">
        <v>5</v>
      </c>
      <c r="AK1112" t="n">
        <v>5</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HYPERLINK("https://creighton-primo.hosted.exlibrisgroup.com/primo-explore/search?tab=default_tab&amp;search_scope=EVERYTHING&amp;vid=01CRU&amp;lang=en_US&amp;offset=0&amp;query=any,contains,991003722669702656","Catalog Record")</f>
        <v/>
      </c>
      <c r="AT1112">
        <f>HYPERLINK("http://www.worldcat.org/oclc/45715076","WorldCat Record")</f>
        <v/>
      </c>
      <c r="AU1112" t="inlineStr">
        <is>
          <t>1046104045:eng</t>
        </is>
      </c>
      <c r="AV1112" t="inlineStr">
        <is>
          <t>45715076</t>
        </is>
      </c>
      <c r="AW1112" t="inlineStr">
        <is>
          <t>991003722669702656</t>
        </is>
      </c>
      <c r="AX1112" t="inlineStr">
        <is>
          <t>991003722669702656</t>
        </is>
      </c>
      <c r="AY1112" t="inlineStr">
        <is>
          <t>2263145080002656</t>
        </is>
      </c>
      <c r="AZ1112" t="inlineStr">
        <is>
          <t>BOOK</t>
        </is>
      </c>
      <c r="BB1112" t="inlineStr">
        <is>
          <t>9780415230346</t>
        </is>
      </c>
      <c r="BC1112" t="inlineStr">
        <is>
          <t>32285004456108</t>
        </is>
      </c>
      <c r="BD1112" t="inlineStr">
        <is>
          <t>893875078</t>
        </is>
      </c>
    </row>
    <row r="1113">
      <c r="A1113" t="inlineStr">
        <is>
          <t>No</t>
        </is>
      </c>
      <c r="B1113" t="inlineStr">
        <is>
          <t>DG306 .M3</t>
        </is>
      </c>
      <c r="C1113" t="inlineStr">
        <is>
          <t>0                      DG 0306000M  3</t>
        </is>
      </c>
      <c r="D1113" t="inlineStr">
        <is>
          <t>Roman government's response to crisis, A.D. 235-337 / Ramsay MacMullen.</t>
        </is>
      </c>
      <c r="F1113" t="inlineStr">
        <is>
          <t>No</t>
        </is>
      </c>
      <c r="G1113" t="inlineStr">
        <is>
          <t>1</t>
        </is>
      </c>
      <c r="H1113" t="inlineStr">
        <is>
          <t>No</t>
        </is>
      </c>
      <c r="I1113" t="inlineStr">
        <is>
          <t>No</t>
        </is>
      </c>
      <c r="J1113" t="inlineStr">
        <is>
          <t>0</t>
        </is>
      </c>
      <c r="K1113" t="inlineStr">
        <is>
          <t>MacMullen, Ramsay, 1928-</t>
        </is>
      </c>
      <c r="L1113" t="inlineStr">
        <is>
          <t>New Haven : Yale University Press, 1976.</t>
        </is>
      </c>
      <c r="M1113" t="inlineStr">
        <is>
          <t>1976</t>
        </is>
      </c>
      <c r="O1113" t="inlineStr">
        <is>
          <t>eng</t>
        </is>
      </c>
      <c r="P1113" t="inlineStr">
        <is>
          <t>ctu</t>
        </is>
      </c>
      <c r="R1113" t="inlineStr">
        <is>
          <t xml:space="preserve">DG </t>
        </is>
      </c>
      <c r="S1113" t="n">
        <v>13</v>
      </c>
      <c r="T1113" t="n">
        <v>13</v>
      </c>
      <c r="U1113" t="inlineStr">
        <is>
          <t>2009-10-01</t>
        </is>
      </c>
      <c r="V1113" t="inlineStr">
        <is>
          <t>2009-10-01</t>
        </is>
      </c>
      <c r="W1113" t="inlineStr">
        <is>
          <t>1993-02-10</t>
        </is>
      </c>
      <c r="X1113" t="inlineStr">
        <is>
          <t>1993-02-10</t>
        </is>
      </c>
      <c r="Y1113" t="n">
        <v>725</v>
      </c>
      <c r="Z1113" t="n">
        <v>572</v>
      </c>
      <c r="AA1113" t="n">
        <v>726</v>
      </c>
      <c r="AB1113" t="n">
        <v>7</v>
      </c>
      <c r="AC1113" t="n">
        <v>7</v>
      </c>
      <c r="AD1113" t="n">
        <v>25</v>
      </c>
      <c r="AE1113" t="n">
        <v>34</v>
      </c>
      <c r="AF1113" t="n">
        <v>8</v>
      </c>
      <c r="AG1113" t="n">
        <v>14</v>
      </c>
      <c r="AH1113" t="n">
        <v>6</v>
      </c>
      <c r="AI1113" t="n">
        <v>8</v>
      </c>
      <c r="AJ1113" t="n">
        <v>12</v>
      </c>
      <c r="AK1113" t="n">
        <v>15</v>
      </c>
      <c r="AL1113" t="n">
        <v>6</v>
      </c>
      <c r="AM1113" t="n">
        <v>6</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HYPERLINK("https://creighton-primo.hosted.exlibrisgroup.com/primo-explore/search?tab=default_tab&amp;search_scope=EVERYTHING&amp;vid=01CRU&amp;lang=en_US&amp;offset=0&amp;query=any,contains,991004164839702656","Catalog Record")</f>
        <v/>
      </c>
      <c r="AT1113">
        <f>HYPERLINK("http://www.worldcat.org/oclc/2563321","WorldCat Record")</f>
        <v/>
      </c>
      <c r="AU1113" t="inlineStr">
        <is>
          <t>325211206:eng</t>
        </is>
      </c>
      <c r="AV1113" t="inlineStr">
        <is>
          <t>2563321</t>
        </is>
      </c>
      <c r="AW1113" t="inlineStr">
        <is>
          <t>991004164839702656</t>
        </is>
      </c>
      <c r="AX1113" t="inlineStr">
        <is>
          <t>991004164839702656</t>
        </is>
      </c>
      <c r="AY1113" t="inlineStr">
        <is>
          <t>2257737310002656</t>
        </is>
      </c>
      <c r="AZ1113" t="inlineStr">
        <is>
          <t>BOOK</t>
        </is>
      </c>
      <c r="BB1113" t="inlineStr">
        <is>
          <t>9780300020083</t>
        </is>
      </c>
      <c r="BC1113" t="inlineStr">
        <is>
          <t>32285001509313</t>
        </is>
      </c>
      <c r="BD1113" t="inlineStr">
        <is>
          <t>893712230</t>
        </is>
      </c>
    </row>
    <row r="1114">
      <c r="A1114" t="inlineStr">
        <is>
          <t>No</t>
        </is>
      </c>
      <c r="B1114" t="inlineStr">
        <is>
          <t>DG311 .J62</t>
        </is>
      </c>
      <c r="C1114" t="inlineStr">
        <is>
          <t>0                      DG 0311000J  62</t>
        </is>
      </c>
      <c r="D1114" t="inlineStr">
        <is>
          <t>The decline of the ancient world [by] A.H.M. Jones.</t>
        </is>
      </c>
      <c r="F1114" t="inlineStr">
        <is>
          <t>No</t>
        </is>
      </c>
      <c r="G1114" t="inlineStr">
        <is>
          <t>1</t>
        </is>
      </c>
      <c r="H1114" t="inlineStr">
        <is>
          <t>No</t>
        </is>
      </c>
      <c r="I1114" t="inlineStr">
        <is>
          <t>No</t>
        </is>
      </c>
      <c r="J1114" t="inlineStr">
        <is>
          <t>0</t>
        </is>
      </c>
      <c r="K1114" t="inlineStr">
        <is>
          <t>Jones, A. H. M. (Arnold Hugh Martin), 1904-1970.</t>
        </is>
      </c>
      <c r="L1114" t="inlineStr">
        <is>
          <t>London, Longmans, 1966.</t>
        </is>
      </c>
      <c r="M1114" t="inlineStr">
        <is>
          <t>1966</t>
        </is>
      </c>
      <c r="O1114" t="inlineStr">
        <is>
          <t>eng</t>
        </is>
      </c>
      <c r="P1114" t="inlineStr">
        <is>
          <t>enk</t>
        </is>
      </c>
      <c r="Q1114" t="inlineStr">
        <is>
          <t>A General history of Europe</t>
        </is>
      </c>
      <c r="R1114" t="inlineStr">
        <is>
          <t xml:space="preserve">DG </t>
        </is>
      </c>
      <c r="S1114" t="n">
        <v>1</v>
      </c>
      <c r="T1114" t="n">
        <v>1</v>
      </c>
      <c r="U1114" t="inlineStr">
        <is>
          <t>2007-04-23</t>
        </is>
      </c>
      <c r="V1114" t="inlineStr">
        <is>
          <t>2007-04-23</t>
        </is>
      </c>
      <c r="W1114" t="inlineStr">
        <is>
          <t>1997-02-04</t>
        </is>
      </c>
      <c r="X1114" t="inlineStr">
        <is>
          <t>1997-02-04</t>
        </is>
      </c>
      <c r="Y1114" t="n">
        <v>211</v>
      </c>
      <c r="Z1114" t="n">
        <v>120</v>
      </c>
      <c r="AA1114" t="n">
        <v>898</v>
      </c>
      <c r="AB1114" t="n">
        <v>1</v>
      </c>
      <c r="AC1114" t="n">
        <v>6</v>
      </c>
      <c r="AD1114" t="n">
        <v>5</v>
      </c>
      <c r="AE1114" t="n">
        <v>42</v>
      </c>
      <c r="AF1114" t="n">
        <v>1</v>
      </c>
      <c r="AG1114" t="n">
        <v>20</v>
      </c>
      <c r="AH1114" t="n">
        <v>1</v>
      </c>
      <c r="AI1114" t="n">
        <v>8</v>
      </c>
      <c r="AJ1114" t="n">
        <v>5</v>
      </c>
      <c r="AK1114" t="n">
        <v>22</v>
      </c>
      <c r="AL1114" t="n">
        <v>0</v>
      </c>
      <c r="AM1114" t="n">
        <v>5</v>
      </c>
      <c r="AN1114" t="n">
        <v>0</v>
      </c>
      <c r="AO1114" t="n">
        <v>0</v>
      </c>
      <c r="AP1114" t="inlineStr">
        <is>
          <t>No</t>
        </is>
      </c>
      <c r="AQ1114" t="inlineStr">
        <is>
          <t>Yes</t>
        </is>
      </c>
      <c r="AR1114">
        <f>HYPERLINK("http://catalog.hathitrust.org/Record/000651870","HathiTrust Record")</f>
        <v/>
      </c>
      <c r="AS1114">
        <f>HYPERLINK("https://creighton-primo.hosted.exlibrisgroup.com/primo-explore/search?tab=default_tab&amp;search_scope=EVERYTHING&amp;vid=01CRU&amp;lang=en_US&amp;offset=0&amp;query=any,contains,991004589289702656","Catalog Record")</f>
        <v/>
      </c>
      <c r="AT1114">
        <f>HYPERLINK("http://www.worldcat.org/oclc/4112703","WorldCat Record")</f>
        <v/>
      </c>
      <c r="AU1114" t="inlineStr">
        <is>
          <t>512161:eng</t>
        </is>
      </c>
      <c r="AV1114" t="inlineStr">
        <is>
          <t>4112703</t>
        </is>
      </c>
      <c r="AW1114" t="inlineStr">
        <is>
          <t>991004589289702656</t>
        </is>
      </c>
      <c r="AX1114" t="inlineStr">
        <is>
          <t>991004589289702656</t>
        </is>
      </c>
      <c r="AY1114" t="inlineStr">
        <is>
          <t>2271757710002656</t>
        </is>
      </c>
      <c r="AZ1114" t="inlineStr">
        <is>
          <t>BOOK</t>
        </is>
      </c>
      <c r="BC1114" t="inlineStr">
        <is>
          <t>32285002421013</t>
        </is>
      </c>
      <c r="BD1114" t="inlineStr">
        <is>
          <t>893513427</t>
        </is>
      </c>
    </row>
    <row r="1115">
      <c r="A1115" t="inlineStr">
        <is>
          <t>No</t>
        </is>
      </c>
      <c r="B1115" t="inlineStr">
        <is>
          <t>DG311 .N265 1998</t>
        </is>
      </c>
      <c r="C1115" t="inlineStr">
        <is>
          <t>0                      DG 0311000N  265         1998</t>
        </is>
      </c>
      <c r="D1115" t="inlineStr">
        <is>
          <t>The decline and fall of the Roman Empire / by Don Nardo.</t>
        </is>
      </c>
      <c r="F1115" t="inlineStr">
        <is>
          <t>No</t>
        </is>
      </c>
      <c r="G1115" t="inlineStr">
        <is>
          <t>1</t>
        </is>
      </c>
      <c r="H1115" t="inlineStr">
        <is>
          <t>No</t>
        </is>
      </c>
      <c r="I1115" t="inlineStr">
        <is>
          <t>No</t>
        </is>
      </c>
      <c r="J1115" t="inlineStr">
        <is>
          <t>0</t>
        </is>
      </c>
      <c r="K1115" t="inlineStr">
        <is>
          <t>Nardo, Don, 1947-</t>
        </is>
      </c>
      <c r="L1115" t="inlineStr">
        <is>
          <t>San Diego, Calif. : Lucent Books, c1998.</t>
        </is>
      </c>
      <c r="M1115" t="inlineStr">
        <is>
          <t>1998</t>
        </is>
      </c>
      <c r="O1115" t="inlineStr">
        <is>
          <t>eng</t>
        </is>
      </c>
      <c r="P1115" t="inlineStr">
        <is>
          <t>cau</t>
        </is>
      </c>
      <c r="Q1115" t="inlineStr">
        <is>
          <t>World history series</t>
        </is>
      </c>
      <c r="R1115" t="inlineStr">
        <is>
          <t xml:space="preserve">DG </t>
        </is>
      </c>
      <c r="S1115" t="n">
        <v>1</v>
      </c>
      <c r="T1115" t="n">
        <v>1</v>
      </c>
      <c r="U1115" t="inlineStr">
        <is>
          <t>2010-07-29</t>
        </is>
      </c>
      <c r="V1115" t="inlineStr">
        <is>
          <t>2010-07-29</t>
        </is>
      </c>
      <c r="W1115" t="inlineStr">
        <is>
          <t>1999-09-09</t>
        </is>
      </c>
      <c r="X1115" t="inlineStr">
        <is>
          <t>1999-09-09</t>
        </is>
      </c>
      <c r="Y1115" t="n">
        <v>362</v>
      </c>
      <c r="Z1115" t="n">
        <v>352</v>
      </c>
      <c r="AA1115" t="n">
        <v>352</v>
      </c>
      <c r="AB1115" t="n">
        <v>4</v>
      </c>
      <c r="AC1115" t="n">
        <v>4</v>
      </c>
      <c r="AD1115" t="n">
        <v>0</v>
      </c>
      <c r="AE1115" t="n">
        <v>0</v>
      </c>
      <c r="AF1115" t="n">
        <v>0</v>
      </c>
      <c r="AG1115" t="n">
        <v>0</v>
      </c>
      <c r="AH1115" t="n">
        <v>0</v>
      </c>
      <c r="AI1115" t="n">
        <v>0</v>
      </c>
      <c r="AJ1115" t="n">
        <v>0</v>
      </c>
      <c r="AK1115" t="n">
        <v>0</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HYPERLINK("https://creighton-primo.hosted.exlibrisgroup.com/primo-explore/search?tab=default_tab&amp;search_scope=EVERYTHING&amp;vid=01CRU&amp;lang=en_US&amp;offset=0&amp;query=any,contains,991004639229702656","Catalog Record")</f>
        <v/>
      </c>
      <c r="AT1115">
        <f>HYPERLINK("http://www.worldcat.org/oclc/38039712","WorldCat Record")</f>
        <v/>
      </c>
      <c r="AU1115" t="inlineStr">
        <is>
          <t>3944028448:eng</t>
        </is>
      </c>
      <c r="AV1115" t="inlineStr">
        <is>
          <t>38039712</t>
        </is>
      </c>
      <c r="AW1115" t="inlineStr">
        <is>
          <t>991004639229702656</t>
        </is>
      </c>
      <c r="AX1115" t="inlineStr">
        <is>
          <t>991004639229702656</t>
        </is>
      </c>
      <c r="AY1115" t="inlineStr">
        <is>
          <t>2262384080002656</t>
        </is>
      </c>
      <c r="AZ1115" t="inlineStr">
        <is>
          <t>BOOK</t>
        </is>
      </c>
      <c r="BB1115" t="inlineStr">
        <is>
          <t>9781560063148</t>
        </is>
      </c>
      <c r="BC1115" t="inlineStr">
        <is>
          <t>32285003587788</t>
        </is>
      </c>
      <c r="BD1115" t="inlineStr">
        <is>
          <t>893406463</t>
        </is>
      </c>
    </row>
    <row r="1116">
      <c r="A1116" t="inlineStr">
        <is>
          <t>No</t>
        </is>
      </c>
      <c r="B1116" t="inlineStr">
        <is>
          <t>DG311 .S35 2000</t>
        </is>
      </c>
      <c r="C1116" t="inlineStr">
        <is>
          <t>0                      DG 0311000S  35          2000</t>
        </is>
      </c>
      <c r="D1116" t="inlineStr">
        <is>
          <t>The end of the past : ancient Rome and the modern West / Aldo Schiavone ; translated by Margery J. Schneider.</t>
        </is>
      </c>
      <c r="F1116" t="inlineStr">
        <is>
          <t>No</t>
        </is>
      </c>
      <c r="G1116" t="inlineStr">
        <is>
          <t>1</t>
        </is>
      </c>
      <c r="H1116" t="inlineStr">
        <is>
          <t>No</t>
        </is>
      </c>
      <c r="I1116" t="inlineStr">
        <is>
          <t>No</t>
        </is>
      </c>
      <c r="J1116" t="inlineStr">
        <is>
          <t>0</t>
        </is>
      </c>
      <c r="K1116" t="inlineStr">
        <is>
          <t>Schiavone, Aldo.</t>
        </is>
      </c>
      <c r="L1116" t="inlineStr">
        <is>
          <t>Cambridge, Mass. ; London, England : Harvard University Press, 2000.</t>
        </is>
      </c>
      <c r="M1116" t="inlineStr">
        <is>
          <t>2000</t>
        </is>
      </c>
      <c r="O1116" t="inlineStr">
        <is>
          <t>eng</t>
        </is>
      </c>
      <c r="P1116" t="inlineStr">
        <is>
          <t>mau</t>
        </is>
      </c>
      <c r="Q1116" t="inlineStr">
        <is>
          <t>Revealing antiquity ; 13</t>
        </is>
      </c>
      <c r="R1116" t="inlineStr">
        <is>
          <t xml:space="preserve">DG </t>
        </is>
      </c>
      <c r="S1116" t="n">
        <v>5</v>
      </c>
      <c r="T1116" t="n">
        <v>5</v>
      </c>
      <c r="U1116" t="inlineStr">
        <is>
          <t>2004-04-14</t>
        </is>
      </c>
      <c r="V1116" t="inlineStr">
        <is>
          <t>2004-04-14</t>
        </is>
      </c>
      <c r="W1116" t="inlineStr">
        <is>
          <t>2001-01-04</t>
        </is>
      </c>
      <c r="X1116" t="inlineStr">
        <is>
          <t>2001-01-04</t>
        </is>
      </c>
      <c r="Y1116" t="n">
        <v>723</v>
      </c>
      <c r="Z1116" t="n">
        <v>593</v>
      </c>
      <c r="AA1116" t="n">
        <v>629</v>
      </c>
      <c r="AB1116" t="n">
        <v>5</v>
      </c>
      <c r="AC1116" t="n">
        <v>5</v>
      </c>
      <c r="AD1116" t="n">
        <v>33</v>
      </c>
      <c r="AE1116" t="n">
        <v>35</v>
      </c>
      <c r="AF1116" t="n">
        <v>15</v>
      </c>
      <c r="AG1116" t="n">
        <v>15</v>
      </c>
      <c r="AH1116" t="n">
        <v>7</v>
      </c>
      <c r="AI1116" t="n">
        <v>8</v>
      </c>
      <c r="AJ1116" t="n">
        <v>16</v>
      </c>
      <c r="AK1116" t="n">
        <v>17</v>
      </c>
      <c r="AL1116" t="n">
        <v>4</v>
      </c>
      <c r="AM1116" t="n">
        <v>4</v>
      </c>
      <c r="AN1116" t="n">
        <v>0</v>
      </c>
      <c r="AO1116" t="n">
        <v>1</v>
      </c>
      <c r="AP1116" t="inlineStr">
        <is>
          <t>No</t>
        </is>
      </c>
      <c r="AQ1116" t="inlineStr">
        <is>
          <t>Yes</t>
        </is>
      </c>
      <c r="AR1116">
        <f>HYPERLINK("http://catalog.hathitrust.org/Record/004090820","HathiTrust Record")</f>
        <v/>
      </c>
      <c r="AS1116">
        <f>HYPERLINK("https://creighton-primo.hosted.exlibrisgroup.com/primo-explore/search?tab=default_tab&amp;search_scope=EVERYTHING&amp;vid=01CRU&amp;lang=en_US&amp;offset=0&amp;query=any,contains,991003328099702656","Catalog Record")</f>
        <v/>
      </c>
      <c r="AT1116">
        <f>HYPERLINK("http://www.worldcat.org/oclc/42813031","WorldCat Record")</f>
        <v/>
      </c>
      <c r="AU1116" t="inlineStr">
        <is>
          <t>1151872927:eng</t>
        </is>
      </c>
      <c r="AV1116" t="inlineStr">
        <is>
          <t>42813031</t>
        </is>
      </c>
      <c r="AW1116" t="inlineStr">
        <is>
          <t>991003328099702656</t>
        </is>
      </c>
      <c r="AX1116" t="inlineStr">
        <is>
          <t>991003328099702656</t>
        </is>
      </c>
      <c r="AY1116" t="inlineStr">
        <is>
          <t>2260792450002656</t>
        </is>
      </c>
      <c r="AZ1116" t="inlineStr">
        <is>
          <t>BOOK</t>
        </is>
      </c>
      <c r="BB1116" t="inlineStr">
        <is>
          <t>9780674000629</t>
        </is>
      </c>
      <c r="BC1116" t="inlineStr">
        <is>
          <t>32285004279724</t>
        </is>
      </c>
      <c r="BD1116" t="inlineStr">
        <is>
          <t>893610923</t>
        </is>
      </c>
    </row>
    <row r="1117">
      <c r="A1117" t="inlineStr">
        <is>
          <t>No</t>
        </is>
      </c>
      <c r="B1117" t="inlineStr">
        <is>
          <t>DG311 .W37</t>
        </is>
      </c>
      <c r="C1117" t="inlineStr">
        <is>
          <t>0                      DG 0311000W  37</t>
        </is>
      </c>
      <c r="D1117" t="inlineStr">
        <is>
          <t>The transformation of the Roman world; Gibbon's problem after two centuries, edited by Lynn White, Jr.</t>
        </is>
      </c>
      <c r="F1117" t="inlineStr">
        <is>
          <t>No</t>
        </is>
      </c>
      <c r="G1117" t="inlineStr">
        <is>
          <t>1</t>
        </is>
      </c>
      <c r="H1117" t="inlineStr">
        <is>
          <t>No</t>
        </is>
      </c>
      <c r="I1117" t="inlineStr">
        <is>
          <t>No</t>
        </is>
      </c>
      <c r="J1117" t="inlineStr">
        <is>
          <t>0</t>
        </is>
      </c>
      <c r="K1117" t="inlineStr">
        <is>
          <t>White, Lynn, Jr., 1907-1987 editor.</t>
        </is>
      </c>
      <c r="L1117" t="inlineStr">
        <is>
          <t>Berkeley, University of California Press, 1966.</t>
        </is>
      </c>
      <c r="M1117" t="inlineStr">
        <is>
          <t>1966</t>
        </is>
      </c>
      <c r="O1117" t="inlineStr">
        <is>
          <t>eng</t>
        </is>
      </c>
      <c r="P1117" t="inlineStr">
        <is>
          <t>cau</t>
        </is>
      </c>
      <c r="Q1117" t="inlineStr">
        <is>
          <t>UCLA Center for Medieval and Renaissance Studies. Contributions, 3</t>
        </is>
      </c>
      <c r="R1117" t="inlineStr">
        <is>
          <t xml:space="preserve">DG </t>
        </is>
      </c>
      <c r="S1117" t="n">
        <v>1</v>
      </c>
      <c r="T1117" t="n">
        <v>1</v>
      </c>
      <c r="U1117" t="inlineStr">
        <is>
          <t>2008-11-12</t>
        </is>
      </c>
      <c r="V1117" t="inlineStr">
        <is>
          <t>2008-11-12</t>
        </is>
      </c>
      <c r="W1117" t="inlineStr">
        <is>
          <t>1997-02-04</t>
        </is>
      </c>
      <c r="X1117" t="inlineStr">
        <is>
          <t>1997-02-04</t>
        </is>
      </c>
      <c r="Y1117" t="n">
        <v>867</v>
      </c>
      <c r="Z1117" t="n">
        <v>751</v>
      </c>
      <c r="AA1117" t="n">
        <v>804</v>
      </c>
      <c r="AB1117" t="n">
        <v>3</v>
      </c>
      <c r="AC1117" t="n">
        <v>3</v>
      </c>
      <c r="AD1117" t="n">
        <v>39</v>
      </c>
      <c r="AE1117" t="n">
        <v>39</v>
      </c>
      <c r="AF1117" t="n">
        <v>17</v>
      </c>
      <c r="AG1117" t="n">
        <v>17</v>
      </c>
      <c r="AH1117" t="n">
        <v>11</v>
      </c>
      <c r="AI1117" t="n">
        <v>11</v>
      </c>
      <c r="AJ1117" t="n">
        <v>22</v>
      </c>
      <c r="AK1117" t="n">
        <v>22</v>
      </c>
      <c r="AL1117" t="n">
        <v>2</v>
      </c>
      <c r="AM1117" t="n">
        <v>2</v>
      </c>
      <c r="AN1117" t="n">
        <v>0</v>
      </c>
      <c r="AO1117" t="n">
        <v>0</v>
      </c>
      <c r="AP1117" t="inlineStr">
        <is>
          <t>No</t>
        </is>
      </c>
      <c r="AQ1117" t="inlineStr">
        <is>
          <t>Yes</t>
        </is>
      </c>
      <c r="AR1117">
        <f>HYPERLINK("http://catalog.hathitrust.org/Record/000005698","HathiTrust Record")</f>
        <v/>
      </c>
      <c r="AS1117">
        <f>HYPERLINK("https://creighton-primo.hosted.exlibrisgroup.com/primo-explore/search?tab=default_tab&amp;search_scope=EVERYTHING&amp;vid=01CRU&amp;lang=en_US&amp;offset=0&amp;query=any,contains,991002708289702656","Catalog Record")</f>
        <v/>
      </c>
      <c r="AT1117">
        <f>HYPERLINK("http://www.worldcat.org/oclc/408051","WorldCat Record")</f>
        <v/>
      </c>
      <c r="AU1117" t="inlineStr">
        <is>
          <t>354047085:eng</t>
        </is>
      </c>
      <c r="AV1117" t="inlineStr">
        <is>
          <t>408051</t>
        </is>
      </c>
      <c r="AW1117" t="inlineStr">
        <is>
          <t>991002708289702656</t>
        </is>
      </c>
      <c r="AX1117" t="inlineStr">
        <is>
          <t>991002708289702656</t>
        </is>
      </c>
      <c r="AY1117" t="inlineStr">
        <is>
          <t>2264110220002656</t>
        </is>
      </c>
      <c r="AZ1117" t="inlineStr">
        <is>
          <t>BOOK</t>
        </is>
      </c>
      <c r="BC1117" t="inlineStr">
        <is>
          <t>32285002421179</t>
        </is>
      </c>
      <c r="BD1117" t="inlineStr">
        <is>
          <t>893873893</t>
        </is>
      </c>
    </row>
    <row r="1118">
      <c r="A1118" t="inlineStr">
        <is>
          <t>No</t>
        </is>
      </c>
      <c r="B1118" t="inlineStr">
        <is>
          <t>DG311.G6 B6</t>
        </is>
      </c>
      <c r="C1118" t="inlineStr">
        <is>
          <t>0                      DG 0311000G  6                  B  6</t>
        </is>
      </c>
      <c r="D1118" t="inlineStr">
        <is>
          <t>The literary art of Edward Gibbon.</t>
        </is>
      </c>
      <c r="F1118" t="inlineStr">
        <is>
          <t>No</t>
        </is>
      </c>
      <c r="G1118" t="inlineStr">
        <is>
          <t>1</t>
        </is>
      </c>
      <c r="H1118" t="inlineStr">
        <is>
          <t>No</t>
        </is>
      </c>
      <c r="I1118" t="inlineStr">
        <is>
          <t>No</t>
        </is>
      </c>
      <c r="J1118" t="inlineStr">
        <is>
          <t>0</t>
        </is>
      </c>
      <c r="K1118" t="inlineStr">
        <is>
          <t>Bond, Harold L.</t>
        </is>
      </c>
      <c r="L1118" t="inlineStr">
        <is>
          <t>Oxford, Clarendon Press, 1960.</t>
        </is>
      </c>
      <c r="M1118" t="inlineStr">
        <is>
          <t>1960</t>
        </is>
      </c>
      <c r="O1118" t="inlineStr">
        <is>
          <t>eng</t>
        </is>
      </c>
      <c r="P1118" t="inlineStr">
        <is>
          <t>enk</t>
        </is>
      </c>
      <c r="R1118" t="inlineStr">
        <is>
          <t xml:space="preserve">DG </t>
        </is>
      </c>
      <c r="S1118" t="n">
        <v>1</v>
      </c>
      <c r="T1118" t="n">
        <v>1</v>
      </c>
      <c r="U1118" t="inlineStr">
        <is>
          <t>2001-09-19</t>
        </is>
      </c>
      <c r="V1118" t="inlineStr">
        <is>
          <t>2001-09-19</t>
        </is>
      </c>
      <c r="W1118" t="inlineStr">
        <is>
          <t>1997-02-04</t>
        </is>
      </c>
      <c r="X1118" t="inlineStr">
        <is>
          <t>1997-02-04</t>
        </is>
      </c>
      <c r="Y1118" t="n">
        <v>509</v>
      </c>
      <c r="Z1118" t="n">
        <v>373</v>
      </c>
      <c r="AA1118" t="n">
        <v>447</v>
      </c>
      <c r="AB1118" t="n">
        <v>3</v>
      </c>
      <c r="AC1118" t="n">
        <v>3</v>
      </c>
      <c r="AD1118" t="n">
        <v>22</v>
      </c>
      <c r="AE1118" t="n">
        <v>24</v>
      </c>
      <c r="AF1118" t="n">
        <v>6</v>
      </c>
      <c r="AG1118" t="n">
        <v>8</v>
      </c>
      <c r="AH1118" t="n">
        <v>5</v>
      </c>
      <c r="AI1118" t="n">
        <v>6</v>
      </c>
      <c r="AJ1118" t="n">
        <v>17</v>
      </c>
      <c r="AK1118" t="n">
        <v>17</v>
      </c>
      <c r="AL1118" t="n">
        <v>2</v>
      </c>
      <c r="AM1118" t="n">
        <v>2</v>
      </c>
      <c r="AN1118" t="n">
        <v>0</v>
      </c>
      <c r="AO1118" t="n">
        <v>0</v>
      </c>
      <c r="AP1118" t="inlineStr">
        <is>
          <t>No</t>
        </is>
      </c>
      <c r="AQ1118" t="inlineStr">
        <is>
          <t>Yes</t>
        </is>
      </c>
      <c r="AR1118">
        <f>HYPERLINK("http://catalog.hathitrust.org/Record/000651486","HathiTrust Record")</f>
        <v/>
      </c>
      <c r="AS1118">
        <f>HYPERLINK("https://creighton-primo.hosted.exlibrisgroup.com/primo-explore/search?tab=default_tab&amp;search_scope=EVERYTHING&amp;vid=01CRU&amp;lang=en_US&amp;offset=0&amp;query=any,contains,991002692569702656","Catalog Record")</f>
        <v/>
      </c>
      <c r="AT1118">
        <f>HYPERLINK("http://www.worldcat.org/oclc/402051","WorldCat Record")</f>
        <v/>
      </c>
      <c r="AU1118" t="inlineStr">
        <is>
          <t>1419113:eng</t>
        </is>
      </c>
      <c r="AV1118" t="inlineStr">
        <is>
          <t>402051</t>
        </is>
      </c>
      <c r="AW1118" t="inlineStr">
        <is>
          <t>991002692569702656</t>
        </is>
      </c>
      <c r="AX1118" t="inlineStr">
        <is>
          <t>991002692569702656</t>
        </is>
      </c>
      <c r="AY1118" t="inlineStr">
        <is>
          <t>2267693230002656</t>
        </is>
      </c>
      <c r="AZ1118" t="inlineStr">
        <is>
          <t>BOOK</t>
        </is>
      </c>
      <c r="BC1118" t="inlineStr">
        <is>
          <t>32285002420973</t>
        </is>
      </c>
      <c r="BD1118" t="inlineStr">
        <is>
          <t>893597761</t>
        </is>
      </c>
    </row>
    <row r="1119">
      <c r="A1119" t="inlineStr">
        <is>
          <t>No</t>
        </is>
      </c>
      <c r="B1119" t="inlineStr">
        <is>
          <t>DG311.G6 J67</t>
        </is>
      </c>
      <c r="C1119" t="inlineStr">
        <is>
          <t>0                      DG 0311000G  6                  J  67</t>
        </is>
      </c>
      <c r="D1119" t="inlineStr">
        <is>
          <t>Gibbon and his Roman Empire [by] David P. Jordan.</t>
        </is>
      </c>
      <c r="F1119" t="inlineStr">
        <is>
          <t>No</t>
        </is>
      </c>
      <c r="G1119" t="inlineStr">
        <is>
          <t>1</t>
        </is>
      </c>
      <c r="H1119" t="inlineStr">
        <is>
          <t>No</t>
        </is>
      </c>
      <c r="I1119" t="inlineStr">
        <is>
          <t>No</t>
        </is>
      </c>
      <c r="J1119" t="inlineStr">
        <is>
          <t>0</t>
        </is>
      </c>
      <c r="K1119" t="inlineStr">
        <is>
          <t>Jordan, David P., 1939-</t>
        </is>
      </c>
      <c r="L1119" t="inlineStr">
        <is>
          <t>Urbana, University of Illinois Press [1971]</t>
        </is>
      </c>
      <c r="M1119" t="inlineStr">
        <is>
          <t>1971</t>
        </is>
      </c>
      <c r="O1119" t="inlineStr">
        <is>
          <t>eng</t>
        </is>
      </c>
      <c r="P1119" t="inlineStr">
        <is>
          <t>ilu</t>
        </is>
      </c>
      <c r="R1119" t="inlineStr">
        <is>
          <t xml:space="preserve">DG </t>
        </is>
      </c>
      <c r="S1119" t="n">
        <v>5</v>
      </c>
      <c r="T1119" t="n">
        <v>5</v>
      </c>
      <c r="U1119" t="inlineStr">
        <is>
          <t>2008-11-12</t>
        </is>
      </c>
      <c r="V1119" t="inlineStr">
        <is>
          <t>2008-11-12</t>
        </is>
      </c>
      <c r="W1119" t="inlineStr">
        <is>
          <t>1997-02-04</t>
        </is>
      </c>
      <c r="X1119" t="inlineStr">
        <is>
          <t>1997-02-04</t>
        </is>
      </c>
      <c r="Y1119" t="n">
        <v>924</v>
      </c>
      <c r="Z1119" t="n">
        <v>786</v>
      </c>
      <c r="AA1119" t="n">
        <v>793</v>
      </c>
      <c r="AB1119" t="n">
        <v>8</v>
      </c>
      <c r="AC1119" t="n">
        <v>8</v>
      </c>
      <c r="AD1119" t="n">
        <v>45</v>
      </c>
      <c r="AE1119" t="n">
        <v>45</v>
      </c>
      <c r="AF1119" t="n">
        <v>21</v>
      </c>
      <c r="AG1119" t="n">
        <v>21</v>
      </c>
      <c r="AH1119" t="n">
        <v>9</v>
      </c>
      <c r="AI1119" t="n">
        <v>9</v>
      </c>
      <c r="AJ1119" t="n">
        <v>22</v>
      </c>
      <c r="AK1119" t="n">
        <v>22</v>
      </c>
      <c r="AL1119" t="n">
        <v>7</v>
      </c>
      <c r="AM1119" t="n">
        <v>7</v>
      </c>
      <c r="AN1119" t="n">
        <v>0</v>
      </c>
      <c r="AO1119" t="n">
        <v>0</v>
      </c>
      <c r="AP1119" t="inlineStr">
        <is>
          <t>No</t>
        </is>
      </c>
      <c r="AQ1119" t="inlineStr">
        <is>
          <t>Yes</t>
        </is>
      </c>
      <c r="AR1119">
        <f>HYPERLINK("http://catalog.hathitrust.org/Record/000002221","HathiTrust Record")</f>
        <v/>
      </c>
      <c r="AS1119">
        <f>HYPERLINK("https://creighton-primo.hosted.exlibrisgroup.com/primo-explore/search?tab=default_tab&amp;search_scope=EVERYTHING&amp;vid=01CRU&amp;lang=en_US&amp;offset=0&amp;query=any,contains,991000854049702656","Catalog Record")</f>
        <v/>
      </c>
      <c r="AT1119">
        <f>HYPERLINK("http://www.worldcat.org/oclc/149083","WorldCat Record")</f>
        <v/>
      </c>
      <c r="AU1119" t="inlineStr">
        <is>
          <t>420950:eng</t>
        </is>
      </c>
      <c r="AV1119" t="inlineStr">
        <is>
          <t>149083</t>
        </is>
      </c>
      <c r="AW1119" t="inlineStr">
        <is>
          <t>991000854049702656</t>
        </is>
      </c>
      <c r="AX1119" t="inlineStr">
        <is>
          <t>991000854049702656</t>
        </is>
      </c>
      <c r="AY1119" t="inlineStr">
        <is>
          <t>2260608200002656</t>
        </is>
      </c>
      <c r="AZ1119" t="inlineStr">
        <is>
          <t>BOOK</t>
        </is>
      </c>
      <c r="BB1119" t="inlineStr">
        <is>
          <t>9780252001529</t>
        </is>
      </c>
      <c r="BC1119" t="inlineStr">
        <is>
          <t>32285002420981</t>
        </is>
      </c>
      <c r="BD1119" t="inlineStr">
        <is>
          <t>893702502</t>
        </is>
      </c>
    </row>
    <row r="1120">
      <c r="A1120" t="inlineStr">
        <is>
          <t>No</t>
        </is>
      </c>
      <c r="B1120" t="inlineStr">
        <is>
          <t>DG312 .A7</t>
        </is>
      </c>
      <c r="C1120" t="inlineStr">
        <is>
          <t>0                      DG 0312000A  7</t>
        </is>
      </c>
      <c r="D1120" t="inlineStr">
        <is>
          <t>The transition from the ancient to the medieval world, by R.F. Arragon ...</t>
        </is>
      </c>
      <c r="F1120" t="inlineStr">
        <is>
          <t>No</t>
        </is>
      </c>
      <c r="G1120" t="inlineStr">
        <is>
          <t>1</t>
        </is>
      </c>
      <c r="H1120" t="inlineStr">
        <is>
          <t>No</t>
        </is>
      </c>
      <c r="I1120" t="inlineStr">
        <is>
          <t>No</t>
        </is>
      </c>
      <c r="J1120" t="inlineStr">
        <is>
          <t>0</t>
        </is>
      </c>
      <c r="K1120" t="inlineStr">
        <is>
          <t>Arragon, R. F. (Reginald Francis), 1891-1987.</t>
        </is>
      </c>
      <c r="L1120" t="inlineStr">
        <is>
          <t>New York, H. Holt and Company [c1936]</t>
        </is>
      </c>
      <c r="M1120" t="inlineStr">
        <is>
          <t>1936</t>
        </is>
      </c>
      <c r="O1120" t="inlineStr">
        <is>
          <t>eng</t>
        </is>
      </c>
      <c r="P1120" t="inlineStr">
        <is>
          <t>nyu</t>
        </is>
      </c>
      <c r="Q1120" t="inlineStr">
        <is>
          <t>The Berkshire studies in European history</t>
        </is>
      </c>
      <c r="R1120" t="inlineStr">
        <is>
          <t xml:space="preserve">DG </t>
        </is>
      </c>
      <c r="S1120" t="n">
        <v>3</v>
      </c>
      <c r="T1120" t="n">
        <v>3</v>
      </c>
      <c r="U1120" t="inlineStr">
        <is>
          <t>2004-03-11</t>
        </is>
      </c>
      <c r="V1120" t="inlineStr">
        <is>
          <t>2004-03-11</t>
        </is>
      </c>
      <c r="W1120" t="inlineStr">
        <is>
          <t>1997-02-04</t>
        </is>
      </c>
      <c r="X1120" t="inlineStr">
        <is>
          <t>1997-02-04</t>
        </is>
      </c>
      <c r="Y1120" t="n">
        <v>413</v>
      </c>
      <c r="Z1120" t="n">
        <v>386</v>
      </c>
      <c r="AA1120" t="n">
        <v>397</v>
      </c>
      <c r="AB1120" t="n">
        <v>5</v>
      </c>
      <c r="AC1120" t="n">
        <v>5</v>
      </c>
      <c r="AD1120" t="n">
        <v>21</v>
      </c>
      <c r="AE1120" t="n">
        <v>21</v>
      </c>
      <c r="AF1120" t="n">
        <v>3</v>
      </c>
      <c r="AG1120" t="n">
        <v>3</v>
      </c>
      <c r="AH1120" t="n">
        <v>6</v>
      </c>
      <c r="AI1120" t="n">
        <v>6</v>
      </c>
      <c r="AJ1120" t="n">
        <v>13</v>
      </c>
      <c r="AK1120" t="n">
        <v>13</v>
      </c>
      <c r="AL1120" t="n">
        <v>4</v>
      </c>
      <c r="AM1120" t="n">
        <v>4</v>
      </c>
      <c r="AN1120" t="n">
        <v>0</v>
      </c>
      <c r="AO1120" t="n">
        <v>0</v>
      </c>
      <c r="AP1120" t="inlineStr">
        <is>
          <t>No</t>
        </is>
      </c>
      <c r="AQ1120" t="inlineStr">
        <is>
          <t>Yes</t>
        </is>
      </c>
      <c r="AR1120">
        <f>HYPERLINK("http://catalog.hathitrust.org/Record/000815497","HathiTrust Record")</f>
        <v/>
      </c>
      <c r="AS1120">
        <f>HYPERLINK("https://creighton-primo.hosted.exlibrisgroup.com/primo-explore/search?tab=default_tab&amp;search_scope=EVERYTHING&amp;vid=01CRU&amp;lang=en_US&amp;offset=0&amp;query=any,contains,991003213259702656","Catalog Record")</f>
        <v/>
      </c>
      <c r="AT1120">
        <f>HYPERLINK("http://www.worldcat.org/oclc/739758","WorldCat Record")</f>
        <v/>
      </c>
      <c r="AU1120" t="inlineStr">
        <is>
          <t>1798071:eng</t>
        </is>
      </c>
      <c r="AV1120" t="inlineStr">
        <is>
          <t>739758</t>
        </is>
      </c>
      <c r="AW1120" t="inlineStr">
        <is>
          <t>991003213259702656</t>
        </is>
      </c>
      <c r="AX1120" t="inlineStr">
        <is>
          <t>991003213259702656</t>
        </is>
      </c>
      <c r="AY1120" t="inlineStr">
        <is>
          <t>2256083750002656</t>
        </is>
      </c>
      <c r="AZ1120" t="inlineStr">
        <is>
          <t>BOOK</t>
        </is>
      </c>
      <c r="BC1120" t="inlineStr">
        <is>
          <t>32285002421187</t>
        </is>
      </c>
      <c r="BD1120" t="inlineStr">
        <is>
          <t>893511685</t>
        </is>
      </c>
    </row>
    <row r="1121">
      <c r="A1121" t="inlineStr">
        <is>
          <t>No</t>
        </is>
      </c>
      <c r="B1121" t="inlineStr">
        <is>
          <t>DG312 .E53 1992</t>
        </is>
      </c>
      <c r="C1121" t="inlineStr">
        <is>
          <t>0                      DG 0312000E  53          1992</t>
        </is>
      </c>
      <c r="D1121" t="inlineStr">
        <is>
          <t>The End of the Roman Empire : decline or transformation? / edited and with an introduction by Donald Kagan.</t>
        </is>
      </c>
      <c r="F1121" t="inlineStr">
        <is>
          <t>No</t>
        </is>
      </c>
      <c r="G1121" t="inlineStr">
        <is>
          <t>1</t>
        </is>
      </c>
      <c r="H1121" t="inlineStr">
        <is>
          <t>No</t>
        </is>
      </c>
      <c r="I1121" t="inlineStr">
        <is>
          <t>No</t>
        </is>
      </c>
      <c r="J1121" t="inlineStr">
        <is>
          <t>0</t>
        </is>
      </c>
      <c r="L1121" t="inlineStr">
        <is>
          <t>Lexington, Mass. : D.C. Heath, c1992.</t>
        </is>
      </c>
      <c r="M1121" t="inlineStr">
        <is>
          <t>1992</t>
        </is>
      </c>
      <c r="N1121" t="inlineStr">
        <is>
          <t>3rd ed.</t>
        </is>
      </c>
      <c r="O1121" t="inlineStr">
        <is>
          <t>eng</t>
        </is>
      </c>
      <c r="P1121" t="inlineStr">
        <is>
          <t>mau</t>
        </is>
      </c>
      <c r="Q1121" t="inlineStr">
        <is>
          <t>Problems in European civilization</t>
        </is>
      </c>
      <c r="R1121" t="inlineStr">
        <is>
          <t xml:space="preserve">DG </t>
        </is>
      </c>
      <c r="S1121" t="n">
        <v>5</v>
      </c>
      <c r="T1121" t="n">
        <v>5</v>
      </c>
      <c r="U1121" t="inlineStr">
        <is>
          <t>2008-11-12</t>
        </is>
      </c>
      <c r="V1121" t="inlineStr">
        <is>
          <t>2008-11-12</t>
        </is>
      </c>
      <c r="W1121" t="inlineStr">
        <is>
          <t>2003-03-31</t>
        </is>
      </c>
      <c r="X1121" t="inlineStr">
        <is>
          <t>2003-03-31</t>
        </is>
      </c>
      <c r="Y1121" t="n">
        <v>205</v>
      </c>
      <c r="Z1121" t="n">
        <v>153</v>
      </c>
      <c r="AA1121" t="n">
        <v>400</v>
      </c>
      <c r="AB1121" t="n">
        <v>2</v>
      </c>
      <c r="AC1121" t="n">
        <v>5</v>
      </c>
      <c r="AD1121" t="n">
        <v>6</v>
      </c>
      <c r="AE1121" t="n">
        <v>20</v>
      </c>
      <c r="AF1121" t="n">
        <v>3</v>
      </c>
      <c r="AG1121" t="n">
        <v>4</v>
      </c>
      <c r="AH1121" t="n">
        <v>0</v>
      </c>
      <c r="AI1121" t="n">
        <v>4</v>
      </c>
      <c r="AJ1121" t="n">
        <v>3</v>
      </c>
      <c r="AK1121" t="n">
        <v>12</v>
      </c>
      <c r="AL1121" t="n">
        <v>1</v>
      </c>
      <c r="AM1121" t="n">
        <v>4</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HYPERLINK("https://creighton-primo.hosted.exlibrisgroup.com/primo-explore/search?tab=default_tab&amp;search_scope=EVERYTHING&amp;vid=01CRU&amp;lang=en_US&amp;offset=0&amp;query=any,contains,991004034879702656","Catalog Record")</f>
        <v/>
      </c>
      <c r="AT1121">
        <f>HYPERLINK("http://www.worldcat.org/oclc/25999513","WorldCat Record")</f>
        <v/>
      </c>
      <c r="AU1121" t="inlineStr">
        <is>
          <t>890386533:eng</t>
        </is>
      </c>
      <c r="AV1121" t="inlineStr">
        <is>
          <t>25999513</t>
        </is>
      </c>
      <c r="AW1121" t="inlineStr">
        <is>
          <t>991004034879702656</t>
        </is>
      </c>
      <c r="AX1121" t="inlineStr">
        <is>
          <t>991004034879702656</t>
        </is>
      </c>
      <c r="AY1121" t="inlineStr">
        <is>
          <t>2261969620002656</t>
        </is>
      </c>
      <c r="AZ1121" t="inlineStr">
        <is>
          <t>BOOK</t>
        </is>
      </c>
      <c r="BB1121" t="inlineStr">
        <is>
          <t>9780669215205</t>
        </is>
      </c>
      <c r="BC1121" t="inlineStr">
        <is>
          <t>32285004688106</t>
        </is>
      </c>
      <c r="BD1121" t="inlineStr">
        <is>
          <t>893788200</t>
        </is>
      </c>
    </row>
    <row r="1122">
      <c r="A1122" t="inlineStr">
        <is>
          <t>No</t>
        </is>
      </c>
      <c r="B1122" t="inlineStr">
        <is>
          <t>DG312 .F7 1969</t>
        </is>
      </c>
      <c r="C1122" t="inlineStr">
        <is>
          <t>0                      DG 0312000F  7           1969</t>
        </is>
      </c>
      <c r="D1122" t="inlineStr">
        <is>
          <t>Scholae palatinae : the palace guards of the later Roman Empire / by R. I. Frank.</t>
        </is>
      </c>
      <c r="F1122" t="inlineStr">
        <is>
          <t>No</t>
        </is>
      </c>
      <c r="G1122" t="inlineStr">
        <is>
          <t>1</t>
        </is>
      </c>
      <c r="H1122" t="inlineStr">
        <is>
          <t>No</t>
        </is>
      </c>
      <c r="I1122" t="inlineStr">
        <is>
          <t>No</t>
        </is>
      </c>
      <c r="J1122" t="inlineStr">
        <is>
          <t>0</t>
        </is>
      </c>
      <c r="K1122" t="inlineStr">
        <is>
          <t>Frank, R. I. (Richard Ira)</t>
        </is>
      </c>
      <c r="L1122" t="inlineStr">
        <is>
          <t>Rome : American Academy, 1969.</t>
        </is>
      </c>
      <c r="M1122" t="inlineStr">
        <is>
          <t>1969</t>
        </is>
      </c>
      <c r="O1122" t="inlineStr">
        <is>
          <t>eng</t>
        </is>
      </c>
      <c r="P1122" t="inlineStr">
        <is>
          <t xml:space="preserve">it </t>
        </is>
      </c>
      <c r="Q1122" t="inlineStr">
        <is>
          <t>Papers and monographs of the American Academy in Rome ; v. 23</t>
        </is>
      </c>
      <c r="R1122" t="inlineStr">
        <is>
          <t xml:space="preserve">DG </t>
        </is>
      </c>
      <c r="S1122" t="n">
        <v>1</v>
      </c>
      <c r="T1122" t="n">
        <v>1</v>
      </c>
      <c r="U1122" t="inlineStr">
        <is>
          <t>2008-08-28</t>
        </is>
      </c>
      <c r="V1122" t="inlineStr">
        <is>
          <t>2008-08-28</t>
        </is>
      </c>
      <c r="W1122" t="inlineStr">
        <is>
          <t>2008-08-28</t>
        </is>
      </c>
      <c r="X1122" t="inlineStr">
        <is>
          <t>2008-08-28</t>
        </is>
      </c>
      <c r="Y1122" t="n">
        <v>246</v>
      </c>
      <c r="Z1122" t="n">
        <v>162</v>
      </c>
      <c r="AA1122" t="n">
        <v>168</v>
      </c>
      <c r="AB1122" t="n">
        <v>2</v>
      </c>
      <c r="AC1122" t="n">
        <v>2</v>
      </c>
      <c r="AD1122" t="n">
        <v>9</v>
      </c>
      <c r="AE1122" t="n">
        <v>9</v>
      </c>
      <c r="AF1122" t="n">
        <v>2</v>
      </c>
      <c r="AG1122" t="n">
        <v>2</v>
      </c>
      <c r="AH1122" t="n">
        <v>2</v>
      </c>
      <c r="AI1122" t="n">
        <v>2</v>
      </c>
      <c r="AJ1122" t="n">
        <v>8</v>
      </c>
      <c r="AK1122" t="n">
        <v>8</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HYPERLINK("https://creighton-primo.hosted.exlibrisgroup.com/primo-explore/search?tab=default_tab&amp;search_scope=EVERYTHING&amp;vid=01CRU&amp;lang=en_US&amp;offset=0&amp;query=any,contains,991005261319702656","Catalog Record")</f>
        <v/>
      </c>
      <c r="AT1122">
        <f>HYPERLINK("http://www.worldcat.org/oclc/97424","WorldCat Record")</f>
        <v/>
      </c>
      <c r="AU1122" t="inlineStr">
        <is>
          <t>807697401:eng</t>
        </is>
      </c>
      <c r="AV1122" t="inlineStr">
        <is>
          <t>97424</t>
        </is>
      </c>
      <c r="AW1122" t="inlineStr">
        <is>
          <t>991005261319702656</t>
        </is>
      </c>
      <c r="AX1122" t="inlineStr">
        <is>
          <t>991005261319702656</t>
        </is>
      </c>
      <c r="AY1122" t="inlineStr">
        <is>
          <t>2269761030002656</t>
        </is>
      </c>
      <c r="AZ1122" t="inlineStr">
        <is>
          <t>BOOK</t>
        </is>
      </c>
      <c r="BC1122" t="inlineStr">
        <is>
          <t>32285005456529</t>
        </is>
      </c>
      <c r="BD1122" t="inlineStr">
        <is>
          <t>893695021</t>
        </is>
      </c>
    </row>
    <row r="1123">
      <c r="A1123" t="inlineStr">
        <is>
          <t>No</t>
        </is>
      </c>
      <c r="B1123" t="inlineStr">
        <is>
          <t>DG312 .G34</t>
        </is>
      </c>
      <c r="C1123" t="inlineStr">
        <is>
          <t>0                      DG 0312000G  34</t>
        </is>
      </c>
      <c r="D1123" t="inlineStr">
        <is>
          <t>On the decline and fall of empires : the Roman Empire and Western imperialism compared / Johan Galtung, Tore Heiestad, and Eric Ruge.</t>
        </is>
      </c>
      <c r="F1123" t="inlineStr">
        <is>
          <t>No</t>
        </is>
      </c>
      <c r="G1123" t="inlineStr">
        <is>
          <t>1</t>
        </is>
      </c>
      <c r="H1123" t="inlineStr">
        <is>
          <t>No</t>
        </is>
      </c>
      <c r="I1123" t="inlineStr">
        <is>
          <t>No</t>
        </is>
      </c>
      <c r="J1123" t="inlineStr">
        <is>
          <t>0</t>
        </is>
      </c>
      <c r="K1123" t="inlineStr">
        <is>
          <t>Galtung, Johan.</t>
        </is>
      </c>
      <c r="L1123" t="inlineStr">
        <is>
          <t>Tokyo : United Nations University, 1979.</t>
        </is>
      </c>
      <c r="M1123" t="inlineStr">
        <is>
          <t>1979</t>
        </is>
      </c>
      <c r="O1123" t="inlineStr">
        <is>
          <t>eng</t>
        </is>
      </c>
      <c r="P1123" t="inlineStr">
        <is>
          <t xml:space="preserve">ja </t>
        </is>
      </c>
      <c r="Q1123" t="inlineStr">
        <is>
          <t>HSDP-GPID series, 0379-5764</t>
        </is>
      </c>
      <c r="R1123" t="inlineStr">
        <is>
          <t xml:space="preserve">DG </t>
        </is>
      </c>
      <c r="S1123" t="n">
        <v>6</v>
      </c>
      <c r="T1123" t="n">
        <v>6</v>
      </c>
      <c r="U1123" t="inlineStr">
        <is>
          <t>2006-09-13</t>
        </is>
      </c>
      <c r="V1123" t="inlineStr">
        <is>
          <t>2006-09-13</t>
        </is>
      </c>
      <c r="W1123" t="inlineStr">
        <is>
          <t>1991-04-10</t>
        </is>
      </c>
      <c r="X1123" t="inlineStr">
        <is>
          <t>1991-04-10</t>
        </is>
      </c>
      <c r="Y1123" t="n">
        <v>32</v>
      </c>
      <c r="Z1123" t="n">
        <v>22</v>
      </c>
      <c r="AA1123" t="n">
        <v>22</v>
      </c>
      <c r="AB1123" t="n">
        <v>1</v>
      </c>
      <c r="AC1123" t="n">
        <v>1</v>
      </c>
      <c r="AD1123" t="n">
        <v>0</v>
      </c>
      <c r="AE1123" t="n">
        <v>0</v>
      </c>
      <c r="AF1123" t="n">
        <v>0</v>
      </c>
      <c r="AG1123" t="n">
        <v>0</v>
      </c>
      <c r="AH1123" t="n">
        <v>0</v>
      </c>
      <c r="AI1123" t="n">
        <v>0</v>
      </c>
      <c r="AJ1123" t="n">
        <v>0</v>
      </c>
      <c r="AK1123" t="n">
        <v>0</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HYPERLINK("https://creighton-primo.hosted.exlibrisgroup.com/primo-explore/search?tab=default_tab&amp;search_scope=EVERYTHING&amp;vid=01CRU&amp;lang=en_US&amp;offset=0&amp;query=any,contains,991005074109702656","Catalog Record")</f>
        <v/>
      </c>
      <c r="AT1123">
        <f>HYPERLINK("http://www.worldcat.org/oclc/7081193","WorldCat Record")</f>
        <v/>
      </c>
      <c r="AU1123" t="inlineStr">
        <is>
          <t>889501511:eng</t>
        </is>
      </c>
      <c r="AV1123" t="inlineStr">
        <is>
          <t>7081193</t>
        </is>
      </c>
      <c r="AW1123" t="inlineStr">
        <is>
          <t>991005074109702656</t>
        </is>
      </c>
      <c r="AX1123" t="inlineStr">
        <is>
          <t>991005074109702656</t>
        </is>
      </c>
      <c r="AY1123" t="inlineStr">
        <is>
          <t>2270454960002656</t>
        </is>
      </c>
      <c r="AZ1123" t="inlineStr">
        <is>
          <t>BOOK</t>
        </is>
      </c>
      <c r="BC1123" t="inlineStr">
        <is>
          <t>32285000521897</t>
        </is>
      </c>
      <c r="BD1123" t="inlineStr">
        <is>
          <t>893350657</t>
        </is>
      </c>
    </row>
    <row r="1124">
      <c r="A1124" t="inlineStr">
        <is>
          <t>No</t>
        </is>
      </c>
      <c r="B1124" t="inlineStr">
        <is>
          <t>DG312 .K3</t>
        </is>
      </c>
      <c r="C1124" t="inlineStr">
        <is>
          <t>0                      DG 0312000K  3</t>
        </is>
      </c>
      <c r="D1124" t="inlineStr">
        <is>
          <t>Decline and fall of the Roman Empire : why did it collapse?</t>
        </is>
      </c>
      <c r="F1124" t="inlineStr">
        <is>
          <t>No</t>
        </is>
      </c>
      <c r="G1124" t="inlineStr">
        <is>
          <t>1</t>
        </is>
      </c>
      <c r="H1124" t="inlineStr">
        <is>
          <t>No</t>
        </is>
      </c>
      <c r="I1124" t="inlineStr">
        <is>
          <t>No</t>
        </is>
      </c>
      <c r="J1124" t="inlineStr">
        <is>
          <t>0</t>
        </is>
      </c>
      <c r="K1124" t="inlineStr">
        <is>
          <t>Kagan, Donald editor.</t>
        </is>
      </c>
      <c r="L1124" t="inlineStr">
        <is>
          <t>Boston : Heath, [c1962]</t>
        </is>
      </c>
      <c r="M1124" t="inlineStr">
        <is>
          <t>1962</t>
        </is>
      </c>
      <c r="O1124" t="inlineStr">
        <is>
          <t>eng</t>
        </is>
      </c>
      <c r="P1124" t="inlineStr">
        <is>
          <t>mau</t>
        </is>
      </c>
      <c r="Q1124" t="inlineStr">
        <is>
          <t>Problems in European civilization</t>
        </is>
      </c>
      <c r="R1124" t="inlineStr">
        <is>
          <t xml:space="preserve">DG </t>
        </is>
      </c>
      <c r="S1124" t="n">
        <v>4</v>
      </c>
      <c r="T1124" t="n">
        <v>4</v>
      </c>
      <c r="U1124" t="inlineStr">
        <is>
          <t>2008-11-12</t>
        </is>
      </c>
      <c r="V1124" t="inlineStr">
        <is>
          <t>2008-11-12</t>
        </is>
      </c>
      <c r="W1124" t="inlineStr">
        <is>
          <t>1994-05-24</t>
        </is>
      </c>
      <c r="X1124" t="inlineStr">
        <is>
          <t>1994-05-24</t>
        </is>
      </c>
      <c r="Y1124" t="n">
        <v>955</v>
      </c>
      <c r="Z1124" t="n">
        <v>781</v>
      </c>
      <c r="AA1124" t="n">
        <v>791</v>
      </c>
      <c r="AB1124" t="n">
        <v>5</v>
      </c>
      <c r="AC1124" t="n">
        <v>5</v>
      </c>
      <c r="AD1124" t="n">
        <v>26</v>
      </c>
      <c r="AE1124" t="n">
        <v>26</v>
      </c>
      <c r="AF1124" t="n">
        <v>10</v>
      </c>
      <c r="AG1124" t="n">
        <v>10</v>
      </c>
      <c r="AH1124" t="n">
        <v>5</v>
      </c>
      <c r="AI1124" t="n">
        <v>5</v>
      </c>
      <c r="AJ1124" t="n">
        <v>14</v>
      </c>
      <c r="AK1124" t="n">
        <v>14</v>
      </c>
      <c r="AL1124" t="n">
        <v>4</v>
      </c>
      <c r="AM1124" t="n">
        <v>4</v>
      </c>
      <c r="AN1124" t="n">
        <v>0</v>
      </c>
      <c r="AO1124" t="n">
        <v>0</v>
      </c>
      <c r="AP1124" t="inlineStr">
        <is>
          <t>No</t>
        </is>
      </c>
      <c r="AQ1124" t="inlineStr">
        <is>
          <t>Yes</t>
        </is>
      </c>
      <c r="AR1124">
        <f>HYPERLINK("http://catalog.hathitrust.org/Record/000348902","HathiTrust Record")</f>
        <v/>
      </c>
      <c r="AS1124">
        <f>HYPERLINK("https://creighton-primo.hosted.exlibrisgroup.com/primo-explore/search?tab=default_tab&amp;search_scope=EVERYTHING&amp;vid=01CRU&amp;lang=en_US&amp;offset=0&amp;query=any,contains,991002033879702656","Catalog Record")</f>
        <v/>
      </c>
      <c r="AT1124">
        <f>HYPERLINK("http://www.worldcat.org/oclc/260311","WorldCat Record")</f>
        <v/>
      </c>
      <c r="AU1124" t="inlineStr">
        <is>
          <t>866284975:eng</t>
        </is>
      </c>
      <c r="AV1124" t="inlineStr">
        <is>
          <t>260311</t>
        </is>
      </c>
      <c r="AW1124" t="inlineStr">
        <is>
          <t>991002033879702656</t>
        </is>
      </c>
      <c r="AX1124" t="inlineStr">
        <is>
          <t>991002033879702656</t>
        </is>
      </c>
      <c r="AY1124" t="inlineStr">
        <is>
          <t>2262566680002656</t>
        </is>
      </c>
      <c r="AZ1124" t="inlineStr">
        <is>
          <t>BOOK</t>
        </is>
      </c>
      <c r="BC1124" t="inlineStr">
        <is>
          <t>32285001913440</t>
        </is>
      </c>
      <c r="BD1124" t="inlineStr">
        <is>
          <t>893879424</t>
        </is>
      </c>
    </row>
    <row r="1125">
      <c r="A1125" t="inlineStr">
        <is>
          <t>No</t>
        </is>
      </c>
      <c r="B1125" t="inlineStr">
        <is>
          <t>DG312 .K56 1997</t>
        </is>
      </c>
      <c r="C1125" t="inlineStr">
        <is>
          <t>0                      DG 0312000K  56          1997</t>
        </is>
      </c>
      <c r="D1125" t="inlineStr">
        <is>
          <t>Kingdoms of the Empire : the integraton of barbarians in late Antiquity / edited by Walter Pohl.</t>
        </is>
      </c>
      <c r="F1125" t="inlineStr">
        <is>
          <t>No</t>
        </is>
      </c>
      <c r="G1125" t="inlineStr">
        <is>
          <t>1</t>
        </is>
      </c>
      <c r="H1125" t="inlineStr">
        <is>
          <t>No</t>
        </is>
      </c>
      <c r="I1125" t="inlineStr">
        <is>
          <t>No</t>
        </is>
      </c>
      <c r="J1125" t="inlineStr">
        <is>
          <t>0</t>
        </is>
      </c>
      <c r="L1125" t="inlineStr">
        <is>
          <t>Leiden ; New York : Brill, 1997.</t>
        </is>
      </c>
      <c r="M1125" t="inlineStr">
        <is>
          <t>1997</t>
        </is>
      </c>
      <c r="O1125" t="inlineStr">
        <is>
          <t>eng</t>
        </is>
      </c>
      <c r="P1125" t="inlineStr">
        <is>
          <t xml:space="preserve">ne </t>
        </is>
      </c>
      <c r="Q1125" t="inlineStr">
        <is>
          <t>The transformation of the Roman world, 1386-4165 ; v. 1</t>
        </is>
      </c>
      <c r="R1125" t="inlineStr">
        <is>
          <t xml:space="preserve">DG </t>
        </is>
      </c>
      <c r="S1125" t="n">
        <v>3</v>
      </c>
      <c r="T1125" t="n">
        <v>3</v>
      </c>
      <c r="U1125" t="inlineStr">
        <is>
          <t>2001-05-16</t>
        </is>
      </c>
      <c r="V1125" t="inlineStr">
        <is>
          <t>2001-05-16</t>
        </is>
      </c>
      <c r="W1125" t="inlineStr">
        <is>
          <t>1997-12-29</t>
        </is>
      </c>
      <c r="X1125" t="inlineStr">
        <is>
          <t>1997-12-29</t>
        </is>
      </c>
      <c r="Y1125" t="n">
        <v>261</v>
      </c>
      <c r="Z1125" t="n">
        <v>159</v>
      </c>
      <c r="AA1125" t="n">
        <v>161</v>
      </c>
      <c r="AB1125" t="n">
        <v>2</v>
      </c>
      <c r="AC1125" t="n">
        <v>2</v>
      </c>
      <c r="AD1125" t="n">
        <v>14</v>
      </c>
      <c r="AE1125" t="n">
        <v>14</v>
      </c>
      <c r="AF1125" t="n">
        <v>4</v>
      </c>
      <c r="AG1125" t="n">
        <v>4</v>
      </c>
      <c r="AH1125" t="n">
        <v>4</v>
      </c>
      <c r="AI1125" t="n">
        <v>4</v>
      </c>
      <c r="AJ1125" t="n">
        <v>10</v>
      </c>
      <c r="AK1125" t="n">
        <v>10</v>
      </c>
      <c r="AL1125" t="n">
        <v>1</v>
      </c>
      <c r="AM1125" t="n">
        <v>1</v>
      </c>
      <c r="AN1125" t="n">
        <v>0</v>
      </c>
      <c r="AO1125" t="n">
        <v>0</v>
      </c>
      <c r="AP1125" t="inlineStr">
        <is>
          <t>No</t>
        </is>
      </c>
      <c r="AQ1125" t="inlineStr">
        <is>
          <t>Yes</t>
        </is>
      </c>
      <c r="AR1125">
        <f>HYPERLINK("http://catalog.hathitrust.org/Record/003250182","HathiTrust Record")</f>
        <v/>
      </c>
      <c r="AS1125">
        <f>HYPERLINK("https://creighton-primo.hosted.exlibrisgroup.com/primo-explore/search?tab=default_tab&amp;search_scope=EVERYTHING&amp;vid=01CRU&amp;lang=en_US&amp;offset=0&amp;query=any,contains,991002783509702656","Catalog Record")</f>
        <v/>
      </c>
      <c r="AT1125">
        <f>HYPERLINK("http://www.worldcat.org/oclc/36548917","WorldCat Record")</f>
        <v/>
      </c>
      <c r="AU1125" t="inlineStr">
        <is>
          <t>1126770561:eng</t>
        </is>
      </c>
      <c r="AV1125" t="inlineStr">
        <is>
          <t>36548917</t>
        </is>
      </c>
      <c r="AW1125" t="inlineStr">
        <is>
          <t>991002783509702656</t>
        </is>
      </c>
      <c r="AX1125" t="inlineStr">
        <is>
          <t>991002783509702656</t>
        </is>
      </c>
      <c r="AY1125" t="inlineStr">
        <is>
          <t>2259473690002656</t>
        </is>
      </c>
      <c r="AZ1125" t="inlineStr">
        <is>
          <t>BOOK</t>
        </is>
      </c>
      <c r="BB1125" t="inlineStr">
        <is>
          <t>9789004108455</t>
        </is>
      </c>
      <c r="BC1125" t="inlineStr">
        <is>
          <t>32285003284873</t>
        </is>
      </c>
      <c r="BD1125" t="inlineStr">
        <is>
          <t>893524043</t>
        </is>
      </c>
    </row>
    <row r="1126">
      <c r="A1126" t="inlineStr">
        <is>
          <t>No</t>
        </is>
      </c>
      <c r="B1126" t="inlineStr">
        <is>
          <t>DG312 .L44 1993</t>
        </is>
      </c>
      <c r="C1126" t="inlineStr">
        <is>
          <t>0                      DG 0312000L  44          1993</t>
        </is>
      </c>
      <c r="D1126" t="inlineStr">
        <is>
          <t>Information and frontiers : Roman foreign relations in late antiquity / A.D. Lee.</t>
        </is>
      </c>
      <c r="F1126" t="inlineStr">
        <is>
          <t>No</t>
        </is>
      </c>
      <c r="G1126" t="inlineStr">
        <is>
          <t>1</t>
        </is>
      </c>
      <c r="H1126" t="inlineStr">
        <is>
          <t>No</t>
        </is>
      </c>
      <c r="I1126" t="inlineStr">
        <is>
          <t>No</t>
        </is>
      </c>
      <c r="J1126" t="inlineStr">
        <is>
          <t>0</t>
        </is>
      </c>
      <c r="K1126" t="inlineStr">
        <is>
          <t>Lee, A. D.</t>
        </is>
      </c>
      <c r="L1126" t="inlineStr">
        <is>
          <t>Cambridge [England] ; New York, NY, USA : Cambridge University Press, 1993.</t>
        </is>
      </c>
      <c r="M1126" t="inlineStr">
        <is>
          <t>1993</t>
        </is>
      </c>
      <c r="O1126" t="inlineStr">
        <is>
          <t>eng</t>
        </is>
      </c>
      <c r="P1126" t="inlineStr">
        <is>
          <t>enk</t>
        </is>
      </c>
      <c r="R1126" t="inlineStr">
        <is>
          <t xml:space="preserve">DG </t>
        </is>
      </c>
      <c r="S1126" t="n">
        <v>3</v>
      </c>
      <c r="T1126" t="n">
        <v>3</v>
      </c>
      <c r="U1126" t="inlineStr">
        <is>
          <t>2003-07-10</t>
        </is>
      </c>
      <c r="V1126" t="inlineStr">
        <is>
          <t>2003-07-10</t>
        </is>
      </c>
      <c r="W1126" t="inlineStr">
        <is>
          <t>1993-11-02</t>
        </is>
      </c>
      <c r="X1126" t="inlineStr">
        <is>
          <t>1993-11-02</t>
        </is>
      </c>
      <c r="Y1126" t="n">
        <v>401</v>
      </c>
      <c r="Z1126" t="n">
        <v>299</v>
      </c>
      <c r="AA1126" t="n">
        <v>303</v>
      </c>
      <c r="AB1126" t="n">
        <v>3</v>
      </c>
      <c r="AC1126" t="n">
        <v>3</v>
      </c>
      <c r="AD1126" t="n">
        <v>18</v>
      </c>
      <c r="AE1126" t="n">
        <v>18</v>
      </c>
      <c r="AF1126" t="n">
        <v>5</v>
      </c>
      <c r="AG1126" t="n">
        <v>5</v>
      </c>
      <c r="AH1126" t="n">
        <v>6</v>
      </c>
      <c r="AI1126" t="n">
        <v>6</v>
      </c>
      <c r="AJ1126" t="n">
        <v>12</v>
      </c>
      <c r="AK1126" t="n">
        <v>12</v>
      </c>
      <c r="AL1126" t="n">
        <v>2</v>
      </c>
      <c r="AM1126" t="n">
        <v>2</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HYPERLINK("https://creighton-primo.hosted.exlibrisgroup.com/primo-explore/search?tab=default_tab&amp;search_scope=EVERYTHING&amp;vid=01CRU&amp;lang=en_US&amp;offset=0&amp;query=any,contains,991002079329702656","Catalog Record")</f>
        <v/>
      </c>
      <c r="AT1126">
        <f>HYPERLINK("http://www.worldcat.org/oclc/26672223","WorldCat Record")</f>
        <v/>
      </c>
      <c r="AU1126" t="inlineStr">
        <is>
          <t>807035673:eng</t>
        </is>
      </c>
      <c r="AV1126" t="inlineStr">
        <is>
          <t>26672223</t>
        </is>
      </c>
      <c r="AW1126" t="inlineStr">
        <is>
          <t>991002079329702656</t>
        </is>
      </c>
      <c r="AX1126" t="inlineStr">
        <is>
          <t>991002079329702656</t>
        </is>
      </c>
      <c r="AY1126" t="inlineStr">
        <is>
          <t>2266436780002656</t>
        </is>
      </c>
      <c r="AZ1126" t="inlineStr">
        <is>
          <t>BOOK</t>
        </is>
      </c>
      <c r="BB1126" t="inlineStr">
        <is>
          <t>9780521392563</t>
        </is>
      </c>
      <c r="BC1126" t="inlineStr">
        <is>
          <t>32285001789980</t>
        </is>
      </c>
      <c r="BD1126" t="inlineStr">
        <is>
          <t>893256848</t>
        </is>
      </c>
    </row>
    <row r="1127">
      <c r="A1127" t="inlineStr">
        <is>
          <t>No</t>
        </is>
      </c>
      <c r="B1127" t="inlineStr">
        <is>
          <t>DG312 .P38 1987</t>
        </is>
      </c>
      <c r="C1127" t="inlineStr">
        <is>
          <t>0                      DG 0312000P  38          1987</t>
        </is>
      </c>
      <c r="D1127" t="inlineStr">
        <is>
          <t>The excellent empire : the fall of Rome and the triumph of the church / Jaroslav Pelikán.</t>
        </is>
      </c>
      <c r="F1127" t="inlineStr">
        <is>
          <t>No</t>
        </is>
      </c>
      <c r="G1127" t="inlineStr">
        <is>
          <t>1</t>
        </is>
      </c>
      <c r="H1127" t="inlineStr">
        <is>
          <t>No</t>
        </is>
      </c>
      <c r="I1127" t="inlineStr">
        <is>
          <t>No</t>
        </is>
      </c>
      <c r="J1127" t="inlineStr">
        <is>
          <t>0</t>
        </is>
      </c>
      <c r="K1127" t="inlineStr">
        <is>
          <t>Pelikan, Jaroslav, 1923-2006.</t>
        </is>
      </c>
      <c r="L1127" t="inlineStr">
        <is>
          <t>San Francisco : Harper &amp; Row, 1987.</t>
        </is>
      </c>
      <c r="M1127" t="inlineStr">
        <is>
          <t>1987</t>
        </is>
      </c>
      <c r="N1127" t="inlineStr">
        <is>
          <t>1st ed.</t>
        </is>
      </c>
      <c r="O1127" t="inlineStr">
        <is>
          <t>eng</t>
        </is>
      </c>
      <c r="P1127" t="inlineStr">
        <is>
          <t>cau</t>
        </is>
      </c>
      <c r="Q1127" t="inlineStr">
        <is>
          <t>The Rauschenbusch lectures ; new ser., 1</t>
        </is>
      </c>
      <c r="R1127" t="inlineStr">
        <is>
          <t xml:space="preserve">DG </t>
        </is>
      </c>
      <c r="S1127" t="n">
        <v>6</v>
      </c>
      <c r="T1127" t="n">
        <v>6</v>
      </c>
      <c r="U1127" t="inlineStr">
        <is>
          <t>2008-11-12</t>
        </is>
      </c>
      <c r="V1127" t="inlineStr">
        <is>
          <t>2008-11-12</t>
        </is>
      </c>
      <c r="W1127" t="inlineStr">
        <is>
          <t>1990-06-20</t>
        </is>
      </c>
      <c r="X1127" t="inlineStr">
        <is>
          <t>1990-06-20</t>
        </is>
      </c>
      <c r="Y1127" t="n">
        <v>1109</v>
      </c>
      <c r="Z1127" t="n">
        <v>987</v>
      </c>
      <c r="AA1127" t="n">
        <v>1062</v>
      </c>
      <c r="AB1127" t="n">
        <v>5</v>
      </c>
      <c r="AC1127" t="n">
        <v>8</v>
      </c>
      <c r="AD1127" t="n">
        <v>49</v>
      </c>
      <c r="AE1127" t="n">
        <v>53</v>
      </c>
      <c r="AF1127" t="n">
        <v>22</v>
      </c>
      <c r="AG1127" t="n">
        <v>23</v>
      </c>
      <c r="AH1127" t="n">
        <v>10</v>
      </c>
      <c r="AI1127" t="n">
        <v>10</v>
      </c>
      <c r="AJ1127" t="n">
        <v>26</v>
      </c>
      <c r="AK1127" t="n">
        <v>26</v>
      </c>
      <c r="AL1127" t="n">
        <v>3</v>
      </c>
      <c r="AM1127" t="n">
        <v>6</v>
      </c>
      <c r="AN1127" t="n">
        <v>0</v>
      </c>
      <c r="AO1127" t="n">
        <v>0</v>
      </c>
      <c r="AP1127" t="inlineStr">
        <is>
          <t>No</t>
        </is>
      </c>
      <c r="AQ1127" t="inlineStr">
        <is>
          <t>Yes</t>
        </is>
      </c>
      <c r="AR1127">
        <f>HYPERLINK("http://catalog.hathitrust.org/Record/000904038","HathiTrust Record")</f>
        <v/>
      </c>
      <c r="AS1127">
        <f>HYPERLINK("https://creighton-primo.hosted.exlibrisgroup.com/primo-explore/search?tab=default_tab&amp;search_scope=EVERYTHING&amp;vid=01CRU&amp;lang=en_US&amp;offset=0&amp;query=any,contains,991001167399702656","Catalog Record")</f>
        <v/>
      </c>
      <c r="AT1127">
        <f>HYPERLINK("http://www.worldcat.org/oclc/16925287","WorldCat Record")</f>
        <v/>
      </c>
      <c r="AU1127" t="inlineStr">
        <is>
          <t>889745862:eng</t>
        </is>
      </c>
      <c r="AV1127" t="inlineStr">
        <is>
          <t>16925287</t>
        </is>
      </c>
      <c r="AW1127" t="inlineStr">
        <is>
          <t>991001167399702656</t>
        </is>
      </c>
      <c r="AX1127" t="inlineStr">
        <is>
          <t>991001167399702656</t>
        </is>
      </c>
      <c r="AY1127" t="inlineStr">
        <is>
          <t>2272458290002656</t>
        </is>
      </c>
      <c r="AZ1127" t="inlineStr">
        <is>
          <t>BOOK</t>
        </is>
      </c>
      <c r="BB1127" t="inlineStr">
        <is>
          <t>9780062546364</t>
        </is>
      </c>
      <c r="BC1127" t="inlineStr">
        <is>
          <t>32285000199967</t>
        </is>
      </c>
      <c r="BD1127" t="inlineStr">
        <is>
          <t>893534454</t>
        </is>
      </c>
    </row>
    <row r="1128">
      <c r="A1128" t="inlineStr">
        <is>
          <t>No</t>
        </is>
      </c>
      <c r="B1128" t="inlineStr">
        <is>
          <t>DG312 .R63 2001</t>
        </is>
      </c>
      <c r="C1128" t="inlineStr">
        <is>
          <t>0                      DG 0312000R  63          2001</t>
        </is>
      </c>
      <c r="D1128" t="inlineStr">
        <is>
          <t>The end of ancient Rome / Don Nardo, book editor.</t>
        </is>
      </c>
      <c r="F1128" t="inlineStr">
        <is>
          <t>No</t>
        </is>
      </c>
      <c r="G1128" t="inlineStr">
        <is>
          <t>1</t>
        </is>
      </c>
      <c r="H1128" t="inlineStr">
        <is>
          <t>No</t>
        </is>
      </c>
      <c r="I1128" t="inlineStr">
        <is>
          <t>No</t>
        </is>
      </c>
      <c r="J1128" t="inlineStr">
        <is>
          <t>0</t>
        </is>
      </c>
      <c r="L1128" t="inlineStr">
        <is>
          <t>San Diego, Calif. : Greenhaven Press, c2001.</t>
        </is>
      </c>
      <c r="M1128" t="inlineStr">
        <is>
          <t>2001</t>
        </is>
      </c>
      <c r="O1128" t="inlineStr">
        <is>
          <t>eng</t>
        </is>
      </c>
      <c r="P1128" t="inlineStr">
        <is>
          <t>cau</t>
        </is>
      </c>
      <c r="Q1128" t="inlineStr">
        <is>
          <t>Turning points in world history</t>
        </is>
      </c>
      <c r="R1128" t="inlineStr">
        <is>
          <t xml:space="preserve">DG </t>
        </is>
      </c>
      <c r="S1128" t="n">
        <v>6</v>
      </c>
      <c r="T1128" t="n">
        <v>6</v>
      </c>
      <c r="U1128" t="inlineStr">
        <is>
          <t>2008-11-12</t>
        </is>
      </c>
      <c r="V1128" t="inlineStr">
        <is>
          <t>2008-11-12</t>
        </is>
      </c>
      <c r="W1128" t="inlineStr">
        <is>
          <t>2003-03-20</t>
        </is>
      </c>
      <c r="X1128" t="inlineStr">
        <is>
          <t>2003-03-20</t>
        </is>
      </c>
      <c r="Y1128" t="n">
        <v>497</v>
      </c>
      <c r="Z1128" t="n">
        <v>468</v>
      </c>
      <c r="AA1128" t="n">
        <v>477</v>
      </c>
      <c r="AB1128" t="n">
        <v>4</v>
      </c>
      <c r="AC1128" t="n">
        <v>4</v>
      </c>
      <c r="AD1128" t="n">
        <v>1</v>
      </c>
      <c r="AE1128" t="n">
        <v>1</v>
      </c>
      <c r="AF1128" t="n">
        <v>0</v>
      </c>
      <c r="AG1128" t="n">
        <v>0</v>
      </c>
      <c r="AH1128" t="n">
        <v>0</v>
      </c>
      <c r="AI1128" t="n">
        <v>0</v>
      </c>
      <c r="AJ1128" t="n">
        <v>1</v>
      </c>
      <c r="AK1128" t="n">
        <v>1</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HYPERLINK("https://creighton-primo.hosted.exlibrisgroup.com/primo-explore/search?tab=default_tab&amp;search_scope=EVERYTHING&amp;vid=01CRU&amp;lang=en_US&amp;offset=0&amp;query=any,contains,991003984229702656","Catalog Record")</f>
        <v/>
      </c>
      <c r="AT1128">
        <f>HYPERLINK("http://www.worldcat.org/oclc/43567534","WorldCat Record")</f>
        <v/>
      </c>
      <c r="AU1128" t="inlineStr">
        <is>
          <t>14464501:eng</t>
        </is>
      </c>
      <c r="AV1128" t="inlineStr">
        <is>
          <t>43567534</t>
        </is>
      </c>
      <c r="AW1128" t="inlineStr">
        <is>
          <t>991003984229702656</t>
        </is>
      </c>
      <c r="AX1128" t="inlineStr">
        <is>
          <t>991003984229702656</t>
        </is>
      </c>
      <c r="AY1128" t="inlineStr">
        <is>
          <t>2261889090002656</t>
        </is>
      </c>
      <c r="AZ1128" t="inlineStr">
        <is>
          <t>BOOK</t>
        </is>
      </c>
      <c r="BB1128" t="inlineStr">
        <is>
          <t>9780737703719</t>
        </is>
      </c>
      <c r="BC1128" t="inlineStr">
        <is>
          <t>32285004685334</t>
        </is>
      </c>
      <c r="BD1128" t="inlineStr">
        <is>
          <t>893806504</t>
        </is>
      </c>
    </row>
    <row r="1129">
      <c r="A1129" t="inlineStr">
        <is>
          <t>No</t>
        </is>
      </c>
      <c r="B1129" t="inlineStr">
        <is>
          <t>DG312 .T73 1997</t>
        </is>
      </c>
      <c r="C1129" t="inlineStr">
        <is>
          <t>0                      DG 0312000T  73          1997</t>
        </is>
      </c>
      <c r="D1129" t="inlineStr">
        <is>
          <t>The transformation of the Roman world AD 400-900 / edited by Leslie Webster and Michelle Brown.</t>
        </is>
      </c>
      <c r="F1129" t="inlineStr">
        <is>
          <t>No</t>
        </is>
      </c>
      <c r="G1129" t="inlineStr">
        <is>
          <t>1</t>
        </is>
      </c>
      <c r="H1129" t="inlineStr">
        <is>
          <t>No</t>
        </is>
      </c>
      <c r="I1129" t="inlineStr">
        <is>
          <t>No</t>
        </is>
      </c>
      <c r="J1129" t="inlineStr">
        <is>
          <t>0</t>
        </is>
      </c>
      <c r="L1129" t="inlineStr">
        <is>
          <t>Berkeley : University of California Press, c1997.</t>
        </is>
      </c>
      <c r="M1129" t="inlineStr">
        <is>
          <t>1997</t>
        </is>
      </c>
      <c r="O1129" t="inlineStr">
        <is>
          <t>eng</t>
        </is>
      </c>
      <c r="P1129" t="inlineStr">
        <is>
          <t>cau</t>
        </is>
      </c>
      <c r="R1129" t="inlineStr">
        <is>
          <t xml:space="preserve">DG </t>
        </is>
      </c>
      <c r="S1129" t="n">
        <v>3</v>
      </c>
      <c r="T1129" t="n">
        <v>3</v>
      </c>
      <c r="U1129" t="inlineStr">
        <is>
          <t>2010-03-25</t>
        </is>
      </c>
      <c r="V1129" t="inlineStr">
        <is>
          <t>2010-03-25</t>
        </is>
      </c>
      <c r="W1129" t="inlineStr">
        <is>
          <t>1999-09-08</t>
        </is>
      </c>
      <c r="X1129" t="inlineStr">
        <is>
          <t>1999-09-08</t>
        </is>
      </c>
      <c r="Y1129" t="n">
        <v>431</v>
      </c>
      <c r="Z1129" t="n">
        <v>346</v>
      </c>
      <c r="AA1129" t="n">
        <v>395</v>
      </c>
      <c r="AB1129" t="n">
        <v>4</v>
      </c>
      <c r="AC1129" t="n">
        <v>4</v>
      </c>
      <c r="AD1129" t="n">
        <v>21</v>
      </c>
      <c r="AE1129" t="n">
        <v>23</v>
      </c>
      <c r="AF1129" t="n">
        <v>7</v>
      </c>
      <c r="AG1129" t="n">
        <v>7</v>
      </c>
      <c r="AH1129" t="n">
        <v>5</v>
      </c>
      <c r="AI1129" t="n">
        <v>7</v>
      </c>
      <c r="AJ1129" t="n">
        <v>12</v>
      </c>
      <c r="AK1129" t="n">
        <v>13</v>
      </c>
      <c r="AL1129" t="n">
        <v>2</v>
      </c>
      <c r="AM1129" t="n">
        <v>2</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HYPERLINK("https://creighton-primo.hosted.exlibrisgroup.com/primo-explore/search?tab=default_tab&amp;search_scope=EVERYTHING&amp;vid=01CRU&amp;lang=en_US&amp;offset=0&amp;query=any,contains,991002738519702656","Catalog Record")</f>
        <v/>
      </c>
      <c r="AT1129">
        <f>HYPERLINK("http://www.worldcat.org/oclc/35961487","WorldCat Record")</f>
        <v/>
      </c>
      <c r="AU1129" t="inlineStr">
        <is>
          <t>351116955:eng</t>
        </is>
      </c>
      <c r="AV1129" t="inlineStr">
        <is>
          <t>35961487</t>
        </is>
      </c>
      <c r="AW1129" t="inlineStr">
        <is>
          <t>991002738519702656</t>
        </is>
      </c>
      <c r="AX1129" t="inlineStr">
        <is>
          <t>991002738519702656</t>
        </is>
      </c>
      <c r="AY1129" t="inlineStr">
        <is>
          <t>2270078730002656</t>
        </is>
      </c>
      <c r="AZ1129" t="inlineStr">
        <is>
          <t>BOOK</t>
        </is>
      </c>
      <c r="BB1129" t="inlineStr">
        <is>
          <t>9780520210608</t>
        </is>
      </c>
      <c r="BC1129" t="inlineStr">
        <is>
          <t>32285003586848</t>
        </is>
      </c>
      <c r="BD1129" t="inlineStr">
        <is>
          <t>893710621</t>
        </is>
      </c>
    </row>
    <row r="1130">
      <c r="A1130" t="inlineStr">
        <is>
          <t>No</t>
        </is>
      </c>
      <c r="B1130" t="inlineStr">
        <is>
          <t>DG312.5.G3 O5</t>
        </is>
      </c>
      <c r="C1130" t="inlineStr">
        <is>
          <t>0                      DG 0312500G  3                  O  5</t>
        </is>
      </c>
      <c r="D1130" t="inlineStr">
        <is>
          <t>Galla Placidia Augusta; a biographical essay.</t>
        </is>
      </c>
      <c r="F1130" t="inlineStr">
        <is>
          <t>No</t>
        </is>
      </c>
      <c r="G1130" t="inlineStr">
        <is>
          <t>1</t>
        </is>
      </c>
      <c r="H1130" t="inlineStr">
        <is>
          <t>No</t>
        </is>
      </c>
      <c r="I1130" t="inlineStr">
        <is>
          <t>No</t>
        </is>
      </c>
      <c r="J1130" t="inlineStr">
        <is>
          <t>0</t>
        </is>
      </c>
      <c r="K1130" t="inlineStr">
        <is>
          <t>Oost, Stewart Irvin, 1921-1981.</t>
        </is>
      </c>
      <c r="L1130" t="inlineStr">
        <is>
          <t>Chicago, University of Chicago Press [1968]</t>
        </is>
      </c>
      <c r="M1130" t="inlineStr">
        <is>
          <t>1968</t>
        </is>
      </c>
      <c r="O1130" t="inlineStr">
        <is>
          <t>eng</t>
        </is>
      </c>
      <c r="P1130" t="inlineStr">
        <is>
          <t>ilu</t>
        </is>
      </c>
      <c r="R1130" t="inlineStr">
        <is>
          <t xml:space="preserve">DG </t>
        </is>
      </c>
      <c r="S1130" t="n">
        <v>3</v>
      </c>
      <c r="T1130" t="n">
        <v>3</v>
      </c>
      <c r="U1130" t="inlineStr">
        <is>
          <t>2007-05-30</t>
        </is>
      </c>
      <c r="V1130" t="inlineStr">
        <is>
          <t>2007-05-30</t>
        </is>
      </c>
      <c r="W1130" t="inlineStr">
        <is>
          <t>1997-02-04</t>
        </is>
      </c>
      <c r="X1130" t="inlineStr">
        <is>
          <t>1997-02-04</t>
        </is>
      </c>
      <c r="Y1130" t="n">
        <v>524</v>
      </c>
      <c r="Z1130" t="n">
        <v>416</v>
      </c>
      <c r="AA1130" t="n">
        <v>419</v>
      </c>
      <c r="AB1130" t="n">
        <v>4</v>
      </c>
      <c r="AC1130" t="n">
        <v>4</v>
      </c>
      <c r="AD1130" t="n">
        <v>24</v>
      </c>
      <c r="AE1130" t="n">
        <v>24</v>
      </c>
      <c r="AF1130" t="n">
        <v>5</v>
      </c>
      <c r="AG1130" t="n">
        <v>5</v>
      </c>
      <c r="AH1130" t="n">
        <v>8</v>
      </c>
      <c r="AI1130" t="n">
        <v>8</v>
      </c>
      <c r="AJ1130" t="n">
        <v>16</v>
      </c>
      <c r="AK1130" t="n">
        <v>16</v>
      </c>
      <c r="AL1130" t="n">
        <v>3</v>
      </c>
      <c r="AM1130" t="n">
        <v>3</v>
      </c>
      <c r="AN1130" t="n">
        <v>0</v>
      </c>
      <c r="AO1130" t="n">
        <v>0</v>
      </c>
      <c r="AP1130" t="inlineStr">
        <is>
          <t>No</t>
        </is>
      </c>
      <c r="AQ1130" t="inlineStr">
        <is>
          <t>Yes</t>
        </is>
      </c>
      <c r="AR1130">
        <f>HYPERLINK("http://catalog.hathitrust.org/Record/000651492","HathiTrust Record")</f>
        <v/>
      </c>
      <c r="AS1130">
        <f>HYPERLINK("https://creighton-primo.hosted.exlibrisgroup.com/primo-explore/search?tab=default_tab&amp;search_scope=EVERYTHING&amp;vid=01CRU&amp;lang=en_US&amp;offset=0&amp;query=any,contains,991002791679702656","Catalog Record")</f>
        <v/>
      </c>
      <c r="AT1130">
        <f>HYPERLINK("http://www.worldcat.org/oclc/443705","WorldCat Record")</f>
        <v/>
      </c>
      <c r="AU1130" t="inlineStr">
        <is>
          <t>1575510:eng</t>
        </is>
      </c>
      <c r="AV1130" t="inlineStr">
        <is>
          <t>443705</t>
        </is>
      </c>
      <c r="AW1130" t="inlineStr">
        <is>
          <t>991002791679702656</t>
        </is>
      </c>
      <c r="AX1130" t="inlineStr">
        <is>
          <t>991002791679702656</t>
        </is>
      </c>
      <c r="AY1130" t="inlineStr">
        <is>
          <t>2264412110002656</t>
        </is>
      </c>
      <c r="AZ1130" t="inlineStr">
        <is>
          <t>BOOK</t>
        </is>
      </c>
      <c r="BC1130" t="inlineStr">
        <is>
          <t>32285002421211</t>
        </is>
      </c>
      <c r="BD1130" t="inlineStr">
        <is>
          <t>893591785</t>
        </is>
      </c>
    </row>
    <row r="1131">
      <c r="A1131" t="inlineStr">
        <is>
          <t>No</t>
        </is>
      </c>
      <c r="B1131" t="inlineStr">
        <is>
          <t>DG315 .B923 1983</t>
        </is>
      </c>
      <c r="C1131" t="inlineStr">
        <is>
          <t>0                      DG 0315000B  923         1983</t>
        </is>
      </c>
      <c r="D1131" t="inlineStr">
        <is>
          <t>The age of Constantine the Great / Jacob Burckhardt ; translated by Moses Hadas.</t>
        </is>
      </c>
      <c r="F1131" t="inlineStr">
        <is>
          <t>No</t>
        </is>
      </c>
      <c r="G1131" t="inlineStr">
        <is>
          <t>1</t>
        </is>
      </c>
      <c r="H1131" t="inlineStr">
        <is>
          <t>No</t>
        </is>
      </c>
      <c r="I1131" t="inlineStr">
        <is>
          <t>No</t>
        </is>
      </c>
      <c r="J1131" t="inlineStr">
        <is>
          <t>0</t>
        </is>
      </c>
      <c r="K1131" t="inlineStr">
        <is>
          <t>Burckhardt, Jacob, 1818-1897.</t>
        </is>
      </c>
      <c r="L1131" t="inlineStr">
        <is>
          <t>Berkeley : University of California Press, 1983, c1949.</t>
        </is>
      </c>
      <c r="M1131" t="inlineStr">
        <is>
          <t>1983</t>
        </is>
      </c>
      <c r="N1131" t="inlineStr">
        <is>
          <t>1st California pbk. ed.</t>
        </is>
      </c>
      <c r="O1131" t="inlineStr">
        <is>
          <t>eng</t>
        </is>
      </c>
      <c r="P1131" t="inlineStr">
        <is>
          <t>cau</t>
        </is>
      </c>
      <c r="R1131" t="inlineStr">
        <is>
          <t xml:space="preserve">DG </t>
        </is>
      </c>
      <c r="S1131" t="n">
        <v>14</v>
      </c>
      <c r="T1131" t="n">
        <v>14</v>
      </c>
      <c r="U1131" t="inlineStr">
        <is>
          <t>2006-12-03</t>
        </is>
      </c>
      <c r="V1131" t="inlineStr">
        <is>
          <t>2006-12-03</t>
        </is>
      </c>
      <c r="W1131" t="inlineStr">
        <is>
          <t>1991-06-19</t>
        </is>
      </c>
      <c r="X1131" t="inlineStr">
        <is>
          <t>1991-06-19</t>
        </is>
      </c>
      <c r="Y1131" t="n">
        <v>275</v>
      </c>
      <c r="Z1131" t="n">
        <v>254</v>
      </c>
      <c r="AA1131" t="n">
        <v>1388</v>
      </c>
      <c r="AB1131" t="n">
        <v>1</v>
      </c>
      <c r="AC1131" t="n">
        <v>11</v>
      </c>
      <c r="AD1131" t="n">
        <v>7</v>
      </c>
      <c r="AE1131" t="n">
        <v>54</v>
      </c>
      <c r="AF1131" t="n">
        <v>5</v>
      </c>
      <c r="AG1131" t="n">
        <v>24</v>
      </c>
      <c r="AH1131" t="n">
        <v>1</v>
      </c>
      <c r="AI1131" t="n">
        <v>10</v>
      </c>
      <c r="AJ1131" t="n">
        <v>3</v>
      </c>
      <c r="AK1131" t="n">
        <v>27</v>
      </c>
      <c r="AL1131" t="n">
        <v>0</v>
      </c>
      <c r="AM1131" t="n">
        <v>7</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HYPERLINK("https://creighton-primo.hosted.exlibrisgroup.com/primo-explore/search?tab=default_tab&amp;search_scope=EVERYTHING&amp;vid=01CRU&amp;lang=en_US&amp;offset=0&amp;query=any,contains,991000198639702656","Catalog Record")</f>
        <v/>
      </c>
      <c r="AT1131">
        <f>HYPERLINK("http://www.worldcat.org/oclc/9446673","WorldCat Record")</f>
        <v/>
      </c>
      <c r="AU1131" t="inlineStr">
        <is>
          <t>502735:eng</t>
        </is>
      </c>
      <c r="AV1131" t="inlineStr">
        <is>
          <t>9446673</t>
        </is>
      </c>
      <c r="AW1131" t="inlineStr">
        <is>
          <t>991000198639702656</t>
        </is>
      </c>
      <c r="AX1131" t="inlineStr">
        <is>
          <t>991000198639702656</t>
        </is>
      </c>
      <c r="AY1131" t="inlineStr">
        <is>
          <t>2264171380002656</t>
        </is>
      </c>
      <c r="AZ1131" t="inlineStr">
        <is>
          <t>BOOK</t>
        </is>
      </c>
      <c r="BB1131" t="inlineStr">
        <is>
          <t>9780520046801</t>
        </is>
      </c>
      <c r="BC1131" t="inlineStr">
        <is>
          <t>32285000631258</t>
        </is>
      </c>
      <c r="BD1131" t="inlineStr">
        <is>
          <t>893314765</t>
        </is>
      </c>
    </row>
    <row r="1132">
      <c r="A1132" t="inlineStr">
        <is>
          <t>No</t>
        </is>
      </c>
      <c r="B1132" t="inlineStr">
        <is>
          <t>DG315 .G73 1994</t>
        </is>
      </c>
      <c r="C1132" t="inlineStr">
        <is>
          <t>0                      DG 0315000G  73          1994</t>
        </is>
      </c>
      <c r="D1132" t="inlineStr">
        <is>
          <t>Constantine the great : the man and his times / Michael Grant.</t>
        </is>
      </c>
      <c r="F1132" t="inlineStr">
        <is>
          <t>No</t>
        </is>
      </c>
      <c r="G1132" t="inlineStr">
        <is>
          <t>1</t>
        </is>
      </c>
      <c r="H1132" t="inlineStr">
        <is>
          <t>No</t>
        </is>
      </c>
      <c r="I1132" t="inlineStr">
        <is>
          <t>No</t>
        </is>
      </c>
      <c r="J1132" t="inlineStr">
        <is>
          <t>0</t>
        </is>
      </c>
      <c r="K1132" t="inlineStr">
        <is>
          <t>Grant, Michael, 1914-2004.</t>
        </is>
      </c>
      <c r="L1132" t="inlineStr">
        <is>
          <t>New York : Scribner's ; New York : Maxwell Macmillan International, 1994.</t>
        </is>
      </c>
      <c r="M1132" t="inlineStr">
        <is>
          <t>1994</t>
        </is>
      </c>
      <c r="N1132" t="inlineStr">
        <is>
          <t>1st U.S. ed.</t>
        </is>
      </c>
      <c r="O1132" t="inlineStr">
        <is>
          <t>eng</t>
        </is>
      </c>
      <c r="P1132" t="inlineStr">
        <is>
          <t>nyu</t>
        </is>
      </c>
      <c r="R1132" t="inlineStr">
        <is>
          <t xml:space="preserve">DG </t>
        </is>
      </c>
      <c r="S1132" t="n">
        <v>21</v>
      </c>
      <c r="T1132" t="n">
        <v>21</v>
      </c>
      <c r="U1132" t="inlineStr">
        <is>
          <t>2008-12-01</t>
        </is>
      </c>
      <c r="V1132" t="inlineStr">
        <is>
          <t>2008-12-01</t>
        </is>
      </c>
      <c r="W1132" t="inlineStr">
        <is>
          <t>1994-09-07</t>
        </is>
      </c>
      <c r="X1132" t="inlineStr">
        <is>
          <t>1994-09-07</t>
        </is>
      </c>
      <c r="Y1132" t="n">
        <v>1101</v>
      </c>
      <c r="Z1132" t="n">
        <v>1055</v>
      </c>
      <c r="AA1132" t="n">
        <v>1276</v>
      </c>
      <c r="AB1132" t="n">
        <v>9</v>
      </c>
      <c r="AC1132" t="n">
        <v>11</v>
      </c>
      <c r="AD1132" t="n">
        <v>29</v>
      </c>
      <c r="AE1132" t="n">
        <v>33</v>
      </c>
      <c r="AF1132" t="n">
        <v>9</v>
      </c>
      <c r="AG1132" t="n">
        <v>12</v>
      </c>
      <c r="AH1132" t="n">
        <v>8</v>
      </c>
      <c r="AI1132" t="n">
        <v>9</v>
      </c>
      <c r="AJ1132" t="n">
        <v>16</v>
      </c>
      <c r="AK1132" t="n">
        <v>17</v>
      </c>
      <c r="AL1132" t="n">
        <v>4</v>
      </c>
      <c r="AM1132" t="n">
        <v>5</v>
      </c>
      <c r="AN1132" t="n">
        <v>0</v>
      </c>
      <c r="AO1132" t="n">
        <v>0</v>
      </c>
      <c r="AP1132" t="inlineStr">
        <is>
          <t>No</t>
        </is>
      </c>
      <c r="AQ1132" t="inlineStr">
        <is>
          <t>Yes</t>
        </is>
      </c>
      <c r="AR1132">
        <f>HYPERLINK("http://catalog.hathitrust.org/Record/002862117","HathiTrust Record")</f>
        <v/>
      </c>
      <c r="AS1132">
        <f>HYPERLINK("https://creighton-primo.hosted.exlibrisgroup.com/primo-explore/search?tab=default_tab&amp;search_scope=EVERYTHING&amp;vid=01CRU&amp;lang=en_US&amp;offset=0&amp;query=any,contains,991002289879702656","Catalog Record")</f>
        <v/>
      </c>
      <c r="AT1132">
        <f>HYPERLINK("http://www.worldcat.org/oclc/29670951","WorldCat Record")</f>
        <v/>
      </c>
      <c r="AU1132" t="inlineStr">
        <is>
          <t>196788721:eng</t>
        </is>
      </c>
      <c r="AV1132" t="inlineStr">
        <is>
          <t>29670951</t>
        </is>
      </c>
      <c r="AW1132" t="inlineStr">
        <is>
          <t>991002289879702656</t>
        </is>
      </c>
      <c r="AX1132" t="inlineStr">
        <is>
          <t>991002289879702656</t>
        </is>
      </c>
      <c r="AY1132" t="inlineStr">
        <is>
          <t>2254937020002656</t>
        </is>
      </c>
      <c r="AZ1132" t="inlineStr">
        <is>
          <t>BOOK</t>
        </is>
      </c>
      <c r="BB1132" t="inlineStr">
        <is>
          <t>9780684195209</t>
        </is>
      </c>
      <c r="BC1132" t="inlineStr">
        <is>
          <t>32285001944973</t>
        </is>
      </c>
      <c r="BD1132" t="inlineStr">
        <is>
          <t>893504230</t>
        </is>
      </c>
    </row>
    <row r="1133">
      <c r="A1133" t="inlineStr">
        <is>
          <t>No</t>
        </is>
      </c>
      <c r="B1133" t="inlineStr">
        <is>
          <t>DG315 .M3</t>
        </is>
      </c>
      <c r="C1133" t="inlineStr">
        <is>
          <t>0                      DG 0315000M  3</t>
        </is>
      </c>
      <c r="D1133" t="inlineStr">
        <is>
          <t>Constantine.</t>
        </is>
      </c>
      <c r="F1133" t="inlineStr">
        <is>
          <t>No</t>
        </is>
      </c>
      <c r="G1133" t="inlineStr">
        <is>
          <t>1</t>
        </is>
      </c>
      <c r="H1133" t="inlineStr">
        <is>
          <t>No</t>
        </is>
      </c>
      <c r="I1133" t="inlineStr">
        <is>
          <t>No</t>
        </is>
      </c>
      <c r="J1133" t="inlineStr">
        <is>
          <t>0</t>
        </is>
      </c>
      <c r="K1133" t="inlineStr">
        <is>
          <t>MacMullen, Ramsay, 1928-</t>
        </is>
      </c>
      <c r="L1133" t="inlineStr">
        <is>
          <t>New York : Dial Press, 1969.</t>
        </is>
      </c>
      <c r="M1133" t="inlineStr">
        <is>
          <t>1969</t>
        </is>
      </c>
      <c r="O1133" t="inlineStr">
        <is>
          <t>eng</t>
        </is>
      </c>
      <c r="P1133" t="inlineStr">
        <is>
          <t>nyu</t>
        </is>
      </c>
      <c r="Q1133" t="inlineStr">
        <is>
          <t>Crosscurrents in world history</t>
        </is>
      </c>
      <c r="R1133" t="inlineStr">
        <is>
          <t xml:space="preserve">DG </t>
        </is>
      </c>
      <c r="S1133" t="n">
        <v>11</v>
      </c>
      <c r="T1133" t="n">
        <v>11</v>
      </c>
      <c r="U1133" t="inlineStr">
        <is>
          <t>2007-01-25</t>
        </is>
      </c>
      <c r="V1133" t="inlineStr">
        <is>
          <t>2007-01-25</t>
        </is>
      </c>
      <c r="W1133" t="inlineStr">
        <is>
          <t>1994-03-11</t>
        </is>
      </c>
      <c r="X1133" t="inlineStr">
        <is>
          <t>1994-03-11</t>
        </is>
      </c>
      <c r="Y1133" t="n">
        <v>1074</v>
      </c>
      <c r="Z1133" t="n">
        <v>979</v>
      </c>
      <c r="AA1133" t="n">
        <v>1159</v>
      </c>
      <c r="AB1133" t="n">
        <v>6</v>
      </c>
      <c r="AC1133" t="n">
        <v>8</v>
      </c>
      <c r="AD1133" t="n">
        <v>32</v>
      </c>
      <c r="AE1133" t="n">
        <v>40</v>
      </c>
      <c r="AF1133" t="n">
        <v>14</v>
      </c>
      <c r="AG1133" t="n">
        <v>18</v>
      </c>
      <c r="AH1133" t="n">
        <v>6</v>
      </c>
      <c r="AI1133" t="n">
        <v>7</v>
      </c>
      <c r="AJ1133" t="n">
        <v>16</v>
      </c>
      <c r="AK1133" t="n">
        <v>20</v>
      </c>
      <c r="AL1133" t="n">
        <v>4</v>
      </c>
      <c r="AM1133" t="n">
        <v>5</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HYPERLINK("https://creighton-primo.hosted.exlibrisgroup.com/primo-explore/search?tab=default_tab&amp;search_scope=EVERYTHING&amp;vid=01CRU&amp;lang=en_US&amp;offset=0&amp;query=any,contains,991000083579702656","Catalog Record")</f>
        <v/>
      </c>
      <c r="AT1133">
        <f>HYPERLINK("http://www.worldcat.org/oclc/32588","WorldCat Record")</f>
        <v/>
      </c>
      <c r="AU1133" t="inlineStr">
        <is>
          <t>1186646:eng</t>
        </is>
      </c>
      <c r="AV1133" t="inlineStr">
        <is>
          <t>32588</t>
        </is>
      </c>
      <c r="AW1133" t="inlineStr">
        <is>
          <t>991000083579702656</t>
        </is>
      </c>
      <c r="AX1133" t="inlineStr">
        <is>
          <t>991000083579702656</t>
        </is>
      </c>
      <c r="AY1133" t="inlineStr">
        <is>
          <t>2258288910002656</t>
        </is>
      </c>
      <c r="AZ1133" t="inlineStr">
        <is>
          <t>BOOK</t>
        </is>
      </c>
      <c r="BC1133" t="inlineStr">
        <is>
          <t>32285001853141</t>
        </is>
      </c>
      <c r="BD1133" t="inlineStr">
        <is>
          <t>893783944</t>
        </is>
      </c>
    </row>
    <row r="1134">
      <c r="A1134" t="inlineStr">
        <is>
          <t>No</t>
        </is>
      </c>
      <c r="B1134" t="inlineStr">
        <is>
          <t>DG315 .S6 1971b</t>
        </is>
      </c>
      <c r="C1134" t="inlineStr">
        <is>
          <t>0                      DG 0315000S  6           1971b</t>
        </is>
      </c>
      <c r="D1134" t="inlineStr">
        <is>
          <t>Constantine the Great.</t>
        </is>
      </c>
      <c r="F1134" t="inlineStr">
        <is>
          <t>No</t>
        </is>
      </c>
      <c r="G1134" t="inlineStr">
        <is>
          <t>1</t>
        </is>
      </c>
      <c r="H1134" t="inlineStr">
        <is>
          <t>No</t>
        </is>
      </c>
      <c r="I1134" t="inlineStr">
        <is>
          <t>No</t>
        </is>
      </c>
      <c r="J1134" t="inlineStr">
        <is>
          <t>0</t>
        </is>
      </c>
      <c r="K1134" t="inlineStr">
        <is>
          <t>Smith, John Holland.</t>
        </is>
      </c>
      <c r="L1134" t="inlineStr">
        <is>
          <t>New York : Scribner, [1971]</t>
        </is>
      </c>
      <c r="M1134" t="inlineStr">
        <is>
          <t>1971</t>
        </is>
      </c>
      <c r="O1134" t="inlineStr">
        <is>
          <t>eng</t>
        </is>
      </c>
      <c r="P1134" t="inlineStr">
        <is>
          <t>nyu</t>
        </is>
      </c>
      <c r="R1134" t="inlineStr">
        <is>
          <t xml:space="preserve">DG </t>
        </is>
      </c>
      <c r="S1134" t="n">
        <v>8</v>
      </c>
      <c r="T1134" t="n">
        <v>8</v>
      </c>
      <c r="U1134" t="inlineStr">
        <is>
          <t>2008-12-01</t>
        </is>
      </c>
      <c r="V1134" t="inlineStr">
        <is>
          <t>2008-12-01</t>
        </is>
      </c>
      <c r="W1134" t="inlineStr">
        <is>
          <t>1990-12-18</t>
        </is>
      </c>
      <c r="X1134" t="inlineStr">
        <is>
          <t>1990-12-18</t>
        </is>
      </c>
      <c r="Y1134" t="n">
        <v>619</v>
      </c>
      <c r="Z1134" t="n">
        <v>570</v>
      </c>
      <c r="AA1134" t="n">
        <v>662</v>
      </c>
      <c r="AB1134" t="n">
        <v>3</v>
      </c>
      <c r="AC1134" t="n">
        <v>4</v>
      </c>
      <c r="AD1134" t="n">
        <v>16</v>
      </c>
      <c r="AE1134" t="n">
        <v>21</v>
      </c>
      <c r="AF1134" t="n">
        <v>5</v>
      </c>
      <c r="AG1134" t="n">
        <v>5</v>
      </c>
      <c r="AH1134" t="n">
        <v>6</v>
      </c>
      <c r="AI1134" t="n">
        <v>8</v>
      </c>
      <c r="AJ1134" t="n">
        <v>9</v>
      </c>
      <c r="AK1134" t="n">
        <v>11</v>
      </c>
      <c r="AL1134" t="n">
        <v>1</v>
      </c>
      <c r="AM1134" t="n">
        <v>2</v>
      </c>
      <c r="AN1134" t="n">
        <v>0</v>
      </c>
      <c r="AO1134" t="n">
        <v>0</v>
      </c>
      <c r="AP1134" t="inlineStr">
        <is>
          <t>No</t>
        </is>
      </c>
      <c r="AQ1134" t="inlineStr">
        <is>
          <t>Yes</t>
        </is>
      </c>
      <c r="AR1134">
        <f>HYPERLINK("http://catalog.hathitrust.org/Record/102123591","HathiTrust Record")</f>
        <v/>
      </c>
      <c r="AS1134">
        <f>HYPERLINK("https://creighton-primo.hosted.exlibrisgroup.com/primo-explore/search?tab=default_tab&amp;search_scope=EVERYTHING&amp;vid=01CRU&amp;lang=en_US&amp;offset=0&amp;query=any,contains,991000821529702656","Catalog Record")</f>
        <v/>
      </c>
      <c r="AT1134">
        <f>HYPERLINK("http://www.worldcat.org/oclc/145049","WorldCat Record")</f>
        <v/>
      </c>
      <c r="AU1134" t="inlineStr">
        <is>
          <t>1862342037:eng</t>
        </is>
      </c>
      <c r="AV1134" t="inlineStr">
        <is>
          <t>145049</t>
        </is>
      </c>
      <c r="AW1134" t="inlineStr">
        <is>
          <t>991000821529702656</t>
        </is>
      </c>
      <c r="AX1134" t="inlineStr">
        <is>
          <t>991000821529702656</t>
        </is>
      </c>
      <c r="AY1134" t="inlineStr">
        <is>
          <t>2257690210002656</t>
        </is>
      </c>
      <c r="AZ1134" t="inlineStr">
        <is>
          <t>BOOK</t>
        </is>
      </c>
      <c r="BB1134" t="inlineStr">
        <is>
          <t>9780684123912</t>
        </is>
      </c>
      <c r="BC1134" t="inlineStr">
        <is>
          <t>32285000425693</t>
        </is>
      </c>
      <c r="BD1134" t="inlineStr">
        <is>
          <t>893255769</t>
        </is>
      </c>
    </row>
    <row r="1135">
      <c r="A1135" t="inlineStr">
        <is>
          <t>No</t>
        </is>
      </c>
      <c r="B1135" t="inlineStr">
        <is>
          <t>DG316.7 .B4</t>
        </is>
      </c>
      <c r="C1135" t="inlineStr">
        <is>
          <t>0                      DG 0316700B  4</t>
        </is>
      </c>
      <c r="D1135" t="inlineStr">
        <is>
          <t>The Abinnaeus archive : papers of a Roman officer in the reign of Constantius II / collected and re-edited by H. I. Bell [and others]</t>
        </is>
      </c>
      <c r="F1135" t="inlineStr">
        <is>
          <t>No</t>
        </is>
      </c>
      <c r="G1135" t="inlineStr">
        <is>
          <t>1</t>
        </is>
      </c>
      <c r="H1135" t="inlineStr">
        <is>
          <t>No</t>
        </is>
      </c>
      <c r="I1135" t="inlineStr">
        <is>
          <t>No</t>
        </is>
      </c>
      <c r="J1135" t="inlineStr">
        <is>
          <t>0</t>
        </is>
      </c>
      <c r="K1135" t="inlineStr">
        <is>
          <t>Bell, H. Idris (Harold Idris), 1879-1967, editor, translator.</t>
        </is>
      </c>
      <c r="L1135" t="inlineStr">
        <is>
          <t>Oxford : Clarendon Press, 1962.</t>
        </is>
      </c>
      <c r="M1135" t="inlineStr">
        <is>
          <t>1962</t>
        </is>
      </c>
      <c r="O1135" t="inlineStr">
        <is>
          <t>eng</t>
        </is>
      </c>
      <c r="P1135" t="inlineStr">
        <is>
          <t>enk</t>
        </is>
      </c>
      <c r="R1135" t="inlineStr">
        <is>
          <t xml:space="preserve">DG </t>
        </is>
      </c>
      <c r="S1135" t="n">
        <v>3</v>
      </c>
      <c r="T1135" t="n">
        <v>3</v>
      </c>
      <c r="U1135" t="inlineStr">
        <is>
          <t>2000-07-18</t>
        </is>
      </c>
      <c r="V1135" t="inlineStr">
        <is>
          <t>2000-07-18</t>
        </is>
      </c>
      <c r="W1135" t="inlineStr">
        <is>
          <t>1994-06-29</t>
        </is>
      </c>
      <c r="X1135" t="inlineStr">
        <is>
          <t>1994-06-29</t>
        </is>
      </c>
      <c r="Y1135" t="n">
        <v>216</v>
      </c>
      <c r="Z1135" t="n">
        <v>146</v>
      </c>
      <c r="AA1135" t="n">
        <v>149</v>
      </c>
      <c r="AB1135" t="n">
        <v>2</v>
      </c>
      <c r="AC1135" t="n">
        <v>2</v>
      </c>
      <c r="AD1135" t="n">
        <v>11</v>
      </c>
      <c r="AE1135" t="n">
        <v>11</v>
      </c>
      <c r="AF1135" t="n">
        <v>1</v>
      </c>
      <c r="AG1135" t="n">
        <v>1</v>
      </c>
      <c r="AH1135" t="n">
        <v>5</v>
      </c>
      <c r="AI1135" t="n">
        <v>5</v>
      </c>
      <c r="AJ1135" t="n">
        <v>8</v>
      </c>
      <c r="AK1135" t="n">
        <v>8</v>
      </c>
      <c r="AL1135" t="n">
        <v>1</v>
      </c>
      <c r="AM1135" t="n">
        <v>1</v>
      </c>
      <c r="AN1135" t="n">
        <v>0</v>
      </c>
      <c r="AO1135" t="n">
        <v>0</v>
      </c>
      <c r="AP1135" t="inlineStr">
        <is>
          <t>No</t>
        </is>
      </c>
      <c r="AQ1135" t="inlineStr">
        <is>
          <t>Yes</t>
        </is>
      </c>
      <c r="AR1135">
        <f>HYPERLINK("http://catalog.hathitrust.org/Record/000651240","HathiTrust Record")</f>
        <v/>
      </c>
      <c r="AS1135">
        <f>HYPERLINK("https://creighton-primo.hosted.exlibrisgroup.com/primo-explore/search?tab=default_tab&amp;search_scope=EVERYTHING&amp;vid=01CRU&amp;lang=en_US&amp;offset=0&amp;query=any,contains,991004311669702656","Catalog Record")</f>
        <v/>
      </c>
      <c r="AT1135">
        <f>HYPERLINK("http://www.worldcat.org/oclc/2997652","WorldCat Record")</f>
        <v/>
      </c>
      <c r="AU1135" t="inlineStr">
        <is>
          <t>606955738:eng</t>
        </is>
      </c>
      <c r="AV1135" t="inlineStr">
        <is>
          <t>2997652</t>
        </is>
      </c>
      <c r="AW1135" t="inlineStr">
        <is>
          <t>991004311669702656</t>
        </is>
      </c>
      <c r="AX1135" t="inlineStr">
        <is>
          <t>991004311669702656</t>
        </is>
      </c>
      <c r="AY1135" t="inlineStr">
        <is>
          <t>2260396110002656</t>
        </is>
      </c>
      <c r="AZ1135" t="inlineStr">
        <is>
          <t>BOOK</t>
        </is>
      </c>
      <c r="BC1135" t="inlineStr">
        <is>
          <t>32285001929941</t>
        </is>
      </c>
      <c r="BD1135" t="inlineStr">
        <is>
          <t>893869574</t>
        </is>
      </c>
    </row>
    <row r="1136">
      <c r="A1136" t="inlineStr">
        <is>
          <t>No</t>
        </is>
      </c>
      <c r="B1136" t="inlineStr">
        <is>
          <t>DG316.7 .M38 1989</t>
        </is>
      </c>
      <c r="C1136" t="inlineStr">
        <is>
          <t>0                      DG 0316700M  38          1989</t>
        </is>
      </c>
      <c r="D1136" t="inlineStr">
        <is>
          <t>The Roman empire of Ammianus / John Matthews.</t>
        </is>
      </c>
      <c r="F1136" t="inlineStr">
        <is>
          <t>No</t>
        </is>
      </c>
      <c r="G1136" t="inlineStr">
        <is>
          <t>1</t>
        </is>
      </c>
      <c r="H1136" t="inlineStr">
        <is>
          <t>No</t>
        </is>
      </c>
      <c r="I1136" t="inlineStr">
        <is>
          <t>No</t>
        </is>
      </c>
      <c r="J1136" t="inlineStr">
        <is>
          <t>0</t>
        </is>
      </c>
      <c r="K1136" t="inlineStr">
        <is>
          <t>Matthews, John, 1948-</t>
        </is>
      </c>
      <c r="L1136" t="inlineStr">
        <is>
          <t>Baltimore : Johns Hopkins University Press, 1989.</t>
        </is>
      </c>
      <c r="M1136" t="inlineStr">
        <is>
          <t>1989</t>
        </is>
      </c>
      <c r="O1136" t="inlineStr">
        <is>
          <t>eng</t>
        </is>
      </c>
      <c r="P1136" t="inlineStr">
        <is>
          <t>mdu</t>
        </is>
      </c>
      <c r="R1136" t="inlineStr">
        <is>
          <t xml:space="preserve">DG </t>
        </is>
      </c>
      <c r="S1136" t="n">
        <v>3</v>
      </c>
      <c r="T1136" t="n">
        <v>3</v>
      </c>
      <c r="U1136" t="inlineStr">
        <is>
          <t>2000-07-18</t>
        </is>
      </c>
      <c r="V1136" t="inlineStr">
        <is>
          <t>2000-07-18</t>
        </is>
      </c>
      <c r="W1136" t="inlineStr">
        <is>
          <t>1990-05-24</t>
        </is>
      </c>
      <c r="X1136" t="inlineStr">
        <is>
          <t>1990-05-24</t>
        </is>
      </c>
      <c r="Y1136" t="n">
        <v>357</v>
      </c>
      <c r="Z1136" t="n">
        <v>311</v>
      </c>
      <c r="AA1136" t="n">
        <v>390</v>
      </c>
      <c r="AB1136" t="n">
        <v>2</v>
      </c>
      <c r="AC1136" t="n">
        <v>3</v>
      </c>
      <c r="AD1136" t="n">
        <v>19</v>
      </c>
      <c r="AE1136" t="n">
        <v>24</v>
      </c>
      <c r="AF1136" t="n">
        <v>7</v>
      </c>
      <c r="AG1136" t="n">
        <v>8</v>
      </c>
      <c r="AH1136" t="n">
        <v>5</v>
      </c>
      <c r="AI1136" t="n">
        <v>7</v>
      </c>
      <c r="AJ1136" t="n">
        <v>11</v>
      </c>
      <c r="AK1136" t="n">
        <v>14</v>
      </c>
      <c r="AL1136" t="n">
        <v>1</v>
      </c>
      <c r="AM1136" t="n">
        <v>2</v>
      </c>
      <c r="AN1136" t="n">
        <v>0</v>
      </c>
      <c r="AO1136" t="n">
        <v>0</v>
      </c>
      <c r="AP1136" t="inlineStr">
        <is>
          <t>No</t>
        </is>
      </c>
      <c r="AQ1136" t="inlineStr">
        <is>
          <t>Yes</t>
        </is>
      </c>
      <c r="AR1136">
        <f>HYPERLINK("http://catalog.hathitrust.org/Record/006044357","HathiTrust Record")</f>
        <v/>
      </c>
      <c r="AS1136">
        <f>HYPERLINK("https://creighton-primo.hosted.exlibrisgroup.com/primo-explore/search?tab=default_tab&amp;search_scope=EVERYTHING&amp;vid=01CRU&amp;lang=en_US&amp;offset=0&amp;query=any,contains,991001520329702656","Catalog Record")</f>
        <v/>
      </c>
      <c r="AT1136">
        <f>HYPERLINK("http://www.worldcat.org/oclc/19975371","WorldCat Record")</f>
        <v/>
      </c>
      <c r="AU1136" t="inlineStr">
        <is>
          <t>118195344:eng</t>
        </is>
      </c>
      <c r="AV1136" t="inlineStr">
        <is>
          <t>19975371</t>
        </is>
      </c>
      <c r="AW1136" t="inlineStr">
        <is>
          <t>991001520329702656</t>
        </is>
      </c>
      <c r="AX1136" t="inlineStr">
        <is>
          <t>991001520329702656</t>
        </is>
      </c>
      <c r="AY1136" t="inlineStr">
        <is>
          <t>2254799480002656</t>
        </is>
      </c>
      <c r="AZ1136" t="inlineStr">
        <is>
          <t>BOOK</t>
        </is>
      </c>
      <c r="BB1136" t="inlineStr">
        <is>
          <t>9780801839658</t>
        </is>
      </c>
      <c r="BC1136" t="inlineStr">
        <is>
          <t>32285000139914</t>
        </is>
      </c>
      <c r="BD1136" t="inlineStr">
        <is>
          <t>893497136</t>
        </is>
      </c>
    </row>
    <row r="1137">
      <c r="A1137" t="inlineStr">
        <is>
          <t>No</t>
        </is>
      </c>
      <c r="B1137" t="inlineStr">
        <is>
          <t>DG317 .B68</t>
        </is>
      </c>
      <c r="C1137" t="inlineStr">
        <is>
          <t>0                      DG 0317000B  68</t>
        </is>
      </c>
      <c r="D1137" t="inlineStr">
        <is>
          <t>Julian the Apostate / G. W. Bowersock. --</t>
        </is>
      </c>
      <c r="F1137" t="inlineStr">
        <is>
          <t>No</t>
        </is>
      </c>
      <c r="G1137" t="inlineStr">
        <is>
          <t>1</t>
        </is>
      </c>
      <c r="H1137" t="inlineStr">
        <is>
          <t>No</t>
        </is>
      </c>
      <c r="I1137" t="inlineStr">
        <is>
          <t>No</t>
        </is>
      </c>
      <c r="J1137" t="inlineStr">
        <is>
          <t>0</t>
        </is>
      </c>
      <c r="K1137" t="inlineStr">
        <is>
          <t>Bowersock, G. W. (Glen Warren), 1936-</t>
        </is>
      </c>
      <c r="L1137" t="inlineStr">
        <is>
          <t>Cambridge : Harvard University Press, 1978.</t>
        </is>
      </c>
      <c r="M1137" t="inlineStr">
        <is>
          <t>1978</t>
        </is>
      </c>
      <c r="O1137" t="inlineStr">
        <is>
          <t>eng</t>
        </is>
      </c>
      <c r="P1137" t="inlineStr">
        <is>
          <t>mau</t>
        </is>
      </c>
      <c r="R1137" t="inlineStr">
        <is>
          <t xml:space="preserve">DG </t>
        </is>
      </c>
      <c r="S1137" t="n">
        <v>5</v>
      </c>
      <c r="T1137" t="n">
        <v>5</v>
      </c>
      <c r="U1137" t="inlineStr">
        <is>
          <t>2008-06-30</t>
        </is>
      </c>
      <c r="V1137" t="inlineStr">
        <is>
          <t>2008-06-30</t>
        </is>
      </c>
      <c r="W1137" t="inlineStr">
        <is>
          <t>1990-07-09</t>
        </is>
      </c>
      <c r="X1137" t="inlineStr">
        <is>
          <t>1990-07-09</t>
        </is>
      </c>
      <c r="Y1137" t="n">
        <v>843</v>
      </c>
      <c r="Z1137" t="n">
        <v>740</v>
      </c>
      <c r="AA1137" t="n">
        <v>820</v>
      </c>
      <c r="AB1137" t="n">
        <v>7</v>
      </c>
      <c r="AC1137" t="n">
        <v>7</v>
      </c>
      <c r="AD1137" t="n">
        <v>39</v>
      </c>
      <c r="AE1137" t="n">
        <v>42</v>
      </c>
      <c r="AF1137" t="n">
        <v>16</v>
      </c>
      <c r="AG1137" t="n">
        <v>18</v>
      </c>
      <c r="AH1137" t="n">
        <v>10</v>
      </c>
      <c r="AI1137" t="n">
        <v>11</v>
      </c>
      <c r="AJ1137" t="n">
        <v>20</v>
      </c>
      <c r="AK1137" t="n">
        <v>23</v>
      </c>
      <c r="AL1137" t="n">
        <v>4</v>
      </c>
      <c r="AM1137" t="n">
        <v>4</v>
      </c>
      <c r="AN1137" t="n">
        <v>0</v>
      </c>
      <c r="AO1137" t="n">
        <v>0</v>
      </c>
      <c r="AP1137" t="inlineStr">
        <is>
          <t>No</t>
        </is>
      </c>
      <c r="AQ1137" t="inlineStr">
        <is>
          <t>Yes</t>
        </is>
      </c>
      <c r="AR1137">
        <f>HYPERLINK("http://catalog.hathitrust.org/Record/000404198","HathiTrust Record")</f>
        <v/>
      </c>
      <c r="AS1137">
        <f>HYPERLINK("https://creighton-primo.hosted.exlibrisgroup.com/primo-explore/search?tab=default_tab&amp;search_scope=EVERYTHING&amp;vid=01CRU&amp;lang=en_US&amp;offset=0&amp;query=any,contains,991004350599702656","Catalog Record")</f>
        <v/>
      </c>
      <c r="AT1137">
        <f>HYPERLINK("http://www.worldcat.org/oclc/3119669","WorldCat Record")</f>
        <v/>
      </c>
      <c r="AU1137" t="inlineStr">
        <is>
          <t>521582:eng</t>
        </is>
      </c>
      <c r="AV1137" t="inlineStr">
        <is>
          <t>3119669</t>
        </is>
      </c>
      <c r="AW1137" t="inlineStr">
        <is>
          <t>991004350599702656</t>
        </is>
      </c>
      <c r="AX1137" t="inlineStr">
        <is>
          <t>991004350599702656</t>
        </is>
      </c>
      <c r="AY1137" t="inlineStr">
        <is>
          <t>2269108480002656</t>
        </is>
      </c>
      <c r="AZ1137" t="inlineStr">
        <is>
          <t>BOOK</t>
        </is>
      </c>
      <c r="BB1137" t="inlineStr">
        <is>
          <t>9780674488816</t>
        </is>
      </c>
      <c r="BC1137" t="inlineStr">
        <is>
          <t>32285000226711</t>
        </is>
      </c>
      <c r="BD1137" t="inlineStr">
        <is>
          <t>893599742</t>
        </is>
      </c>
    </row>
    <row r="1138">
      <c r="A1138" t="inlineStr">
        <is>
          <t>No</t>
        </is>
      </c>
      <c r="B1138" t="inlineStr">
        <is>
          <t>DG317 .B76 1976</t>
        </is>
      </c>
      <c r="C1138" t="inlineStr">
        <is>
          <t>0                      DG 0317000B  76          1976</t>
        </is>
      </c>
      <c r="D1138" t="inlineStr">
        <is>
          <t>The Emperor Julian / Robert Browning.</t>
        </is>
      </c>
      <c r="F1138" t="inlineStr">
        <is>
          <t>No</t>
        </is>
      </c>
      <c r="G1138" t="inlineStr">
        <is>
          <t>1</t>
        </is>
      </c>
      <c r="H1138" t="inlineStr">
        <is>
          <t>No</t>
        </is>
      </c>
      <c r="I1138" t="inlineStr">
        <is>
          <t>No</t>
        </is>
      </c>
      <c r="J1138" t="inlineStr">
        <is>
          <t>0</t>
        </is>
      </c>
      <c r="K1138" t="inlineStr">
        <is>
          <t>Browning, Robert, 1914-1997.</t>
        </is>
      </c>
      <c r="L1138" t="inlineStr">
        <is>
          <t>Berkeley : University of California Press, c1976.</t>
        </is>
      </c>
      <c r="M1138" t="inlineStr">
        <is>
          <t>1976</t>
        </is>
      </c>
      <c r="O1138" t="inlineStr">
        <is>
          <t>eng</t>
        </is>
      </c>
      <c r="P1138" t="inlineStr">
        <is>
          <t>cau</t>
        </is>
      </c>
      <c r="R1138" t="inlineStr">
        <is>
          <t xml:space="preserve">DG </t>
        </is>
      </c>
      <c r="S1138" t="n">
        <v>2</v>
      </c>
      <c r="T1138" t="n">
        <v>2</v>
      </c>
      <c r="U1138" t="inlineStr">
        <is>
          <t>1999-01-13</t>
        </is>
      </c>
      <c r="V1138" t="inlineStr">
        <is>
          <t>1999-01-13</t>
        </is>
      </c>
      <c r="W1138" t="inlineStr">
        <is>
          <t>1990-07-09</t>
        </is>
      </c>
      <c r="X1138" t="inlineStr">
        <is>
          <t>1990-07-09</t>
        </is>
      </c>
      <c r="Y1138" t="n">
        <v>680</v>
      </c>
      <c r="Z1138" t="n">
        <v>636</v>
      </c>
      <c r="AA1138" t="n">
        <v>774</v>
      </c>
      <c r="AB1138" t="n">
        <v>1</v>
      </c>
      <c r="AC1138" t="n">
        <v>3</v>
      </c>
      <c r="AD1138" t="n">
        <v>22</v>
      </c>
      <c r="AE1138" t="n">
        <v>29</v>
      </c>
      <c r="AF1138" t="n">
        <v>10</v>
      </c>
      <c r="AG1138" t="n">
        <v>11</v>
      </c>
      <c r="AH1138" t="n">
        <v>7</v>
      </c>
      <c r="AI1138" t="n">
        <v>8</v>
      </c>
      <c r="AJ1138" t="n">
        <v>15</v>
      </c>
      <c r="AK1138" t="n">
        <v>19</v>
      </c>
      <c r="AL1138" t="n">
        <v>0</v>
      </c>
      <c r="AM1138" t="n">
        <v>2</v>
      </c>
      <c r="AN1138" t="n">
        <v>0</v>
      </c>
      <c r="AO1138" t="n">
        <v>0</v>
      </c>
      <c r="AP1138" t="inlineStr">
        <is>
          <t>No</t>
        </is>
      </c>
      <c r="AQ1138" t="inlineStr">
        <is>
          <t>Yes</t>
        </is>
      </c>
      <c r="AR1138">
        <f>HYPERLINK("http://catalog.hathitrust.org/Record/000712359","HathiTrust Record")</f>
        <v/>
      </c>
      <c r="AS1138">
        <f>HYPERLINK("https://creighton-primo.hosted.exlibrisgroup.com/primo-explore/search?tab=default_tab&amp;search_scope=EVERYTHING&amp;vid=01CRU&amp;lang=en_US&amp;offset=0&amp;query=any,contains,991004047299702656","Catalog Record")</f>
        <v/>
      </c>
      <c r="AT1138">
        <f>HYPERLINK("http://www.worldcat.org/oclc/2203430","WorldCat Record")</f>
        <v/>
      </c>
      <c r="AU1138" t="inlineStr">
        <is>
          <t>69355704:eng</t>
        </is>
      </c>
      <c r="AV1138" t="inlineStr">
        <is>
          <t>2203430</t>
        </is>
      </c>
      <c r="AW1138" t="inlineStr">
        <is>
          <t>991004047299702656</t>
        </is>
      </c>
      <c r="AX1138" t="inlineStr">
        <is>
          <t>991004047299702656</t>
        </is>
      </c>
      <c r="AY1138" t="inlineStr">
        <is>
          <t>2259153080002656</t>
        </is>
      </c>
      <c r="AZ1138" t="inlineStr">
        <is>
          <t>BOOK</t>
        </is>
      </c>
      <c r="BB1138" t="inlineStr">
        <is>
          <t>9780520030343</t>
        </is>
      </c>
      <c r="BC1138" t="inlineStr">
        <is>
          <t>32285000226661</t>
        </is>
      </c>
      <c r="BD1138" t="inlineStr">
        <is>
          <t>893699774</t>
        </is>
      </c>
    </row>
    <row r="1139">
      <c r="A1139" t="inlineStr">
        <is>
          <t>No</t>
        </is>
      </c>
      <c r="B1139" t="inlineStr">
        <is>
          <t>DG317 .R483</t>
        </is>
      </c>
      <c r="C1139" t="inlineStr">
        <is>
          <t>0                      DG 0317000R  483</t>
        </is>
      </c>
      <c r="D1139" t="inlineStr">
        <is>
          <t>Julian the Apostate. Translated by M. Joseph Costelloe.</t>
        </is>
      </c>
      <c r="F1139" t="inlineStr">
        <is>
          <t>No</t>
        </is>
      </c>
      <c r="G1139" t="inlineStr">
        <is>
          <t>1</t>
        </is>
      </c>
      <c r="H1139" t="inlineStr">
        <is>
          <t>No</t>
        </is>
      </c>
      <c r="I1139" t="inlineStr">
        <is>
          <t>No</t>
        </is>
      </c>
      <c r="J1139" t="inlineStr">
        <is>
          <t>0</t>
        </is>
      </c>
      <c r="K1139" t="inlineStr">
        <is>
          <t>Ricciotti, Giuseppe, 1890-1964.</t>
        </is>
      </c>
      <c r="L1139" t="inlineStr">
        <is>
          <t>Milwaukee, Bruce Pub. Co. [1960]</t>
        </is>
      </c>
      <c r="M1139" t="inlineStr">
        <is>
          <t>1960</t>
        </is>
      </c>
      <c r="O1139" t="inlineStr">
        <is>
          <t>eng</t>
        </is>
      </c>
      <c r="P1139" t="inlineStr">
        <is>
          <t xml:space="preserve">xx </t>
        </is>
      </c>
      <c r="R1139" t="inlineStr">
        <is>
          <t xml:space="preserve">DG </t>
        </is>
      </c>
      <c r="S1139" t="n">
        <v>3</v>
      </c>
      <c r="T1139" t="n">
        <v>3</v>
      </c>
      <c r="U1139" t="inlineStr">
        <is>
          <t>2005-11-03</t>
        </is>
      </c>
      <c r="V1139" t="inlineStr">
        <is>
          <t>2005-11-03</t>
        </is>
      </c>
      <c r="W1139" t="inlineStr">
        <is>
          <t>1997-02-04</t>
        </is>
      </c>
      <c r="X1139" t="inlineStr">
        <is>
          <t>1997-02-04</t>
        </is>
      </c>
      <c r="Y1139" t="n">
        <v>630</v>
      </c>
      <c r="Z1139" t="n">
        <v>561</v>
      </c>
      <c r="AA1139" t="n">
        <v>589</v>
      </c>
      <c r="AB1139" t="n">
        <v>4</v>
      </c>
      <c r="AC1139" t="n">
        <v>4</v>
      </c>
      <c r="AD1139" t="n">
        <v>37</v>
      </c>
      <c r="AE1139" t="n">
        <v>38</v>
      </c>
      <c r="AF1139" t="n">
        <v>14</v>
      </c>
      <c r="AG1139" t="n">
        <v>15</v>
      </c>
      <c r="AH1139" t="n">
        <v>9</v>
      </c>
      <c r="AI1139" t="n">
        <v>10</v>
      </c>
      <c r="AJ1139" t="n">
        <v>25</v>
      </c>
      <c r="AK1139" t="n">
        <v>25</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HYPERLINK("https://creighton-primo.hosted.exlibrisgroup.com/primo-explore/search?tab=default_tab&amp;search_scope=EVERYTHING&amp;vid=01CRU&amp;lang=en_US&amp;offset=0&amp;query=any,contains,991003110009702656","Catalog Record")</f>
        <v/>
      </c>
      <c r="AT1139">
        <f>HYPERLINK("http://www.worldcat.org/oclc/656240","WorldCat Record")</f>
        <v/>
      </c>
      <c r="AU1139" t="inlineStr">
        <is>
          <t>2975845507:eng</t>
        </is>
      </c>
      <c r="AV1139" t="inlineStr">
        <is>
          <t>656240</t>
        </is>
      </c>
      <c r="AW1139" t="inlineStr">
        <is>
          <t>991003110009702656</t>
        </is>
      </c>
      <c r="AX1139" t="inlineStr">
        <is>
          <t>991003110009702656</t>
        </is>
      </c>
      <c r="AY1139" t="inlineStr">
        <is>
          <t>2263411440002656</t>
        </is>
      </c>
      <c r="AZ1139" t="inlineStr">
        <is>
          <t>BOOK</t>
        </is>
      </c>
      <c r="BC1139" t="inlineStr">
        <is>
          <t>32285002421245</t>
        </is>
      </c>
      <c r="BD1139" t="inlineStr">
        <is>
          <t>893799396</t>
        </is>
      </c>
    </row>
    <row r="1140">
      <c r="A1140" t="inlineStr">
        <is>
          <t>No</t>
        </is>
      </c>
      <c r="B1140" t="inlineStr">
        <is>
          <t>DG319 .G63</t>
        </is>
      </c>
      <c r="C1140" t="inlineStr">
        <is>
          <t>0                      DG 0319000G  63</t>
        </is>
      </c>
      <c r="D1140" t="inlineStr">
        <is>
          <t>Barbarians and Romans, A.D. 418-584 : the techniques of accommodation / by Walter Goffart.</t>
        </is>
      </c>
      <c r="F1140" t="inlineStr">
        <is>
          <t>No</t>
        </is>
      </c>
      <c r="G1140" t="inlineStr">
        <is>
          <t>1</t>
        </is>
      </c>
      <c r="H1140" t="inlineStr">
        <is>
          <t>No</t>
        </is>
      </c>
      <c r="I1140" t="inlineStr">
        <is>
          <t>No</t>
        </is>
      </c>
      <c r="J1140" t="inlineStr">
        <is>
          <t>0</t>
        </is>
      </c>
      <c r="K1140" t="inlineStr">
        <is>
          <t>Goffart, Walter A.</t>
        </is>
      </c>
      <c r="L1140" t="inlineStr">
        <is>
          <t>Princeton, N.J. : Princeton University Press, c1980.</t>
        </is>
      </c>
      <c r="M1140" t="inlineStr">
        <is>
          <t>1980</t>
        </is>
      </c>
      <c r="O1140" t="inlineStr">
        <is>
          <t>eng</t>
        </is>
      </c>
      <c r="P1140" t="inlineStr">
        <is>
          <t>nju</t>
        </is>
      </c>
      <c r="R1140" t="inlineStr">
        <is>
          <t xml:space="preserve">DG </t>
        </is>
      </c>
      <c r="S1140" t="n">
        <v>3</v>
      </c>
      <c r="T1140" t="n">
        <v>3</v>
      </c>
      <c r="U1140" t="inlineStr">
        <is>
          <t>2005-09-19</t>
        </is>
      </c>
      <c r="V1140" t="inlineStr">
        <is>
          <t>2005-09-19</t>
        </is>
      </c>
      <c r="W1140" t="inlineStr">
        <is>
          <t>1991-04-10</t>
        </is>
      </c>
      <c r="X1140" t="inlineStr">
        <is>
          <t>1991-04-10</t>
        </is>
      </c>
      <c r="Y1140" t="n">
        <v>953</v>
      </c>
      <c r="Z1140" t="n">
        <v>747</v>
      </c>
      <c r="AA1140" t="n">
        <v>880</v>
      </c>
      <c r="AB1140" t="n">
        <v>7</v>
      </c>
      <c r="AC1140" t="n">
        <v>7</v>
      </c>
      <c r="AD1140" t="n">
        <v>37</v>
      </c>
      <c r="AE1140" t="n">
        <v>41</v>
      </c>
      <c r="AF1140" t="n">
        <v>16</v>
      </c>
      <c r="AG1140" t="n">
        <v>18</v>
      </c>
      <c r="AH1140" t="n">
        <v>9</v>
      </c>
      <c r="AI1140" t="n">
        <v>10</v>
      </c>
      <c r="AJ1140" t="n">
        <v>20</v>
      </c>
      <c r="AK1140" t="n">
        <v>22</v>
      </c>
      <c r="AL1140" t="n">
        <v>5</v>
      </c>
      <c r="AM1140" t="n">
        <v>5</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HYPERLINK("https://creighton-primo.hosted.exlibrisgroup.com/primo-explore/search?tab=default_tab&amp;search_scope=EVERYTHING&amp;vid=01CRU&amp;lang=en_US&amp;offset=0&amp;query=any,contains,991004973769702656","Catalog Record")</f>
        <v/>
      </c>
      <c r="AT1140">
        <f>HYPERLINK("http://www.worldcat.org/oclc/6378358","WorldCat Record")</f>
        <v/>
      </c>
      <c r="AU1140" t="inlineStr">
        <is>
          <t>918428701:eng</t>
        </is>
      </c>
      <c r="AV1140" t="inlineStr">
        <is>
          <t>6378358</t>
        </is>
      </c>
      <c r="AW1140" t="inlineStr">
        <is>
          <t>991004973769702656</t>
        </is>
      </c>
      <c r="AX1140" t="inlineStr">
        <is>
          <t>991004973769702656</t>
        </is>
      </c>
      <c r="AY1140" t="inlineStr">
        <is>
          <t>2269255260002656</t>
        </is>
      </c>
      <c r="AZ1140" t="inlineStr">
        <is>
          <t>BOOK</t>
        </is>
      </c>
      <c r="BB1140" t="inlineStr">
        <is>
          <t>9780691053035</t>
        </is>
      </c>
      <c r="BC1140" t="inlineStr">
        <is>
          <t>32285000521913</t>
        </is>
      </c>
      <c r="BD1140" t="inlineStr">
        <is>
          <t>893889497</t>
        </is>
      </c>
    </row>
    <row r="1141">
      <c r="A1141" t="inlineStr">
        <is>
          <t>No</t>
        </is>
      </c>
      <c r="B1141" t="inlineStr">
        <is>
          <t>DG319 .K3</t>
        </is>
      </c>
      <c r="C1141" t="inlineStr">
        <is>
          <t>0                      DG 0319000K  3</t>
        </is>
      </c>
      <c r="D1141" t="inlineStr">
        <is>
          <t>Byzantium and the decline of Rome.</t>
        </is>
      </c>
      <c r="F1141" t="inlineStr">
        <is>
          <t>No</t>
        </is>
      </c>
      <c r="G1141" t="inlineStr">
        <is>
          <t>1</t>
        </is>
      </c>
      <c r="H1141" t="inlineStr">
        <is>
          <t>No</t>
        </is>
      </c>
      <c r="I1141" t="inlineStr">
        <is>
          <t>No</t>
        </is>
      </c>
      <c r="J1141" t="inlineStr">
        <is>
          <t>0</t>
        </is>
      </c>
      <c r="K1141" t="inlineStr">
        <is>
          <t>Kaegi, Walter Emil.</t>
        </is>
      </c>
      <c r="L1141" t="inlineStr">
        <is>
          <t>Princeton, N.J. : Princeton University Press, 1968.</t>
        </is>
      </c>
      <c r="M1141" t="inlineStr">
        <is>
          <t>1968</t>
        </is>
      </c>
      <c r="O1141" t="inlineStr">
        <is>
          <t>eng</t>
        </is>
      </c>
      <c r="P1141" t="inlineStr">
        <is>
          <t>nju</t>
        </is>
      </c>
      <c r="R1141" t="inlineStr">
        <is>
          <t xml:space="preserve">DG </t>
        </is>
      </c>
      <c r="S1141" t="n">
        <v>6</v>
      </c>
      <c r="T1141" t="n">
        <v>6</v>
      </c>
      <c r="U1141" t="inlineStr">
        <is>
          <t>1994-01-31</t>
        </is>
      </c>
      <c r="V1141" t="inlineStr">
        <is>
          <t>1994-01-31</t>
        </is>
      </c>
      <c r="W1141" t="inlineStr">
        <is>
          <t>1991-06-19</t>
        </is>
      </c>
      <c r="X1141" t="inlineStr">
        <is>
          <t>1991-06-19</t>
        </is>
      </c>
      <c r="Y1141" t="n">
        <v>1018</v>
      </c>
      <c r="Z1141" t="n">
        <v>863</v>
      </c>
      <c r="AA1141" t="n">
        <v>1064</v>
      </c>
      <c r="AB1141" t="n">
        <v>8</v>
      </c>
      <c r="AC1141" t="n">
        <v>9</v>
      </c>
      <c r="AD1141" t="n">
        <v>42</v>
      </c>
      <c r="AE1141" t="n">
        <v>50</v>
      </c>
      <c r="AF1141" t="n">
        <v>18</v>
      </c>
      <c r="AG1141" t="n">
        <v>22</v>
      </c>
      <c r="AH1141" t="n">
        <v>10</v>
      </c>
      <c r="AI1141" t="n">
        <v>10</v>
      </c>
      <c r="AJ1141" t="n">
        <v>18</v>
      </c>
      <c r="AK1141" t="n">
        <v>22</v>
      </c>
      <c r="AL1141" t="n">
        <v>7</v>
      </c>
      <c r="AM1141" t="n">
        <v>8</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HYPERLINK("https://creighton-primo.hosted.exlibrisgroup.com/primo-explore/search?tab=default_tab&amp;search_scope=EVERYTHING&amp;vid=01CRU&amp;lang=en_US&amp;offset=0&amp;query=any,contains,991002702569702656","Catalog Record")</f>
        <v/>
      </c>
      <c r="AT1141">
        <f>HYPERLINK("http://www.worldcat.org/oclc/406114","WorldCat Record")</f>
        <v/>
      </c>
      <c r="AU1141" t="inlineStr">
        <is>
          <t>1433472:eng</t>
        </is>
      </c>
      <c r="AV1141" t="inlineStr">
        <is>
          <t>406114</t>
        </is>
      </c>
      <c r="AW1141" t="inlineStr">
        <is>
          <t>991002702569702656</t>
        </is>
      </c>
      <c r="AX1141" t="inlineStr">
        <is>
          <t>991002702569702656</t>
        </is>
      </c>
      <c r="AY1141" t="inlineStr">
        <is>
          <t>2261216640002656</t>
        </is>
      </c>
      <c r="AZ1141" t="inlineStr">
        <is>
          <t>BOOK</t>
        </is>
      </c>
      <c r="BC1141" t="inlineStr">
        <is>
          <t>32285000631266</t>
        </is>
      </c>
      <c r="BD1141" t="inlineStr">
        <is>
          <t>893691900</t>
        </is>
      </c>
    </row>
    <row r="1142">
      <c r="A1142" t="inlineStr">
        <is>
          <t>No</t>
        </is>
      </c>
      <c r="B1142" t="inlineStr">
        <is>
          <t>DG330 .K5 1961</t>
        </is>
      </c>
      <c r="C1142" t="inlineStr">
        <is>
          <t>0                      DG 0330000K  5           1961</t>
        </is>
      </c>
      <c r="D1142" t="inlineStr">
        <is>
          <t>The Emperor Theodosius and the establishment of Christianity / N. Q. King.</t>
        </is>
      </c>
      <c r="F1142" t="inlineStr">
        <is>
          <t>No</t>
        </is>
      </c>
      <c r="G1142" t="inlineStr">
        <is>
          <t>1</t>
        </is>
      </c>
      <c r="H1142" t="inlineStr">
        <is>
          <t>No</t>
        </is>
      </c>
      <c r="I1142" t="inlineStr">
        <is>
          <t>No</t>
        </is>
      </c>
      <c r="J1142" t="inlineStr">
        <is>
          <t>0</t>
        </is>
      </c>
      <c r="K1142" t="inlineStr">
        <is>
          <t>King, Noel Quinton.</t>
        </is>
      </c>
      <c r="L1142" t="inlineStr">
        <is>
          <t>London : SCM Press, 1961.</t>
        </is>
      </c>
      <c r="M1142" t="inlineStr">
        <is>
          <t>1961</t>
        </is>
      </c>
      <c r="O1142" t="inlineStr">
        <is>
          <t>eng</t>
        </is>
      </c>
      <c r="P1142" t="inlineStr">
        <is>
          <t>enk</t>
        </is>
      </c>
      <c r="Q1142" t="inlineStr">
        <is>
          <t>The Library of history and doctrine</t>
        </is>
      </c>
      <c r="R1142" t="inlineStr">
        <is>
          <t xml:space="preserve">DG </t>
        </is>
      </c>
      <c r="S1142" t="n">
        <v>3</v>
      </c>
      <c r="T1142" t="n">
        <v>3</v>
      </c>
      <c r="U1142" t="inlineStr">
        <is>
          <t>2010-04-21</t>
        </is>
      </c>
      <c r="V1142" t="inlineStr">
        <is>
          <t>2010-04-21</t>
        </is>
      </c>
      <c r="W1142" t="inlineStr">
        <is>
          <t>1997-02-04</t>
        </is>
      </c>
      <c r="X1142" t="inlineStr">
        <is>
          <t>1997-02-04</t>
        </is>
      </c>
      <c r="Y1142" t="n">
        <v>197</v>
      </c>
      <c r="Z1142" t="n">
        <v>78</v>
      </c>
      <c r="AA1142" t="n">
        <v>343</v>
      </c>
      <c r="AB1142" t="n">
        <v>2</v>
      </c>
      <c r="AC1142" t="n">
        <v>5</v>
      </c>
      <c r="AD1142" t="n">
        <v>6</v>
      </c>
      <c r="AE1142" t="n">
        <v>20</v>
      </c>
      <c r="AF1142" t="n">
        <v>0</v>
      </c>
      <c r="AG1142" t="n">
        <v>4</v>
      </c>
      <c r="AH1142" t="n">
        <v>0</v>
      </c>
      <c r="AI1142" t="n">
        <v>5</v>
      </c>
      <c r="AJ1142" t="n">
        <v>5</v>
      </c>
      <c r="AK1142" t="n">
        <v>14</v>
      </c>
      <c r="AL1142" t="n">
        <v>1</v>
      </c>
      <c r="AM1142" t="n">
        <v>3</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HYPERLINK("https://creighton-primo.hosted.exlibrisgroup.com/primo-explore/search?tab=default_tab&amp;search_scope=EVERYTHING&amp;vid=01CRU&amp;lang=en_US&amp;offset=0&amp;query=any,contains,991004413769702656","Catalog Record")</f>
        <v/>
      </c>
      <c r="AT1142">
        <f>HYPERLINK("http://www.worldcat.org/oclc/3354207","WorldCat Record")</f>
        <v/>
      </c>
      <c r="AU1142" t="inlineStr">
        <is>
          <t>1371440:eng</t>
        </is>
      </c>
      <c r="AV1142" t="inlineStr">
        <is>
          <t>3354207</t>
        </is>
      </c>
      <c r="AW1142" t="inlineStr">
        <is>
          <t>991004413769702656</t>
        </is>
      </c>
      <c r="AX1142" t="inlineStr">
        <is>
          <t>991004413769702656</t>
        </is>
      </c>
      <c r="AY1142" t="inlineStr">
        <is>
          <t>2260001170002656</t>
        </is>
      </c>
      <c r="AZ1142" t="inlineStr">
        <is>
          <t>BOOK</t>
        </is>
      </c>
      <c r="BC1142" t="inlineStr">
        <is>
          <t>32285002421278</t>
        </is>
      </c>
      <c r="BD1142" t="inlineStr">
        <is>
          <t>893706381</t>
        </is>
      </c>
    </row>
    <row r="1143">
      <c r="A1143" t="inlineStr">
        <is>
          <t>No</t>
        </is>
      </c>
      <c r="B1143" t="inlineStr">
        <is>
          <t>DG330 .P33 1987</t>
        </is>
      </c>
      <c r="C1143" t="inlineStr">
        <is>
          <t>0                      DG 0330000P  33          1987</t>
        </is>
      </c>
      <c r="D1143" t="inlineStr">
        <is>
          <t>Panegyric to the Emperor Theodosius / Pacatus ; translated with an introduction by C.E.V. Nixon.</t>
        </is>
      </c>
      <c r="F1143" t="inlineStr">
        <is>
          <t>No</t>
        </is>
      </c>
      <c r="G1143" t="inlineStr">
        <is>
          <t>1</t>
        </is>
      </c>
      <c r="H1143" t="inlineStr">
        <is>
          <t>No</t>
        </is>
      </c>
      <c r="I1143" t="inlineStr">
        <is>
          <t>No</t>
        </is>
      </c>
      <c r="J1143" t="inlineStr">
        <is>
          <t>0</t>
        </is>
      </c>
      <c r="K1143" t="inlineStr">
        <is>
          <t>Pacatus Drepanius, Latinus.</t>
        </is>
      </c>
      <c r="L1143" t="inlineStr">
        <is>
          <t>Liverpool : Liverpool University Press, 1987.</t>
        </is>
      </c>
      <c r="M1143" t="inlineStr">
        <is>
          <t>1987</t>
        </is>
      </c>
      <c r="O1143" t="inlineStr">
        <is>
          <t>eng</t>
        </is>
      </c>
      <c r="P1143" t="inlineStr">
        <is>
          <t>enk</t>
        </is>
      </c>
      <c r="Q1143" t="inlineStr">
        <is>
          <t>Translated texts for historians. Latin series ; 2</t>
        </is>
      </c>
      <c r="R1143" t="inlineStr">
        <is>
          <t xml:space="preserve">DG </t>
        </is>
      </c>
      <c r="S1143" t="n">
        <v>1</v>
      </c>
      <c r="T1143" t="n">
        <v>1</v>
      </c>
      <c r="U1143" t="inlineStr">
        <is>
          <t>2007-09-21</t>
        </is>
      </c>
      <c r="V1143" t="inlineStr">
        <is>
          <t>2007-09-21</t>
        </is>
      </c>
      <c r="W1143" t="inlineStr">
        <is>
          <t>1991-04-10</t>
        </is>
      </c>
      <c r="X1143" t="inlineStr">
        <is>
          <t>1991-04-10</t>
        </is>
      </c>
      <c r="Y1143" t="n">
        <v>306</v>
      </c>
      <c r="Z1143" t="n">
        <v>220</v>
      </c>
      <c r="AA1143" t="n">
        <v>232</v>
      </c>
      <c r="AB1143" t="n">
        <v>3</v>
      </c>
      <c r="AC1143" t="n">
        <v>3</v>
      </c>
      <c r="AD1143" t="n">
        <v>15</v>
      </c>
      <c r="AE1143" t="n">
        <v>16</v>
      </c>
      <c r="AF1143" t="n">
        <v>3</v>
      </c>
      <c r="AG1143" t="n">
        <v>3</v>
      </c>
      <c r="AH1143" t="n">
        <v>3</v>
      </c>
      <c r="AI1143" t="n">
        <v>4</v>
      </c>
      <c r="AJ1143" t="n">
        <v>11</v>
      </c>
      <c r="AK1143" t="n">
        <v>11</v>
      </c>
      <c r="AL1143" t="n">
        <v>2</v>
      </c>
      <c r="AM1143" t="n">
        <v>2</v>
      </c>
      <c r="AN1143" t="n">
        <v>0</v>
      </c>
      <c r="AO1143" t="n">
        <v>0</v>
      </c>
      <c r="AP1143" t="inlineStr">
        <is>
          <t>No</t>
        </is>
      </c>
      <c r="AQ1143" t="inlineStr">
        <is>
          <t>Yes</t>
        </is>
      </c>
      <c r="AR1143">
        <f>HYPERLINK("http://catalog.hathitrust.org/Record/000872620","HathiTrust Record")</f>
        <v/>
      </c>
      <c r="AS1143">
        <f>HYPERLINK("https://creighton-primo.hosted.exlibrisgroup.com/primo-explore/search?tab=default_tab&amp;search_scope=EVERYTHING&amp;vid=01CRU&amp;lang=en_US&amp;offset=0&amp;query=any,contains,991001078539702656","Catalog Record")</f>
        <v/>
      </c>
      <c r="AT1143">
        <f>HYPERLINK("http://www.worldcat.org/oclc/18834075","WorldCat Record")</f>
        <v/>
      </c>
      <c r="AU1143" t="inlineStr">
        <is>
          <t>18955801:eng</t>
        </is>
      </c>
      <c r="AV1143" t="inlineStr">
        <is>
          <t>18834075</t>
        </is>
      </c>
      <c r="AW1143" t="inlineStr">
        <is>
          <t>991001078539702656</t>
        </is>
      </c>
      <c r="AX1143" t="inlineStr">
        <is>
          <t>991001078539702656</t>
        </is>
      </c>
      <c r="AY1143" t="inlineStr">
        <is>
          <t>2260495970002656</t>
        </is>
      </c>
      <c r="AZ1143" t="inlineStr">
        <is>
          <t>BOOK</t>
        </is>
      </c>
      <c r="BB1143" t="inlineStr">
        <is>
          <t>9780853230762</t>
        </is>
      </c>
      <c r="BC1143" t="inlineStr">
        <is>
          <t>32285000521939</t>
        </is>
      </c>
      <c r="BD1143" t="inlineStr">
        <is>
          <t>893778539</t>
        </is>
      </c>
    </row>
    <row r="1144">
      <c r="A1144" t="inlineStr">
        <is>
          <t>No</t>
        </is>
      </c>
      <c r="B1144" t="inlineStr">
        <is>
          <t>DG330 .W55 1995</t>
        </is>
      </c>
      <c r="C1144" t="inlineStr">
        <is>
          <t>0                      DG 0330000W  55          1995</t>
        </is>
      </c>
      <c r="D1144" t="inlineStr">
        <is>
          <t>Theodosius : the empire at bay / Stephen Williams and Gerard Friell.</t>
        </is>
      </c>
      <c r="F1144" t="inlineStr">
        <is>
          <t>No</t>
        </is>
      </c>
      <c r="G1144" t="inlineStr">
        <is>
          <t>1</t>
        </is>
      </c>
      <c r="H1144" t="inlineStr">
        <is>
          <t>No</t>
        </is>
      </c>
      <c r="I1144" t="inlineStr">
        <is>
          <t>No</t>
        </is>
      </c>
      <c r="J1144" t="inlineStr">
        <is>
          <t>0</t>
        </is>
      </c>
      <c r="K1144" t="inlineStr">
        <is>
          <t>Williams, Stephen, 1942-2004.</t>
        </is>
      </c>
      <c r="L1144" t="inlineStr">
        <is>
          <t>New Haven : Yale University Press, 1995, c1994.</t>
        </is>
      </c>
      <c r="M1144" t="inlineStr">
        <is>
          <t>1995</t>
        </is>
      </c>
      <c r="O1144" t="inlineStr">
        <is>
          <t>eng</t>
        </is>
      </c>
      <c r="P1144" t="inlineStr">
        <is>
          <t>ctu</t>
        </is>
      </c>
      <c r="R1144" t="inlineStr">
        <is>
          <t xml:space="preserve">DG </t>
        </is>
      </c>
      <c r="S1144" t="n">
        <v>5</v>
      </c>
      <c r="T1144" t="n">
        <v>5</v>
      </c>
      <c r="U1144" t="inlineStr">
        <is>
          <t>2010-04-21</t>
        </is>
      </c>
      <c r="V1144" t="inlineStr">
        <is>
          <t>2010-04-21</t>
        </is>
      </c>
      <c r="W1144" t="inlineStr">
        <is>
          <t>2005-10-13</t>
        </is>
      </c>
      <c r="X1144" t="inlineStr">
        <is>
          <t>2005-10-13</t>
        </is>
      </c>
      <c r="Y1144" t="n">
        <v>635</v>
      </c>
      <c r="Z1144" t="n">
        <v>582</v>
      </c>
      <c r="AA1144" t="n">
        <v>704</v>
      </c>
      <c r="AB1144" t="n">
        <v>6</v>
      </c>
      <c r="AC1144" t="n">
        <v>6</v>
      </c>
      <c r="AD1144" t="n">
        <v>34</v>
      </c>
      <c r="AE1144" t="n">
        <v>38</v>
      </c>
      <c r="AF1144" t="n">
        <v>14</v>
      </c>
      <c r="AG1144" t="n">
        <v>15</v>
      </c>
      <c r="AH1144" t="n">
        <v>7</v>
      </c>
      <c r="AI1144" t="n">
        <v>9</v>
      </c>
      <c r="AJ1144" t="n">
        <v>19</v>
      </c>
      <c r="AK1144" t="n">
        <v>22</v>
      </c>
      <c r="AL1144" t="n">
        <v>4</v>
      </c>
      <c r="AM1144" t="n">
        <v>4</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HYPERLINK("https://creighton-primo.hosted.exlibrisgroup.com/primo-explore/search?tab=default_tab&amp;search_scope=EVERYTHING&amp;vid=01CRU&amp;lang=en_US&amp;offset=0&amp;query=any,contains,991004669229702656","Catalog Record")</f>
        <v/>
      </c>
      <c r="AT1144">
        <f>HYPERLINK("http://www.worldcat.org/oclc/32174259","WorldCat Record")</f>
        <v/>
      </c>
      <c r="AU1144" t="inlineStr">
        <is>
          <t>69755108:eng</t>
        </is>
      </c>
      <c r="AV1144" t="inlineStr">
        <is>
          <t>32174259</t>
        </is>
      </c>
      <c r="AW1144" t="inlineStr">
        <is>
          <t>991004669229702656</t>
        </is>
      </c>
      <c r="AX1144" t="inlineStr">
        <is>
          <t>991004669229702656</t>
        </is>
      </c>
      <c r="AY1144" t="inlineStr">
        <is>
          <t>2266968050002656</t>
        </is>
      </c>
      <c r="AZ1144" t="inlineStr">
        <is>
          <t>BOOK</t>
        </is>
      </c>
      <c r="BB1144" t="inlineStr">
        <is>
          <t>9780300061734</t>
        </is>
      </c>
      <c r="BC1144" t="inlineStr">
        <is>
          <t>32285005089320</t>
        </is>
      </c>
      <c r="BD1144" t="inlineStr">
        <is>
          <t>893532663</t>
        </is>
      </c>
    </row>
    <row r="1145">
      <c r="A1145" t="inlineStr">
        <is>
          <t>No</t>
        </is>
      </c>
      <c r="B1145" t="inlineStr">
        <is>
          <t>DG417 .C6 1966</t>
        </is>
      </c>
      <c r="C1145" t="inlineStr">
        <is>
          <t>0                      DG 0417000C  6           1966</t>
        </is>
      </c>
      <c r="D1145" t="inlineStr">
        <is>
          <t>Italy; an introductory geography, by J. P. Cole.</t>
        </is>
      </c>
      <c r="F1145" t="inlineStr">
        <is>
          <t>No</t>
        </is>
      </c>
      <c r="G1145" t="inlineStr">
        <is>
          <t>1</t>
        </is>
      </c>
      <c r="H1145" t="inlineStr">
        <is>
          <t>No</t>
        </is>
      </c>
      <c r="I1145" t="inlineStr">
        <is>
          <t>No</t>
        </is>
      </c>
      <c r="J1145" t="inlineStr">
        <is>
          <t>0</t>
        </is>
      </c>
      <c r="K1145" t="inlineStr">
        <is>
          <t>Cole, J. P. (John Peter), 1928-</t>
        </is>
      </c>
      <c r="L1145" t="inlineStr">
        <is>
          <t>New York, Praeger [1966]</t>
        </is>
      </c>
      <c r="M1145" t="inlineStr">
        <is>
          <t>1966</t>
        </is>
      </c>
      <c r="O1145" t="inlineStr">
        <is>
          <t>eng</t>
        </is>
      </c>
      <c r="P1145" t="inlineStr">
        <is>
          <t>nyu</t>
        </is>
      </c>
      <c r="Q1145" t="inlineStr">
        <is>
          <t>Praeger introductory geographies</t>
        </is>
      </c>
      <c r="R1145" t="inlineStr">
        <is>
          <t xml:space="preserve">DG </t>
        </is>
      </c>
      <c r="S1145" t="n">
        <v>3</v>
      </c>
      <c r="T1145" t="n">
        <v>3</v>
      </c>
      <c r="U1145" t="inlineStr">
        <is>
          <t>2007-04-17</t>
        </is>
      </c>
      <c r="V1145" t="inlineStr">
        <is>
          <t>2007-04-17</t>
        </is>
      </c>
      <c r="W1145" t="inlineStr">
        <is>
          <t>1997-02-04</t>
        </is>
      </c>
      <c r="X1145" t="inlineStr">
        <is>
          <t>1997-02-04</t>
        </is>
      </c>
      <c r="Y1145" t="n">
        <v>490</v>
      </c>
      <c r="Z1145" t="n">
        <v>467</v>
      </c>
      <c r="AA1145" t="n">
        <v>514</v>
      </c>
      <c r="AB1145" t="n">
        <v>8</v>
      </c>
      <c r="AC1145" t="n">
        <v>8</v>
      </c>
      <c r="AD1145" t="n">
        <v>24</v>
      </c>
      <c r="AE1145" t="n">
        <v>28</v>
      </c>
      <c r="AF1145" t="n">
        <v>9</v>
      </c>
      <c r="AG1145" t="n">
        <v>10</v>
      </c>
      <c r="AH1145" t="n">
        <v>4</v>
      </c>
      <c r="AI1145" t="n">
        <v>7</v>
      </c>
      <c r="AJ1145" t="n">
        <v>10</v>
      </c>
      <c r="AK1145" t="n">
        <v>11</v>
      </c>
      <c r="AL1145" t="n">
        <v>6</v>
      </c>
      <c r="AM1145" t="n">
        <v>6</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HYPERLINK("https://creighton-primo.hosted.exlibrisgroup.com/primo-explore/search?tab=default_tab&amp;search_scope=EVERYTHING&amp;vid=01CRU&amp;lang=en_US&amp;offset=0&amp;query=any,contains,991003365679702656","Catalog Record")</f>
        <v/>
      </c>
      <c r="AT1145">
        <f>HYPERLINK("http://www.worldcat.org/oclc/901907","WorldCat Record")</f>
        <v/>
      </c>
      <c r="AU1145" t="inlineStr">
        <is>
          <t>15131284:eng</t>
        </is>
      </c>
      <c r="AV1145" t="inlineStr">
        <is>
          <t>901907</t>
        </is>
      </c>
      <c r="AW1145" t="inlineStr">
        <is>
          <t>991003365679702656</t>
        </is>
      </c>
      <c r="AX1145" t="inlineStr">
        <is>
          <t>991003365679702656</t>
        </is>
      </c>
      <c r="AY1145" t="inlineStr">
        <is>
          <t>2265725640002656</t>
        </is>
      </c>
      <c r="AZ1145" t="inlineStr">
        <is>
          <t>BOOK</t>
        </is>
      </c>
      <c r="BC1145" t="inlineStr">
        <is>
          <t>32285002421328</t>
        </is>
      </c>
      <c r="BD1145" t="inlineStr">
        <is>
          <t>893805729</t>
        </is>
      </c>
    </row>
    <row r="1146">
      <c r="A1146" t="inlineStr">
        <is>
          <t>No</t>
        </is>
      </c>
      <c r="B1146" t="inlineStr">
        <is>
          <t>DG418 .W3 1967</t>
        </is>
      </c>
      <c r="C1146" t="inlineStr">
        <is>
          <t>0                      DG 0418000W  3           1967</t>
        </is>
      </c>
      <c r="D1146" t="inlineStr">
        <is>
          <t>A geography of Italy.</t>
        </is>
      </c>
      <c r="F1146" t="inlineStr">
        <is>
          <t>No</t>
        </is>
      </c>
      <c r="G1146" t="inlineStr">
        <is>
          <t>1</t>
        </is>
      </c>
      <c r="H1146" t="inlineStr">
        <is>
          <t>No</t>
        </is>
      </c>
      <c r="I1146" t="inlineStr">
        <is>
          <t>No</t>
        </is>
      </c>
      <c r="J1146" t="inlineStr">
        <is>
          <t>0</t>
        </is>
      </c>
      <c r="K1146" t="inlineStr">
        <is>
          <t>Walker, Donald Smith.</t>
        </is>
      </c>
      <c r="L1146" t="inlineStr">
        <is>
          <t>London, Methuen [1967]</t>
        </is>
      </c>
      <c r="M1146" t="inlineStr">
        <is>
          <t>1967</t>
        </is>
      </c>
      <c r="N1146" t="inlineStr">
        <is>
          <t>[2d ed.]</t>
        </is>
      </c>
      <c r="O1146" t="inlineStr">
        <is>
          <t>eng</t>
        </is>
      </c>
      <c r="P1146" t="inlineStr">
        <is>
          <t>enk</t>
        </is>
      </c>
      <c r="R1146" t="inlineStr">
        <is>
          <t xml:space="preserve">DG </t>
        </is>
      </c>
      <c r="S1146" t="n">
        <v>2</v>
      </c>
      <c r="T1146" t="n">
        <v>2</v>
      </c>
      <c r="U1146" t="inlineStr">
        <is>
          <t>2007-04-17</t>
        </is>
      </c>
      <c r="V1146" t="inlineStr">
        <is>
          <t>2007-04-17</t>
        </is>
      </c>
      <c r="W1146" t="inlineStr">
        <is>
          <t>1996-05-29</t>
        </is>
      </c>
      <c r="X1146" t="inlineStr">
        <is>
          <t>1996-05-29</t>
        </is>
      </c>
      <c r="Y1146" t="n">
        <v>322</v>
      </c>
      <c r="Z1146" t="n">
        <v>217</v>
      </c>
      <c r="AA1146" t="n">
        <v>388</v>
      </c>
      <c r="AB1146" t="n">
        <v>2</v>
      </c>
      <c r="AC1146" t="n">
        <v>4</v>
      </c>
      <c r="AD1146" t="n">
        <v>5</v>
      </c>
      <c r="AE1146" t="n">
        <v>13</v>
      </c>
      <c r="AF1146" t="n">
        <v>3</v>
      </c>
      <c r="AG1146" t="n">
        <v>6</v>
      </c>
      <c r="AH1146" t="n">
        <v>1</v>
      </c>
      <c r="AI1146" t="n">
        <v>3</v>
      </c>
      <c r="AJ1146" t="n">
        <v>0</v>
      </c>
      <c r="AK1146" t="n">
        <v>2</v>
      </c>
      <c r="AL1146" t="n">
        <v>1</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HYPERLINK("https://creighton-primo.hosted.exlibrisgroup.com/primo-explore/search?tab=default_tab&amp;search_scope=EVERYTHING&amp;vid=01CRU&amp;lang=en_US&amp;offset=0&amp;query=any,contains,991002692629702656","Catalog Record")</f>
        <v/>
      </c>
      <c r="AT1146">
        <f>HYPERLINK("http://www.worldcat.org/oclc/402054","WorldCat Record")</f>
        <v/>
      </c>
      <c r="AU1146" t="inlineStr">
        <is>
          <t>1419117:eng</t>
        </is>
      </c>
      <c r="AV1146" t="inlineStr">
        <is>
          <t>402054</t>
        </is>
      </c>
      <c r="AW1146" t="inlineStr">
        <is>
          <t>991002692629702656</t>
        </is>
      </c>
      <c r="AX1146" t="inlineStr">
        <is>
          <t>991002692629702656</t>
        </is>
      </c>
      <c r="AY1146" t="inlineStr">
        <is>
          <t>2267691290002656</t>
        </is>
      </c>
      <c r="AZ1146" t="inlineStr">
        <is>
          <t>BOOK</t>
        </is>
      </c>
      <c r="BC1146" t="inlineStr">
        <is>
          <t>32285002164613</t>
        </is>
      </c>
      <c r="BD1146" t="inlineStr">
        <is>
          <t>893616440</t>
        </is>
      </c>
    </row>
    <row r="1147">
      <c r="A1147" t="inlineStr">
        <is>
          <t>No</t>
        </is>
      </c>
      <c r="B1147" t="inlineStr">
        <is>
          <t>DG420 .D35 1990</t>
        </is>
      </c>
      <c r="C1147" t="inlineStr">
        <is>
          <t>0                      DG 0420000D  35          1990</t>
        </is>
      </c>
      <c r="D1147" t="inlineStr">
        <is>
          <t>A Day in the life of Italy / photographed by 100 of the world's leading photojournalists on one day, April 27, 1990.</t>
        </is>
      </c>
      <c r="F1147" t="inlineStr">
        <is>
          <t>No</t>
        </is>
      </c>
      <c r="G1147" t="inlineStr">
        <is>
          <t>1</t>
        </is>
      </c>
      <c r="H1147" t="inlineStr">
        <is>
          <t>Yes</t>
        </is>
      </c>
      <c r="I1147" t="inlineStr">
        <is>
          <t>No</t>
        </is>
      </c>
      <c r="J1147" t="inlineStr">
        <is>
          <t>0</t>
        </is>
      </c>
      <c r="L1147" t="inlineStr">
        <is>
          <t>San Francisco, Calif. : Collins Publishers San Francisco, 1990.</t>
        </is>
      </c>
      <c r="M1147" t="inlineStr">
        <is>
          <t>1990</t>
        </is>
      </c>
      <c r="O1147" t="inlineStr">
        <is>
          <t>eng</t>
        </is>
      </c>
      <c r="P1147" t="inlineStr">
        <is>
          <t>cau</t>
        </is>
      </c>
      <c r="R1147" t="inlineStr">
        <is>
          <t xml:space="preserve">DG </t>
        </is>
      </c>
      <c r="S1147" t="n">
        <v>9</v>
      </c>
      <c r="T1147" t="n">
        <v>9</v>
      </c>
      <c r="U1147" t="inlineStr">
        <is>
          <t>2005-02-27</t>
        </is>
      </c>
      <c r="V1147" t="inlineStr">
        <is>
          <t>2005-02-27</t>
        </is>
      </c>
      <c r="W1147" t="inlineStr">
        <is>
          <t>1991-02-20</t>
        </is>
      </c>
      <c r="X1147" t="inlineStr">
        <is>
          <t>2000-06-14</t>
        </is>
      </c>
      <c r="Y1147" t="n">
        <v>518</v>
      </c>
      <c r="Z1147" t="n">
        <v>476</v>
      </c>
      <c r="AA1147" t="n">
        <v>479</v>
      </c>
      <c r="AB1147" t="n">
        <v>4</v>
      </c>
      <c r="AC1147" t="n">
        <v>4</v>
      </c>
      <c r="AD1147" t="n">
        <v>4</v>
      </c>
      <c r="AE1147" t="n">
        <v>4</v>
      </c>
      <c r="AF1147" t="n">
        <v>2</v>
      </c>
      <c r="AG1147" t="n">
        <v>2</v>
      </c>
      <c r="AH1147" t="n">
        <v>0</v>
      </c>
      <c r="AI1147" t="n">
        <v>0</v>
      </c>
      <c r="AJ1147" t="n">
        <v>2</v>
      </c>
      <c r="AK1147" t="n">
        <v>2</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HYPERLINK("https://creighton-primo.hosted.exlibrisgroup.com/primo-explore/search?tab=default_tab&amp;search_scope=EVERYTHING&amp;vid=01CRU&amp;lang=en_US&amp;offset=0&amp;query=any,contains,991003133399702656","Catalog Record")</f>
        <v/>
      </c>
      <c r="AT1147">
        <f>HYPERLINK("http://www.worldcat.org/oclc/21873951","WorldCat Record")</f>
        <v/>
      </c>
      <c r="AU1147" t="inlineStr">
        <is>
          <t>55353065:eng</t>
        </is>
      </c>
      <c r="AV1147" t="inlineStr">
        <is>
          <t>21873951</t>
        </is>
      </c>
      <c r="AW1147" t="inlineStr">
        <is>
          <t>991003133399702656</t>
        </is>
      </c>
      <c r="AX1147" t="inlineStr">
        <is>
          <t>991003133399702656</t>
        </is>
      </c>
      <c r="AY1147" t="inlineStr">
        <is>
          <t>2268892410002656</t>
        </is>
      </c>
      <c r="AZ1147" t="inlineStr">
        <is>
          <t>BOOK</t>
        </is>
      </c>
      <c r="BB1147" t="inlineStr">
        <is>
          <t>9780002157292</t>
        </is>
      </c>
      <c r="BC1147" t="inlineStr">
        <is>
          <t>32285000490705</t>
        </is>
      </c>
      <c r="BD1147" t="inlineStr">
        <is>
          <t>893610757</t>
        </is>
      </c>
    </row>
    <row r="1148">
      <c r="A1148" t="inlineStr">
        <is>
          <t>No</t>
        </is>
      </c>
      <c r="B1148" t="inlineStr">
        <is>
          <t>DG420 .H5</t>
        </is>
      </c>
      <c r="C1148" t="inlineStr">
        <is>
          <t>0                      DG 0420000H  5</t>
        </is>
      </c>
      <c r="D1148" t="inlineStr">
        <is>
          <t>Picturesque Italy : architecture and landscape / by Kurt Hielscher.</t>
        </is>
      </c>
      <c r="F1148" t="inlineStr">
        <is>
          <t>No</t>
        </is>
      </c>
      <c r="G1148" t="inlineStr">
        <is>
          <t>1</t>
        </is>
      </c>
      <c r="H1148" t="inlineStr">
        <is>
          <t>No</t>
        </is>
      </c>
      <c r="I1148" t="inlineStr">
        <is>
          <t>No</t>
        </is>
      </c>
      <c r="J1148" t="inlineStr">
        <is>
          <t>0</t>
        </is>
      </c>
      <c r="K1148" t="inlineStr">
        <is>
          <t>Hielscher, Kurt, 1881-1948.</t>
        </is>
      </c>
      <c r="L1148" t="inlineStr">
        <is>
          <t>New York : Bretano's, [1925]</t>
        </is>
      </c>
      <c r="M1148" t="inlineStr">
        <is>
          <t>1925</t>
        </is>
      </c>
      <c r="O1148" t="inlineStr">
        <is>
          <t>eng</t>
        </is>
      </c>
      <c r="P1148" t="inlineStr">
        <is>
          <t>nyu</t>
        </is>
      </c>
      <c r="Q1148" t="inlineStr">
        <is>
          <t>Half-title: Orbis terrarum</t>
        </is>
      </c>
      <c r="R1148" t="inlineStr">
        <is>
          <t xml:space="preserve">DG </t>
        </is>
      </c>
      <c r="S1148" t="n">
        <v>8</v>
      </c>
      <c r="T1148" t="n">
        <v>8</v>
      </c>
      <c r="U1148" t="inlineStr">
        <is>
          <t>2002-09-18</t>
        </is>
      </c>
      <c r="V1148" t="inlineStr">
        <is>
          <t>2002-09-18</t>
        </is>
      </c>
      <c r="W1148" t="inlineStr">
        <is>
          <t>1993-12-08</t>
        </is>
      </c>
      <c r="X1148" t="inlineStr">
        <is>
          <t>1993-12-08</t>
        </is>
      </c>
      <c r="Y1148" t="n">
        <v>123</v>
      </c>
      <c r="Z1148" t="n">
        <v>118</v>
      </c>
      <c r="AA1148" t="n">
        <v>137</v>
      </c>
      <c r="AB1148" t="n">
        <v>2</v>
      </c>
      <c r="AC1148" t="n">
        <v>2</v>
      </c>
      <c r="AD1148" t="n">
        <v>4</v>
      </c>
      <c r="AE1148" t="n">
        <v>4</v>
      </c>
      <c r="AF1148" t="n">
        <v>1</v>
      </c>
      <c r="AG1148" t="n">
        <v>1</v>
      </c>
      <c r="AH1148" t="n">
        <v>2</v>
      </c>
      <c r="AI1148" t="n">
        <v>2</v>
      </c>
      <c r="AJ1148" t="n">
        <v>1</v>
      </c>
      <c r="AK1148" t="n">
        <v>1</v>
      </c>
      <c r="AL1148" t="n">
        <v>1</v>
      </c>
      <c r="AM1148" t="n">
        <v>1</v>
      </c>
      <c r="AN1148" t="n">
        <v>0</v>
      </c>
      <c r="AO1148" t="n">
        <v>0</v>
      </c>
      <c r="AP1148" t="inlineStr">
        <is>
          <t>No</t>
        </is>
      </c>
      <c r="AQ1148" t="inlineStr">
        <is>
          <t>Yes</t>
        </is>
      </c>
      <c r="AR1148">
        <f>HYPERLINK("http://catalog.hathitrust.org/Record/000351466","HathiTrust Record")</f>
        <v/>
      </c>
      <c r="AS1148">
        <f>HYPERLINK("https://creighton-primo.hosted.exlibrisgroup.com/primo-explore/search?tab=default_tab&amp;search_scope=EVERYTHING&amp;vid=01CRU&amp;lang=en_US&amp;offset=0&amp;query=any,contains,991003674429702656","Catalog Record")</f>
        <v/>
      </c>
      <c r="AT1148">
        <f>HYPERLINK("http://www.worldcat.org/oclc/1293693","WorldCat Record")</f>
        <v/>
      </c>
      <c r="AU1148" t="inlineStr">
        <is>
          <t>7398314:eng</t>
        </is>
      </c>
      <c r="AV1148" t="inlineStr">
        <is>
          <t>1293693</t>
        </is>
      </c>
      <c r="AW1148" t="inlineStr">
        <is>
          <t>991003674429702656</t>
        </is>
      </c>
      <c r="AX1148" t="inlineStr">
        <is>
          <t>991003674429702656</t>
        </is>
      </c>
      <c r="AY1148" t="inlineStr">
        <is>
          <t>2255897230002656</t>
        </is>
      </c>
      <c r="AZ1148" t="inlineStr">
        <is>
          <t>BOOK</t>
        </is>
      </c>
      <c r="BC1148" t="inlineStr">
        <is>
          <t>32285001806347</t>
        </is>
      </c>
      <c r="BD1148" t="inlineStr">
        <is>
          <t>893592752</t>
        </is>
      </c>
    </row>
    <row r="1149">
      <c r="A1149" t="inlineStr">
        <is>
          <t>No</t>
        </is>
      </c>
      <c r="B1149" t="inlineStr">
        <is>
          <t>DG420 .W55</t>
        </is>
      </c>
      <c r="C1149" t="inlineStr">
        <is>
          <t>0                      DG 0420000W  55</t>
        </is>
      </c>
      <c r="D1149" t="inlineStr">
        <is>
          <t>Italian villas and their gardens / by Edith Wharton ; illustrated with pictures by Maxfield Parrish and by photographs.</t>
        </is>
      </c>
      <c r="F1149" t="inlineStr">
        <is>
          <t>No</t>
        </is>
      </c>
      <c r="G1149" t="inlineStr">
        <is>
          <t>1</t>
        </is>
      </c>
      <c r="H1149" t="inlineStr">
        <is>
          <t>No</t>
        </is>
      </c>
      <c r="I1149" t="inlineStr">
        <is>
          <t>No</t>
        </is>
      </c>
      <c r="J1149" t="inlineStr">
        <is>
          <t>0</t>
        </is>
      </c>
      <c r="K1149" t="inlineStr">
        <is>
          <t>Wharton, Edith, 1862-1937.</t>
        </is>
      </c>
      <c r="L1149" t="inlineStr">
        <is>
          <t>New York : The Century Co., 1904.</t>
        </is>
      </c>
      <c r="M1149" t="inlineStr">
        <is>
          <t>1904</t>
        </is>
      </c>
      <c r="O1149" t="inlineStr">
        <is>
          <t>eng</t>
        </is>
      </c>
      <c r="P1149" t="inlineStr">
        <is>
          <t>nyu</t>
        </is>
      </c>
      <c r="R1149" t="inlineStr">
        <is>
          <t xml:space="preserve">DG </t>
        </is>
      </c>
      <c r="S1149" t="n">
        <v>11</v>
      </c>
      <c r="T1149" t="n">
        <v>11</v>
      </c>
      <c r="U1149" t="inlineStr">
        <is>
          <t>1997-03-20</t>
        </is>
      </c>
      <c r="V1149" t="inlineStr">
        <is>
          <t>1997-03-20</t>
        </is>
      </c>
      <c r="W1149" t="inlineStr">
        <is>
          <t>1993-12-09</t>
        </is>
      </c>
      <c r="X1149" t="inlineStr">
        <is>
          <t>1993-12-09</t>
        </is>
      </c>
      <c r="Y1149" t="n">
        <v>323</v>
      </c>
      <c r="Z1149" t="n">
        <v>299</v>
      </c>
      <c r="AA1149" t="n">
        <v>748</v>
      </c>
      <c r="AB1149" t="n">
        <v>1</v>
      </c>
      <c r="AC1149" t="n">
        <v>3</v>
      </c>
      <c r="AD1149" t="n">
        <v>11</v>
      </c>
      <c r="AE1149" t="n">
        <v>24</v>
      </c>
      <c r="AF1149" t="n">
        <v>3</v>
      </c>
      <c r="AG1149" t="n">
        <v>10</v>
      </c>
      <c r="AH1149" t="n">
        <v>4</v>
      </c>
      <c r="AI1149" t="n">
        <v>7</v>
      </c>
      <c r="AJ1149" t="n">
        <v>8</v>
      </c>
      <c r="AK1149" t="n">
        <v>15</v>
      </c>
      <c r="AL1149" t="n">
        <v>0</v>
      </c>
      <c r="AM1149" t="n">
        <v>1</v>
      </c>
      <c r="AN1149" t="n">
        <v>0</v>
      </c>
      <c r="AO1149" t="n">
        <v>0</v>
      </c>
      <c r="AP1149" t="inlineStr">
        <is>
          <t>Yes</t>
        </is>
      </c>
      <c r="AQ1149" t="inlineStr">
        <is>
          <t>No</t>
        </is>
      </c>
      <c r="AR1149">
        <f>HYPERLINK("http://catalog.hathitrust.org/Record/001506363","HathiTrust Record")</f>
        <v/>
      </c>
      <c r="AS1149">
        <f>HYPERLINK("https://creighton-primo.hosted.exlibrisgroup.com/primo-explore/search?tab=default_tab&amp;search_scope=EVERYTHING&amp;vid=01CRU&amp;lang=en_US&amp;offset=0&amp;query=any,contains,991002895689702656","Catalog Record")</f>
        <v/>
      </c>
      <c r="AT1149">
        <f>HYPERLINK("http://www.worldcat.org/oclc/514154","WorldCat Record")</f>
        <v/>
      </c>
      <c r="AU1149" t="inlineStr">
        <is>
          <t>571974:eng</t>
        </is>
      </c>
      <c r="AV1149" t="inlineStr">
        <is>
          <t>514154</t>
        </is>
      </c>
      <c r="AW1149" t="inlineStr">
        <is>
          <t>991002895689702656</t>
        </is>
      </c>
      <c r="AX1149" t="inlineStr">
        <is>
          <t>991002895689702656</t>
        </is>
      </c>
      <c r="AY1149" t="inlineStr">
        <is>
          <t>2262098270002656</t>
        </is>
      </c>
      <c r="AZ1149" t="inlineStr">
        <is>
          <t>BOOK</t>
        </is>
      </c>
      <c r="BC1149" t="inlineStr">
        <is>
          <t>32285001807444</t>
        </is>
      </c>
      <c r="BD1149" t="inlineStr">
        <is>
          <t>893329684</t>
        </is>
      </c>
    </row>
    <row r="1150">
      <c r="A1150" t="inlineStr">
        <is>
          <t>No</t>
        </is>
      </c>
      <c r="B1150" t="inlineStr">
        <is>
          <t>DG424 .Y6</t>
        </is>
      </c>
      <c r="C1150" t="inlineStr">
        <is>
          <t>0                      DG 0424000Y  6</t>
        </is>
      </c>
      <c r="D1150" t="inlineStr">
        <is>
          <t>Travels in France and Italy during the years 1787, 1788 and 1789.</t>
        </is>
      </c>
      <c r="F1150" t="inlineStr">
        <is>
          <t>No</t>
        </is>
      </c>
      <c r="G1150" t="inlineStr">
        <is>
          <t>1</t>
        </is>
      </c>
      <c r="H1150" t="inlineStr">
        <is>
          <t>No</t>
        </is>
      </c>
      <c r="I1150" t="inlineStr">
        <is>
          <t>No</t>
        </is>
      </c>
      <c r="J1150" t="inlineStr">
        <is>
          <t>0</t>
        </is>
      </c>
      <c r="K1150" t="inlineStr">
        <is>
          <t>Young, Arthur, 1741-1820.</t>
        </is>
      </c>
      <c r="L1150" t="inlineStr">
        <is>
          <t>London, Dent; New York, Dutton [1915?]</t>
        </is>
      </c>
      <c r="M1150" t="inlineStr">
        <is>
          <t>1915</t>
        </is>
      </c>
      <c r="O1150" t="inlineStr">
        <is>
          <t>eng</t>
        </is>
      </c>
      <c r="P1150" t="inlineStr">
        <is>
          <t>enk</t>
        </is>
      </c>
      <c r="R1150" t="inlineStr">
        <is>
          <t xml:space="preserve">DG </t>
        </is>
      </c>
      <c r="S1150" t="n">
        <v>4</v>
      </c>
      <c r="T1150" t="n">
        <v>4</v>
      </c>
      <c r="U1150" t="inlineStr">
        <is>
          <t>2009-10-02</t>
        </is>
      </c>
      <c r="V1150" t="inlineStr">
        <is>
          <t>2009-10-02</t>
        </is>
      </c>
      <c r="W1150" t="inlineStr">
        <is>
          <t>1996-07-03</t>
        </is>
      </c>
      <c r="X1150" t="inlineStr">
        <is>
          <t>1996-07-03</t>
        </is>
      </c>
      <c r="Y1150" t="n">
        <v>176</v>
      </c>
      <c r="Z1150" t="n">
        <v>132</v>
      </c>
      <c r="AA1150" t="n">
        <v>192</v>
      </c>
      <c r="AB1150" t="n">
        <v>2</v>
      </c>
      <c r="AC1150" t="n">
        <v>3</v>
      </c>
      <c r="AD1150" t="n">
        <v>7</v>
      </c>
      <c r="AE1150" t="n">
        <v>9</v>
      </c>
      <c r="AF1150" t="n">
        <v>2</v>
      </c>
      <c r="AG1150" t="n">
        <v>2</v>
      </c>
      <c r="AH1150" t="n">
        <v>1</v>
      </c>
      <c r="AI1150" t="n">
        <v>1</v>
      </c>
      <c r="AJ1150" t="n">
        <v>4</v>
      </c>
      <c r="AK1150" t="n">
        <v>5</v>
      </c>
      <c r="AL1150" t="n">
        <v>1</v>
      </c>
      <c r="AM1150" t="n">
        <v>2</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HYPERLINK("https://creighton-primo.hosted.exlibrisgroup.com/primo-explore/search?tab=default_tab&amp;search_scope=EVERYTHING&amp;vid=01CRU&amp;lang=en_US&amp;offset=0&amp;query=any,contains,991003881379702656","Catalog Record")</f>
        <v/>
      </c>
      <c r="AT1150">
        <f>HYPERLINK("http://www.worldcat.org/oclc/1726490","WorldCat Record")</f>
        <v/>
      </c>
      <c r="AU1150" t="inlineStr">
        <is>
          <t>3901061826:eng</t>
        </is>
      </c>
      <c r="AV1150" t="inlineStr">
        <is>
          <t>1726490</t>
        </is>
      </c>
      <c r="AW1150" t="inlineStr">
        <is>
          <t>991003881379702656</t>
        </is>
      </c>
      <c r="AX1150" t="inlineStr">
        <is>
          <t>991003881379702656</t>
        </is>
      </c>
      <c r="AY1150" t="inlineStr">
        <is>
          <t>2269221480002656</t>
        </is>
      </c>
      <c r="AZ1150" t="inlineStr">
        <is>
          <t>BOOK</t>
        </is>
      </c>
      <c r="BC1150" t="inlineStr">
        <is>
          <t>32285002206836</t>
        </is>
      </c>
      <c r="BD1150" t="inlineStr">
        <is>
          <t>893445920</t>
        </is>
      </c>
    </row>
    <row r="1151">
      <c r="A1151" t="inlineStr">
        <is>
          <t>No</t>
        </is>
      </c>
      <c r="B1151" t="inlineStr">
        <is>
          <t>DG426 .D5 1973</t>
        </is>
      </c>
      <c r="C1151" t="inlineStr">
        <is>
          <t>0                      DG 0426000D  5           1973</t>
        </is>
      </c>
      <c r="D1151" t="inlineStr">
        <is>
          <t>Pictures from Italy; with an introd. and notes by David Paroissien.</t>
        </is>
      </c>
      <c r="F1151" t="inlineStr">
        <is>
          <t>No</t>
        </is>
      </c>
      <c r="G1151" t="inlineStr">
        <is>
          <t>1</t>
        </is>
      </c>
      <c r="H1151" t="inlineStr">
        <is>
          <t>No</t>
        </is>
      </c>
      <c r="I1151" t="inlineStr">
        <is>
          <t>No</t>
        </is>
      </c>
      <c r="J1151" t="inlineStr">
        <is>
          <t>0</t>
        </is>
      </c>
      <c r="K1151" t="inlineStr">
        <is>
          <t>Dickens, Charles, 1812-1870.</t>
        </is>
      </c>
      <c r="L1151" t="inlineStr">
        <is>
          <t>[London] A. Deutsch [1973]</t>
        </is>
      </c>
      <c r="M1151" t="inlineStr">
        <is>
          <t>1973</t>
        </is>
      </c>
      <c r="O1151" t="inlineStr">
        <is>
          <t>eng</t>
        </is>
      </c>
      <c r="P1151" t="inlineStr">
        <is>
          <t>enk</t>
        </is>
      </c>
      <c r="R1151" t="inlineStr">
        <is>
          <t xml:space="preserve">DG </t>
        </is>
      </c>
      <c r="S1151" t="n">
        <v>4</v>
      </c>
      <c r="T1151" t="n">
        <v>4</v>
      </c>
      <c r="U1151" t="inlineStr">
        <is>
          <t>2007-04-17</t>
        </is>
      </c>
      <c r="V1151" t="inlineStr">
        <is>
          <t>2007-04-17</t>
        </is>
      </c>
      <c r="W1151" t="inlineStr">
        <is>
          <t>1997-02-04</t>
        </is>
      </c>
      <c r="X1151" t="inlineStr">
        <is>
          <t>1997-02-04</t>
        </is>
      </c>
      <c r="Y1151" t="n">
        <v>182</v>
      </c>
      <c r="Z1151" t="n">
        <v>53</v>
      </c>
      <c r="AA1151" t="n">
        <v>2039</v>
      </c>
      <c r="AB1151" t="n">
        <v>1</v>
      </c>
      <c r="AC1151" t="n">
        <v>22</v>
      </c>
      <c r="AD1151" t="n">
        <v>0</v>
      </c>
      <c r="AE1151" t="n">
        <v>55</v>
      </c>
      <c r="AF1151" t="n">
        <v>0</v>
      </c>
      <c r="AG1151" t="n">
        <v>19</v>
      </c>
      <c r="AH1151" t="n">
        <v>0</v>
      </c>
      <c r="AI1151" t="n">
        <v>10</v>
      </c>
      <c r="AJ1151" t="n">
        <v>0</v>
      </c>
      <c r="AK1151" t="n">
        <v>19</v>
      </c>
      <c r="AL1151" t="n">
        <v>0</v>
      </c>
      <c r="AM1151" t="n">
        <v>14</v>
      </c>
      <c r="AN1151" t="n">
        <v>0</v>
      </c>
      <c r="AO1151" t="n">
        <v>1</v>
      </c>
      <c r="AP1151" t="inlineStr">
        <is>
          <t>No</t>
        </is>
      </c>
      <c r="AQ1151" t="inlineStr">
        <is>
          <t>Yes</t>
        </is>
      </c>
      <c r="AR1151">
        <f>HYPERLINK("http://catalog.hathitrust.org/Record/009182441","HathiTrust Record")</f>
        <v/>
      </c>
      <c r="AS1151">
        <f>HYPERLINK("https://creighton-primo.hosted.exlibrisgroup.com/primo-explore/search?tab=default_tab&amp;search_scope=EVERYTHING&amp;vid=01CRU&amp;lang=en_US&amp;offset=0&amp;query=any,contains,991003280629702656","Catalog Record")</f>
        <v/>
      </c>
      <c r="AT1151">
        <f>HYPERLINK("http://www.worldcat.org/oclc/803066","WorldCat Record")</f>
        <v/>
      </c>
      <c r="AU1151" t="inlineStr">
        <is>
          <t>2790433976:eng</t>
        </is>
      </c>
      <c r="AV1151" t="inlineStr">
        <is>
          <t>803066</t>
        </is>
      </c>
      <c r="AW1151" t="inlineStr">
        <is>
          <t>991003280629702656</t>
        </is>
      </c>
      <c r="AX1151" t="inlineStr">
        <is>
          <t>991003280629702656</t>
        </is>
      </c>
      <c r="AY1151" t="inlineStr">
        <is>
          <t>2268853510002656</t>
        </is>
      </c>
      <c r="AZ1151" t="inlineStr">
        <is>
          <t>BOOK</t>
        </is>
      </c>
      <c r="BB1151" t="inlineStr">
        <is>
          <t>9780233963839</t>
        </is>
      </c>
      <c r="BC1151" t="inlineStr">
        <is>
          <t>32285002421351</t>
        </is>
      </c>
      <c r="BD1151" t="inlineStr">
        <is>
          <t>893692561</t>
        </is>
      </c>
    </row>
    <row r="1152">
      <c r="A1152" t="inlineStr">
        <is>
          <t>No</t>
        </is>
      </c>
      <c r="B1152" t="inlineStr">
        <is>
          <t>DG430 .L613 1973</t>
        </is>
      </c>
      <c r="C1152" t="inlineStr">
        <is>
          <t>0                      DG 0430000L  613         1973</t>
        </is>
      </c>
      <c r="D1152" t="inlineStr">
        <is>
          <t>Italia mia / photographs by Gina Lollobrigida ; with a foreword by Alberto Moravia.</t>
        </is>
      </c>
      <c r="F1152" t="inlineStr">
        <is>
          <t>No</t>
        </is>
      </c>
      <c r="G1152" t="inlineStr">
        <is>
          <t>1</t>
        </is>
      </c>
      <c r="H1152" t="inlineStr">
        <is>
          <t>No</t>
        </is>
      </c>
      <c r="I1152" t="inlineStr">
        <is>
          <t>No</t>
        </is>
      </c>
      <c r="J1152" t="inlineStr">
        <is>
          <t>0</t>
        </is>
      </c>
      <c r="K1152" t="inlineStr">
        <is>
          <t>Lollobrigida, Gina, 1928-</t>
        </is>
      </c>
      <c r="L1152" t="inlineStr">
        <is>
          <t>Garden City, N.Y., : Amphoto, [1973]</t>
        </is>
      </c>
      <c r="M1152" t="inlineStr">
        <is>
          <t>1973</t>
        </is>
      </c>
      <c r="O1152" t="inlineStr">
        <is>
          <t>eng</t>
        </is>
      </c>
      <c r="P1152" t="inlineStr">
        <is>
          <t>nyu</t>
        </is>
      </c>
      <c r="R1152" t="inlineStr">
        <is>
          <t xml:space="preserve">DG </t>
        </is>
      </c>
      <c r="S1152" t="n">
        <v>1</v>
      </c>
      <c r="T1152" t="n">
        <v>1</v>
      </c>
      <c r="U1152" t="inlineStr">
        <is>
          <t>1995-12-13</t>
        </is>
      </c>
      <c r="V1152" t="inlineStr">
        <is>
          <t>1995-12-13</t>
        </is>
      </c>
      <c r="W1152" t="inlineStr">
        <is>
          <t>1991-08-28</t>
        </is>
      </c>
      <c r="X1152" t="inlineStr">
        <is>
          <t>1991-08-28</t>
        </is>
      </c>
      <c r="Y1152" t="n">
        <v>68</v>
      </c>
      <c r="Z1152" t="n">
        <v>58</v>
      </c>
      <c r="AA1152" t="n">
        <v>96</v>
      </c>
      <c r="AB1152" t="n">
        <v>1</v>
      </c>
      <c r="AC1152" t="n">
        <v>1</v>
      </c>
      <c r="AD1152" t="n">
        <v>0</v>
      </c>
      <c r="AE1152" t="n">
        <v>2</v>
      </c>
      <c r="AF1152" t="n">
        <v>0</v>
      </c>
      <c r="AG1152" t="n">
        <v>1</v>
      </c>
      <c r="AH1152" t="n">
        <v>0</v>
      </c>
      <c r="AI1152" t="n">
        <v>0</v>
      </c>
      <c r="AJ1152" t="n">
        <v>0</v>
      </c>
      <c r="AK1152" t="n">
        <v>2</v>
      </c>
      <c r="AL1152" t="n">
        <v>0</v>
      </c>
      <c r="AM1152" t="n">
        <v>0</v>
      </c>
      <c r="AN1152" t="n">
        <v>0</v>
      </c>
      <c r="AO1152" t="n">
        <v>0</v>
      </c>
      <c r="AP1152" t="inlineStr">
        <is>
          <t>No</t>
        </is>
      </c>
      <c r="AQ1152" t="inlineStr">
        <is>
          <t>Yes</t>
        </is>
      </c>
      <c r="AR1152">
        <f>HYPERLINK("http://catalog.hathitrust.org/Record/102056195","HathiTrust Record")</f>
        <v/>
      </c>
      <c r="AS1152">
        <f>HYPERLINK("https://creighton-primo.hosted.exlibrisgroup.com/primo-explore/search?tab=default_tab&amp;search_scope=EVERYTHING&amp;vid=01CRU&amp;lang=en_US&amp;offset=0&amp;query=any,contains,991003676569702656","Catalog Record")</f>
        <v/>
      </c>
      <c r="AT1152">
        <f>HYPERLINK("http://www.worldcat.org/oclc/1298227","WorldCat Record")</f>
        <v/>
      </c>
      <c r="AU1152" t="inlineStr">
        <is>
          <t>1633378:eng</t>
        </is>
      </c>
      <c r="AV1152" t="inlineStr">
        <is>
          <t>1298227</t>
        </is>
      </c>
      <c r="AW1152" t="inlineStr">
        <is>
          <t>991003676569702656</t>
        </is>
      </c>
      <c r="AX1152" t="inlineStr">
        <is>
          <t>991003676569702656</t>
        </is>
      </c>
      <c r="AY1152" t="inlineStr">
        <is>
          <t>2263884900002656</t>
        </is>
      </c>
      <c r="AZ1152" t="inlineStr">
        <is>
          <t>BOOK</t>
        </is>
      </c>
      <c r="BC1152" t="inlineStr">
        <is>
          <t>32285000740398</t>
        </is>
      </c>
      <c r="BD1152" t="inlineStr">
        <is>
          <t>893598838</t>
        </is>
      </c>
    </row>
    <row r="1153">
      <c r="A1153" t="inlineStr">
        <is>
          <t>No</t>
        </is>
      </c>
      <c r="B1153" t="inlineStr">
        <is>
          <t>DG430.2 .J66 2004</t>
        </is>
      </c>
      <c r="C1153" t="inlineStr">
        <is>
          <t>0                      DG 0430200J  66          2004</t>
        </is>
      </c>
      <c r="D1153" t="inlineStr">
        <is>
          <t>The dark heart of Italy / Tobias Jones.</t>
        </is>
      </c>
      <c r="F1153" t="inlineStr">
        <is>
          <t>No</t>
        </is>
      </c>
      <c r="G1153" t="inlineStr">
        <is>
          <t>1</t>
        </is>
      </c>
      <c r="H1153" t="inlineStr">
        <is>
          <t>No</t>
        </is>
      </c>
      <c r="I1153" t="inlineStr">
        <is>
          <t>No</t>
        </is>
      </c>
      <c r="J1153" t="inlineStr">
        <is>
          <t>0</t>
        </is>
      </c>
      <c r="K1153" t="inlineStr">
        <is>
          <t>Jones, Tobias.</t>
        </is>
      </c>
      <c r="L1153" t="inlineStr">
        <is>
          <t>New York : North Point Press, 2004.</t>
        </is>
      </c>
      <c r="M1153" t="inlineStr">
        <is>
          <t>2004</t>
        </is>
      </c>
      <c r="N1153" t="inlineStr">
        <is>
          <t>1st American ed.</t>
        </is>
      </c>
      <c r="O1153" t="inlineStr">
        <is>
          <t>eng</t>
        </is>
      </c>
      <c r="P1153" t="inlineStr">
        <is>
          <t>nyu</t>
        </is>
      </c>
      <c r="R1153" t="inlineStr">
        <is>
          <t xml:space="preserve">DG </t>
        </is>
      </c>
      <c r="S1153" t="n">
        <v>5</v>
      </c>
      <c r="T1153" t="n">
        <v>5</v>
      </c>
      <c r="U1153" t="inlineStr">
        <is>
          <t>2010-03-05</t>
        </is>
      </c>
      <c r="V1153" t="inlineStr">
        <is>
          <t>2010-03-05</t>
        </is>
      </c>
      <c r="W1153" t="inlineStr">
        <is>
          <t>2004-06-23</t>
        </is>
      </c>
      <c r="X1153" t="inlineStr">
        <is>
          <t>2004-06-23</t>
        </is>
      </c>
      <c r="Y1153" t="n">
        <v>593</v>
      </c>
      <c r="Z1153" t="n">
        <v>570</v>
      </c>
      <c r="AA1153" t="n">
        <v>686</v>
      </c>
      <c r="AB1153" t="n">
        <v>2</v>
      </c>
      <c r="AC1153" t="n">
        <v>2</v>
      </c>
      <c r="AD1153" t="n">
        <v>12</v>
      </c>
      <c r="AE1153" t="n">
        <v>16</v>
      </c>
      <c r="AF1153" t="n">
        <v>5</v>
      </c>
      <c r="AG1153" t="n">
        <v>6</v>
      </c>
      <c r="AH1153" t="n">
        <v>2</v>
      </c>
      <c r="AI1153" t="n">
        <v>4</v>
      </c>
      <c r="AJ1153" t="n">
        <v>6</v>
      </c>
      <c r="AK1153" t="n">
        <v>9</v>
      </c>
      <c r="AL1153" t="n">
        <v>1</v>
      </c>
      <c r="AM1153" t="n">
        <v>1</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HYPERLINK("https://creighton-primo.hosted.exlibrisgroup.com/primo-explore/search?tab=default_tab&amp;search_scope=EVERYTHING&amp;vid=01CRU&amp;lang=en_US&amp;offset=0&amp;query=any,contains,991004289429702656","Catalog Record")</f>
        <v/>
      </c>
      <c r="AT1153">
        <f>HYPERLINK("http://www.worldcat.org/oclc/53360588","WorldCat Record")</f>
        <v/>
      </c>
      <c r="AU1153" t="inlineStr">
        <is>
          <t>1030026:eng</t>
        </is>
      </c>
      <c r="AV1153" t="inlineStr">
        <is>
          <t>53360588</t>
        </is>
      </c>
      <c r="AW1153" t="inlineStr">
        <is>
          <t>991004289429702656</t>
        </is>
      </c>
      <c r="AX1153" t="inlineStr">
        <is>
          <t>991004289429702656</t>
        </is>
      </c>
      <c r="AY1153" t="inlineStr">
        <is>
          <t>2266385890002656</t>
        </is>
      </c>
      <c r="AZ1153" t="inlineStr">
        <is>
          <t>BOOK</t>
        </is>
      </c>
      <c r="BB1153" t="inlineStr">
        <is>
          <t>9780865477001</t>
        </is>
      </c>
      <c r="BC1153" t="inlineStr">
        <is>
          <t>32285004920731</t>
        </is>
      </c>
      <c r="BD1153" t="inlineStr">
        <is>
          <t>893775856</t>
        </is>
      </c>
    </row>
    <row r="1154">
      <c r="A1154" t="inlineStr">
        <is>
          <t>No</t>
        </is>
      </c>
      <c r="B1154" t="inlineStr">
        <is>
          <t>DG430.2 .K67 2002</t>
        </is>
      </c>
      <c r="C1154" t="inlineStr">
        <is>
          <t>0                      DG 0430200K  67          2002</t>
        </is>
      </c>
      <c r="D1154" t="inlineStr">
        <is>
          <t>Hidden Rome / by Frank J. Korn.</t>
        </is>
      </c>
      <c r="F1154" t="inlineStr">
        <is>
          <t>No</t>
        </is>
      </c>
      <c r="G1154" t="inlineStr">
        <is>
          <t>1</t>
        </is>
      </c>
      <c r="H1154" t="inlineStr">
        <is>
          <t>No</t>
        </is>
      </c>
      <c r="I1154" t="inlineStr">
        <is>
          <t>No</t>
        </is>
      </c>
      <c r="J1154" t="inlineStr">
        <is>
          <t>0</t>
        </is>
      </c>
      <c r="K1154" t="inlineStr">
        <is>
          <t>Korn, Frank J.</t>
        </is>
      </c>
      <c r="L1154" t="inlineStr">
        <is>
          <t>Mahwah, N.J. : Paulist Press, c2002.</t>
        </is>
      </c>
      <c r="M1154" t="inlineStr">
        <is>
          <t>2002</t>
        </is>
      </c>
      <c r="O1154" t="inlineStr">
        <is>
          <t>eng</t>
        </is>
      </c>
      <c r="P1154" t="inlineStr">
        <is>
          <t>nju</t>
        </is>
      </c>
      <c r="R1154" t="inlineStr">
        <is>
          <t xml:space="preserve">DG </t>
        </is>
      </c>
      <c r="S1154" t="n">
        <v>11</v>
      </c>
      <c r="T1154" t="n">
        <v>11</v>
      </c>
      <c r="U1154" t="inlineStr">
        <is>
          <t>2008-03-29</t>
        </is>
      </c>
      <c r="V1154" t="inlineStr">
        <is>
          <t>2008-03-29</t>
        </is>
      </c>
      <c r="W1154" t="inlineStr">
        <is>
          <t>2002-12-12</t>
        </is>
      </c>
      <c r="X1154" t="inlineStr">
        <is>
          <t>2002-12-12</t>
        </is>
      </c>
      <c r="Y1154" t="n">
        <v>72</v>
      </c>
      <c r="Z1154" t="n">
        <v>69</v>
      </c>
      <c r="AA1154" t="n">
        <v>72</v>
      </c>
      <c r="AB1154" t="n">
        <v>1</v>
      </c>
      <c r="AC1154" t="n">
        <v>1</v>
      </c>
      <c r="AD1154" t="n">
        <v>3</v>
      </c>
      <c r="AE1154" t="n">
        <v>3</v>
      </c>
      <c r="AF1154" t="n">
        <v>2</v>
      </c>
      <c r="AG1154" t="n">
        <v>2</v>
      </c>
      <c r="AH1154" t="n">
        <v>1</v>
      </c>
      <c r="AI1154" t="n">
        <v>1</v>
      </c>
      <c r="AJ1154" t="n">
        <v>2</v>
      </c>
      <c r="AK1154" t="n">
        <v>2</v>
      </c>
      <c r="AL1154" t="n">
        <v>0</v>
      </c>
      <c r="AM1154" t="n">
        <v>0</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HYPERLINK("https://creighton-primo.hosted.exlibrisgroup.com/primo-explore/search?tab=default_tab&amp;search_scope=EVERYTHING&amp;vid=01CRU&amp;lang=en_US&amp;offset=0&amp;query=any,contains,991003938719702656","Catalog Record")</f>
        <v/>
      </c>
      <c r="AT1154">
        <f>HYPERLINK("http://www.worldcat.org/oclc/49844305","WorldCat Record")</f>
        <v/>
      </c>
      <c r="AU1154" t="inlineStr">
        <is>
          <t>1006841:eng</t>
        </is>
      </c>
      <c r="AV1154" t="inlineStr">
        <is>
          <t>49844305</t>
        </is>
      </c>
      <c r="AW1154" t="inlineStr">
        <is>
          <t>991003938719702656</t>
        </is>
      </c>
      <c r="AX1154" t="inlineStr">
        <is>
          <t>991003938719702656</t>
        </is>
      </c>
      <c r="AY1154" t="inlineStr">
        <is>
          <t>2254782080002656</t>
        </is>
      </c>
      <c r="AZ1154" t="inlineStr">
        <is>
          <t>BOOK</t>
        </is>
      </c>
      <c r="BB1154" t="inlineStr">
        <is>
          <t>9780809141098</t>
        </is>
      </c>
      <c r="BC1154" t="inlineStr">
        <is>
          <t>32285004691027</t>
        </is>
      </c>
      <c r="BD1154" t="inlineStr">
        <is>
          <t>893593087</t>
        </is>
      </c>
    </row>
    <row r="1155">
      <c r="A1155" t="inlineStr">
        <is>
          <t>No</t>
        </is>
      </c>
      <c r="B1155" t="inlineStr">
        <is>
          <t>DG431 .M3</t>
        </is>
      </c>
      <c r="C1155" t="inlineStr">
        <is>
          <t>0                      DG 0431000M  3</t>
        </is>
      </c>
      <c r="D1155" t="inlineStr">
        <is>
          <t>The mute stones speak; the story of archaeology in Italy.</t>
        </is>
      </c>
      <c r="F1155" t="inlineStr">
        <is>
          <t>No</t>
        </is>
      </c>
      <c r="G1155" t="inlineStr">
        <is>
          <t>1</t>
        </is>
      </c>
      <c r="H1155" t="inlineStr">
        <is>
          <t>No</t>
        </is>
      </c>
      <c r="I1155" t="inlineStr">
        <is>
          <t>No</t>
        </is>
      </c>
      <c r="J1155" t="inlineStr">
        <is>
          <t>0</t>
        </is>
      </c>
      <c r="K1155" t="inlineStr">
        <is>
          <t>MacKendrick, Paul Lachlan, 1914-1998.</t>
        </is>
      </c>
      <c r="L1155" t="inlineStr">
        <is>
          <t>New York, St. Martin's Press [1960]</t>
        </is>
      </c>
      <c r="M1155" t="inlineStr">
        <is>
          <t>1960</t>
        </is>
      </c>
      <c r="O1155" t="inlineStr">
        <is>
          <t>eng</t>
        </is>
      </c>
      <c r="P1155" t="inlineStr">
        <is>
          <t>nyu</t>
        </is>
      </c>
      <c r="R1155" t="inlineStr">
        <is>
          <t xml:space="preserve">DG </t>
        </is>
      </c>
      <c r="S1155" t="n">
        <v>1</v>
      </c>
      <c r="T1155" t="n">
        <v>1</v>
      </c>
      <c r="U1155" t="inlineStr">
        <is>
          <t>1998-06-19</t>
        </is>
      </c>
      <c r="V1155" t="inlineStr">
        <is>
          <t>1998-06-19</t>
        </is>
      </c>
      <c r="W1155" t="inlineStr">
        <is>
          <t>1997-02-04</t>
        </is>
      </c>
      <c r="X1155" t="inlineStr">
        <is>
          <t>1997-02-04</t>
        </is>
      </c>
      <c r="Y1155" t="n">
        <v>1141</v>
      </c>
      <c r="Z1155" t="n">
        <v>1057</v>
      </c>
      <c r="AA1155" t="n">
        <v>1316</v>
      </c>
      <c r="AB1155" t="n">
        <v>10</v>
      </c>
      <c r="AC1155" t="n">
        <v>12</v>
      </c>
      <c r="AD1155" t="n">
        <v>40</v>
      </c>
      <c r="AE1155" t="n">
        <v>51</v>
      </c>
      <c r="AF1155" t="n">
        <v>12</v>
      </c>
      <c r="AG1155" t="n">
        <v>18</v>
      </c>
      <c r="AH1155" t="n">
        <v>5</v>
      </c>
      <c r="AI1155" t="n">
        <v>9</v>
      </c>
      <c r="AJ1155" t="n">
        <v>21</v>
      </c>
      <c r="AK1155" t="n">
        <v>25</v>
      </c>
      <c r="AL1155" t="n">
        <v>9</v>
      </c>
      <c r="AM1155" t="n">
        <v>10</v>
      </c>
      <c r="AN1155" t="n">
        <v>0</v>
      </c>
      <c r="AO1155" t="n">
        <v>0</v>
      </c>
      <c r="AP1155" t="inlineStr">
        <is>
          <t>Yes</t>
        </is>
      </c>
      <c r="AQ1155" t="inlineStr">
        <is>
          <t>No</t>
        </is>
      </c>
      <c r="AR1155">
        <f>HYPERLINK("http://catalog.hathitrust.org/Record/000350887","HathiTrust Record")</f>
        <v/>
      </c>
      <c r="AS1155">
        <f>HYPERLINK("https://creighton-primo.hosted.exlibrisgroup.com/primo-explore/search?tab=default_tab&amp;search_scope=EVERYTHING&amp;vid=01CRU&amp;lang=en_US&amp;offset=0&amp;query=any,contains,991003427129702656","Catalog Record")</f>
        <v/>
      </c>
      <c r="AT1155">
        <f>HYPERLINK("http://www.worldcat.org/oclc/964800","WorldCat Record")</f>
        <v/>
      </c>
      <c r="AU1155" t="inlineStr">
        <is>
          <t>432971285:eng</t>
        </is>
      </c>
      <c r="AV1155" t="inlineStr">
        <is>
          <t>964800</t>
        </is>
      </c>
      <c r="AW1155" t="inlineStr">
        <is>
          <t>991003427129702656</t>
        </is>
      </c>
      <c r="AX1155" t="inlineStr">
        <is>
          <t>991003427129702656</t>
        </is>
      </c>
      <c r="AY1155" t="inlineStr">
        <is>
          <t>2261697810002656</t>
        </is>
      </c>
      <c r="AZ1155" t="inlineStr">
        <is>
          <t>BOOK</t>
        </is>
      </c>
      <c r="BC1155" t="inlineStr">
        <is>
          <t>32285002421419</t>
        </is>
      </c>
      <c r="BD1155" t="inlineStr">
        <is>
          <t>893623465</t>
        </is>
      </c>
    </row>
    <row r="1156">
      <c r="A1156" t="inlineStr">
        <is>
          <t>No</t>
        </is>
      </c>
      <c r="B1156" t="inlineStr">
        <is>
          <t>DG441 .I84 1999</t>
        </is>
      </c>
      <c r="C1156" t="inlineStr">
        <is>
          <t>0                      DG 0441000I  84          1999</t>
        </is>
      </c>
      <c r="D1156" t="inlineStr">
        <is>
          <t>L'Italia, oggi : musica, cinema, moda, costume e varia umanità di un paese non più antico / a cura di Roberto Fedi, Laura Lepri.</t>
        </is>
      </c>
      <c r="F1156" t="inlineStr">
        <is>
          <t>No</t>
        </is>
      </c>
      <c r="G1156" t="inlineStr">
        <is>
          <t>1</t>
        </is>
      </c>
      <c r="H1156" t="inlineStr">
        <is>
          <t>No</t>
        </is>
      </c>
      <c r="I1156" t="inlineStr">
        <is>
          <t>No</t>
        </is>
      </c>
      <c r="J1156" t="inlineStr">
        <is>
          <t>0</t>
        </is>
      </c>
      <c r="L1156" t="inlineStr">
        <is>
          <t>Perugia : Guerra edizione, c1999.</t>
        </is>
      </c>
      <c r="M1156" t="inlineStr">
        <is>
          <t>1999</t>
        </is>
      </c>
      <c r="O1156" t="inlineStr">
        <is>
          <t>ita</t>
        </is>
      </c>
      <c r="P1156" t="inlineStr">
        <is>
          <t xml:space="preserve">it </t>
        </is>
      </c>
      <c r="Q1156" t="inlineStr">
        <is>
          <t>Costumi italiani ; 1</t>
        </is>
      </c>
      <c r="R1156" t="inlineStr">
        <is>
          <t xml:space="preserve">DG </t>
        </is>
      </c>
      <c r="S1156" t="n">
        <v>13</v>
      </c>
      <c r="T1156" t="n">
        <v>13</v>
      </c>
      <c r="U1156" t="inlineStr">
        <is>
          <t>2010-03-08</t>
        </is>
      </c>
      <c r="V1156" t="inlineStr">
        <is>
          <t>2010-03-08</t>
        </is>
      </c>
      <c r="W1156" t="inlineStr">
        <is>
          <t>2007-03-13</t>
        </is>
      </c>
      <c r="X1156" t="inlineStr">
        <is>
          <t>2007-03-13</t>
        </is>
      </c>
      <c r="Y1156" t="n">
        <v>26</v>
      </c>
      <c r="Z1156" t="n">
        <v>10</v>
      </c>
      <c r="AA1156" t="n">
        <v>12</v>
      </c>
      <c r="AB1156" t="n">
        <v>1</v>
      </c>
      <c r="AC1156" t="n">
        <v>1</v>
      </c>
      <c r="AD1156" t="n">
        <v>1</v>
      </c>
      <c r="AE1156" t="n">
        <v>1</v>
      </c>
      <c r="AF1156" t="n">
        <v>1</v>
      </c>
      <c r="AG1156" t="n">
        <v>1</v>
      </c>
      <c r="AH1156" t="n">
        <v>0</v>
      </c>
      <c r="AI1156" t="n">
        <v>0</v>
      </c>
      <c r="AJ1156" t="n">
        <v>0</v>
      </c>
      <c r="AK1156" t="n">
        <v>0</v>
      </c>
      <c r="AL1156" t="n">
        <v>0</v>
      </c>
      <c r="AM1156" t="n">
        <v>0</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HYPERLINK("https://creighton-primo.hosted.exlibrisgroup.com/primo-explore/search?tab=default_tab&amp;search_scope=EVERYTHING&amp;vid=01CRU&amp;lang=en_US&amp;offset=0&amp;query=any,contains,991005029769702656","Catalog Record")</f>
        <v/>
      </c>
      <c r="AT1156">
        <f>HYPERLINK("http://www.worldcat.org/oclc/43082861","WorldCat Record")</f>
        <v/>
      </c>
      <c r="AU1156" t="inlineStr">
        <is>
          <t>366403396:ita</t>
        </is>
      </c>
      <c r="AV1156" t="inlineStr">
        <is>
          <t>43082861</t>
        </is>
      </c>
      <c r="AW1156" t="inlineStr">
        <is>
          <t>991005029769702656</t>
        </is>
      </c>
      <c r="AX1156" t="inlineStr">
        <is>
          <t>991005029769702656</t>
        </is>
      </c>
      <c r="AY1156" t="inlineStr">
        <is>
          <t>2264601460002656</t>
        </is>
      </c>
      <c r="AZ1156" t="inlineStr">
        <is>
          <t>BOOK</t>
        </is>
      </c>
      <c r="BB1156" t="inlineStr">
        <is>
          <t>9788877153050</t>
        </is>
      </c>
      <c r="BC1156" t="inlineStr">
        <is>
          <t>32285005281166</t>
        </is>
      </c>
      <c r="BD1156" t="inlineStr">
        <is>
          <t>893782923</t>
        </is>
      </c>
    </row>
    <row r="1157">
      <c r="A1157" t="inlineStr">
        <is>
          <t>No</t>
        </is>
      </c>
      <c r="B1157" t="inlineStr">
        <is>
          <t>DG441 .L674 2009</t>
        </is>
      </c>
      <c r="C1157" t="inlineStr">
        <is>
          <t>0                      DG 0441000L  674         2009</t>
        </is>
      </c>
      <c r="D1157" t="inlineStr">
        <is>
          <t>Italia : civiltá e cultura / Paola Lorenzi, Luisetta Chomel.</t>
        </is>
      </c>
      <c r="F1157" t="inlineStr">
        <is>
          <t>No</t>
        </is>
      </c>
      <c r="G1157" t="inlineStr">
        <is>
          <t>1</t>
        </is>
      </c>
      <c r="H1157" t="inlineStr">
        <is>
          <t>No</t>
        </is>
      </c>
      <c r="I1157" t="inlineStr">
        <is>
          <t>No</t>
        </is>
      </c>
      <c r="J1157" t="inlineStr">
        <is>
          <t>0</t>
        </is>
      </c>
      <c r="K1157" t="inlineStr">
        <is>
          <t>Lorenzi, Paola.</t>
        </is>
      </c>
      <c r="L1157" t="inlineStr">
        <is>
          <t>Lanham, Md. : University Press of America, c2009.</t>
        </is>
      </c>
      <c r="M1157" t="inlineStr">
        <is>
          <t>2009</t>
        </is>
      </c>
      <c r="O1157" t="inlineStr">
        <is>
          <t>ita</t>
        </is>
      </c>
      <c r="P1157" t="inlineStr">
        <is>
          <t>mdu</t>
        </is>
      </c>
      <c r="R1157" t="inlineStr">
        <is>
          <t xml:space="preserve">DG </t>
        </is>
      </c>
      <c r="S1157" t="n">
        <v>2</v>
      </c>
      <c r="T1157" t="n">
        <v>2</v>
      </c>
      <c r="U1157" t="inlineStr">
        <is>
          <t>2010-03-30</t>
        </is>
      </c>
      <c r="V1157" t="inlineStr">
        <is>
          <t>2010-03-30</t>
        </is>
      </c>
      <c r="W1157" t="inlineStr">
        <is>
          <t>2010-03-25</t>
        </is>
      </c>
      <c r="X1157" t="inlineStr">
        <is>
          <t>2010-03-25</t>
        </is>
      </c>
      <c r="Y1157" t="n">
        <v>16</v>
      </c>
      <c r="Z1157" t="n">
        <v>15</v>
      </c>
      <c r="AA1157" t="n">
        <v>15</v>
      </c>
      <c r="AB1157" t="n">
        <v>1</v>
      </c>
      <c r="AC1157" t="n">
        <v>1</v>
      </c>
      <c r="AD1157" t="n">
        <v>0</v>
      </c>
      <c r="AE1157" t="n">
        <v>0</v>
      </c>
      <c r="AF1157" t="n">
        <v>0</v>
      </c>
      <c r="AG1157" t="n">
        <v>0</v>
      </c>
      <c r="AH1157" t="n">
        <v>0</v>
      </c>
      <c r="AI1157" t="n">
        <v>0</v>
      </c>
      <c r="AJ1157" t="n">
        <v>0</v>
      </c>
      <c r="AK1157" t="n">
        <v>0</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HYPERLINK("https://creighton-primo.hosted.exlibrisgroup.com/primo-explore/search?tab=default_tab&amp;search_scope=EVERYTHING&amp;vid=01CRU&amp;lang=en_US&amp;offset=0&amp;query=any,contains,991005374589702656","Catalog Record")</f>
        <v/>
      </c>
      <c r="AT1157">
        <f>HYPERLINK("http://www.worldcat.org/oclc/256932431","WorldCat Record")</f>
        <v/>
      </c>
      <c r="AU1157" t="inlineStr">
        <is>
          <t>800935339:ita</t>
        </is>
      </c>
      <c r="AV1157" t="inlineStr">
        <is>
          <t>256932431</t>
        </is>
      </c>
      <c r="AW1157" t="inlineStr">
        <is>
          <t>991005374589702656</t>
        </is>
      </c>
      <c r="AX1157" t="inlineStr">
        <is>
          <t>991005374589702656</t>
        </is>
      </c>
      <c r="AY1157" t="inlineStr">
        <is>
          <t>2263952920002656</t>
        </is>
      </c>
      <c r="AZ1157" t="inlineStr">
        <is>
          <t>BOOK</t>
        </is>
      </c>
      <c r="BB1157" t="inlineStr">
        <is>
          <t>9780761841579</t>
        </is>
      </c>
      <c r="BC1157" t="inlineStr">
        <is>
          <t>32285005579601</t>
        </is>
      </c>
      <c r="BD1157" t="inlineStr">
        <is>
          <t>893320540</t>
        </is>
      </c>
    </row>
    <row r="1158">
      <c r="A1158" t="inlineStr">
        <is>
          <t>No</t>
        </is>
      </c>
      <c r="B1158" t="inlineStr">
        <is>
          <t>DG442 .A347 1998</t>
        </is>
      </c>
      <c r="C1158" t="inlineStr">
        <is>
          <t>0                      DG 0442000A  347         1998</t>
        </is>
      </c>
      <c r="D1158" t="inlineStr">
        <is>
          <t>ItaliAfrica : bridging continents and cultures / edited by Sante Matteo.</t>
        </is>
      </c>
      <c r="F1158" t="inlineStr">
        <is>
          <t>No</t>
        </is>
      </c>
      <c r="G1158" t="inlineStr">
        <is>
          <t>1</t>
        </is>
      </c>
      <c r="H1158" t="inlineStr">
        <is>
          <t>No</t>
        </is>
      </c>
      <c r="I1158" t="inlineStr">
        <is>
          <t>No</t>
        </is>
      </c>
      <c r="J1158" t="inlineStr">
        <is>
          <t>0</t>
        </is>
      </c>
      <c r="K1158" t="inlineStr">
        <is>
          <t>Africa Italy: An Interdisciplinary International Symposium (1998 : Miami, Fla.)</t>
        </is>
      </c>
      <c r="L1158" t="inlineStr">
        <is>
          <t>Stoney Brook, NY : Forum Italicum, c2001.</t>
        </is>
      </c>
      <c r="M1158" t="inlineStr">
        <is>
          <t>2001</t>
        </is>
      </c>
      <c r="O1158" t="inlineStr">
        <is>
          <t>eng</t>
        </is>
      </c>
      <c r="P1158" t="inlineStr">
        <is>
          <t>nyu</t>
        </is>
      </c>
      <c r="Q1158" t="inlineStr">
        <is>
          <t>Forum Italicum. Filibrary series ; no. 22</t>
        </is>
      </c>
      <c r="R1158" t="inlineStr">
        <is>
          <t xml:space="preserve">DG </t>
        </is>
      </c>
      <c r="S1158" t="n">
        <v>7</v>
      </c>
      <c r="T1158" t="n">
        <v>7</v>
      </c>
      <c r="U1158" t="inlineStr">
        <is>
          <t>2010-09-17</t>
        </is>
      </c>
      <c r="V1158" t="inlineStr">
        <is>
          <t>2010-09-17</t>
        </is>
      </c>
      <c r="W1158" t="inlineStr">
        <is>
          <t>2008-08-12</t>
        </is>
      </c>
      <c r="X1158" t="inlineStr">
        <is>
          <t>2008-08-12</t>
        </is>
      </c>
      <c r="Y1158" t="n">
        <v>193</v>
      </c>
      <c r="Z1158" t="n">
        <v>147</v>
      </c>
      <c r="AA1158" t="n">
        <v>150</v>
      </c>
      <c r="AB1158" t="n">
        <v>2</v>
      </c>
      <c r="AC1158" t="n">
        <v>2</v>
      </c>
      <c r="AD1158" t="n">
        <v>14</v>
      </c>
      <c r="AE1158" t="n">
        <v>15</v>
      </c>
      <c r="AF1158" t="n">
        <v>5</v>
      </c>
      <c r="AG1158" t="n">
        <v>5</v>
      </c>
      <c r="AH1158" t="n">
        <v>5</v>
      </c>
      <c r="AI1158" t="n">
        <v>5</v>
      </c>
      <c r="AJ1158" t="n">
        <v>8</v>
      </c>
      <c r="AK1158" t="n">
        <v>9</v>
      </c>
      <c r="AL1158" t="n">
        <v>1</v>
      </c>
      <c r="AM1158" t="n">
        <v>1</v>
      </c>
      <c r="AN1158" t="n">
        <v>0</v>
      </c>
      <c r="AO1158" t="n">
        <v>0</v>
      </c>
      <c r="AP1158" t="inlineStr">
        <is>
          <t>No</t>
        </is>
      </c>
      <c r="AQ1158" t="inlineStr">
        <is>
          <t>Yes</t>
        </is>
      </c>
      <c r="AR1158">
        <f>HYPERLINK("http://catalog.hathitrust.org/Record/003618699","HathiTrust Record")</f>
        <v/>
      </c>
      <c r="AS1158">
        <f>HYPERLINK("https://creighton-primo.hosted.exlibrisgroup.com/primo-explore/search?tab=default_tab&amp;search_scope=EVERYTHING&amp;vid=01CRU&amp;lang=en_US&amp;offset=0&amp;query=any,contains,991005256599702656","Catalog Record")</f>
        <v/>
      </c>
      <c r="AT1158">
        <f>HYPERLINK("http://www.worldcat.org/oclc/48768582","WorldCat Record")</f>
        <v/>
      </c>
      <c r="AU1158" t="inlineStr">
        <is>
          <t>366912398:eng</t>
        </is>
      </c>
      <c r="AV1158" t="inlineStr">
        <is>
          <t>48768582</t>
        </is>
      </c>
      <c r="AW1158" t="inlineStr">
        <is>
          <t>991005256599702656</t>
        </is>
      </c>
      <c r="AX1158" t="inlineStr">
        <is>
          <t>991005256599702656</t>
        </is>
      </c>
      <c r="AY1158" t="inlineStr">
        <is>
          <t>2255402170002656</t>
        </is>
      </c>
      <c r="AZ1158" t="inlineStr">
        <is>
          <t>BOOK</t>
        </is>
      </c>
      <c r="BB1158" t="inlineStr">
        <is>
          <t>9781893127227</t>
        </is>
      </c>
      <c r="BC1158" t="inlineStr">
        <is>
          <t>32285005453617</t>
        </is>
      </c>
      <c r="BD1158" t="inlineStr">
        <is>
          <t>893437411</t>
        </is>
      </c>
    </row>
    <row r="1159">
      <c r="A1159" t="inlineStr">
        <is>
          <t>No</t>
        </is>
      </c>
      <c r="B1159" t="inlineStr">
        <is>
          <t>DG442 .B295 2004</t>
        </is>
      </c>
      <c r="C1159" t="inlineStr">
        <is>
          <t>0                      DG 0442000B  295         2004</t>
        </is>
      </c>
      <c r="D1159" t="inlineStr">
        <is>
          <t>Il bisogno di patria / Walter Barberis.</t>
        </is>
      </c>
      <c r="F1159" t="inlineStr">
        <is>
          <t>No</t>
        </is>
      </c>
      <c r="G1159" t="inlineStr">
        <is>
          <t>1</t>
        </is>
      </c>
      <c r="H1159" t="inlineStr">
        <is>
          <t>No</t>
        </is>
      </c>
      <c r="I1159" t="inlineStr">
        <is>
          <t>No</t>
        </is>
      </c>
      <c r="J1159" t="inlineStr">
        <is>
          <t>0</t>
        </is>
      </c>
      <c r="K1159" t="inlineStr">
        <is>
          <t>Barberis, Walter, 1950-</t>
        </is>
      </c>
      <c r="L1159" t="inlineStr">
        <is>
          <t>Torino : G. Einaudi, c2004.</t>
        </is>
      </c>
      <c r="M1159" t="inlineStr">
        <is>
          <t>2004</t>
        </is>
      </c>
      <c r="N1159" t="inlineStr">
        <is>
          <t>1. ed.</t>
        </is>
      </c>
      <c r="O1159" t="inlineStr">
        <is>
          <t>ita</t>
        </is>
      </c>
      <c r="P1159" t="inlineStr">
        <is>
          <t xml:space="preserve">it </t>
        </is>
      </c>
      <c r="Q1159" t="inlineStr">
        <is>
          <t>Vele ; 9</t>
        </is>
      </c>
      <c r="R1159" t="inlineStr">
        <is>
          <t xml:space="preserve">DG </t>
        </is>
      </c>
      <c r="S1159" t="n">
        <v>6</v>
      </c>
      <c r="T1159" t="n">
        <v>6</v>
      </c>
      <c r="U1159" t="inlineStr">
        <is>
          <t>2010-03-08</t>
        </is>
      </c>
      <c r="V1159" t="inlineStr">
        <is>
          <t>2010-03-08</t>
        </is>
      </c>
      <c r="W1159" t="inlineStr">
        <is>
          <t>2009-01-27</t>
        </is>
      </c>
      <c r="X1159" t="inlineStr">
        <is>
          <t>2009-01-27</t>
        </is>
      </c>
      <c r="Y1159" t="n">
        <v>14</v>
      </c>
      <c r="Z1159" t="n">
        <v>7</v>
      </c>
      <c r="AA1159" t="n">
        <v>7</v>
      </c>
      <c r="AB1159" t="n">
        <v>1</v>
      </c>
      <c r="AC1159" t="n">
        <v>1</v>
      </c>
      <c r="AD1159" t="n">
        <v>0</v>
      </c>
      <c r="AE1159" t="n">
        <v>0</v>
      </c>
      <c r="AF1159" t="n">
        <v>0</v>
      </c>
      <c r="AG1159" t="n">
        <v>0</v>
      </c>
      <c r="AH1159" t="n">
        <v>0</v>
      </c>
      <c r="AI1159" t="n">
        <v>0</v>
      </c>
      <c r="AJ1159" t="n">
        <v>0</v>
      </c>
      <c r="AK1159" t="n">
        <v>0</v>
      </c>
      <c r="AL1159" t="n">
        <v>0</v>
      </c>
      <c r="AM1159" t="n">
        <v>0</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HYPERLINK("https://creighton-primo.hosted.exlibrisgroup.com/primo-explore/search?tab=default_tab&amp;search_scope=EVERYTHING&amp;vid=01CRU&amp;lang=en_US&amp;offset=0&amp;query=any,contains,991005260249702656","Catalog Record")</f>
        <v/>
      </c>
      <c r="AT1159">
        <f>HYPERLINK("http://www.worldcat.org/oclc/55516225","WorldCat Record")</f>
        <v/>
      </c>
      <c r="AU1159" t="inlineStr">
        <is>
          <t>367045726:ita</t>
        </is>
      </c>
      <c r="AV1159" t="inlineStr">
        <is>
          <t>55516225</t>
        </is>
      </c>
      <c r="AW1159" t="inlineStr">
        <is>
          <t>991005260249702656</t>
        </is>
      </c>
      <c r="AX1159" t="inlineStr">
        <is>
          <t>991005260249702656</t>
        </is>
      </c>
      <c r="AY1159" t="inlineStr">
        <is>
          <t>2266957550002656</t>
        </is>
      </c>
      <c r="AZ1159" t="inlineStr">
        <is>
          <t>BOOK</t>
        </is>
      </c>
      <c r="BB1159" t="inlineStr">
        <is>
          <t>9788806169404</t>
        </is>
      </c>
      <c r="BC1159" t="inlineStr">
        <is>
          <t>32285005500524</t>
        </is>
      </c>
      <c r="BD1159" t="inlineStr">
        <is>
          <t>893254734</t>
        </is>
      </c>
    </row>
    <row r="1160">
      <c r="A1160" t="inlineStr">
        <is>
          <t>No</t>
        </is>
      </c>
      <c r="B1160" t="inlineStr">
        <is>
          <t>DG442 .B45 2005</t>
        </is>
      </c>
      <c r="C1160" t="inlineStr">
        <is>
          <t>0                      DG 0442000B  45          2005</t>
        </is>
      </c>
      <c r="D1160" t="inlineStr">
        <is>
          <t>Benvenuti in Italia : viaggio nella storia, geografia, cultura e vita italiana / [di] Marcello Silvestrini ... [et al.].</t>
        </is>
      </c>
      <c r="E1160" t="inlineStr">
        <is>
          <t>V. 2</t>
        </is>
      </c>
      <c r="F1160" t="inlineStr">
        <is>
          <t>Yes</t>
        </is>
      </c>
      <c r="G1160" t="inlineStr">
        <is>
          <t>1</t>
        </is>
      </c>
      <c r="H1160" t="inlineStr">
        <is>
          <t>No</t>
        </is>
      </c>
      <c r="I1160" t="inlineStr">
        <is>
          <t>No</t>
        </is>
      </c>
      <c r="J1160" t="inlineStr">
        <is>
          <t>0</t>
        </is>
      </c>
      <c r="L1160" t="inlineStr">
        <is>
          <t>Perugia : Guerra, 2005.</t>
        </is>
      </c>
      <c r="M1160" t="inlineStr">
        <is>
          <t>2005</t>
        </is>
      </c>
      <c r="N1160" t="inlineStr">
        <is>
          <t>1. ed.</t>
        </is>
      </c>
      <c r="O1160" t="inlineStr">
        <is>
          <t>ita</t>
        </is>
      </c>
      <c r="P1160" t="inlineStr">
        <is>
          <t xml:space="preserve">it </t>
        </is>
      </c>
      <c r="R1160" t="inlineStr">
        <is>
          <t xml:space="preserve">DG </t>
        </is>
      </c>
      <c r="S1160" t="n">
        <v>10</v>
      </c>
      <c r="T1160" t="n">
        <v>20</v>
      </c>
      <c r="U1160" t="inlineStr">
        <is>
          <t>2008-10-02</t>
        </is>
      </c>
      <c r="V1160" t="inlineStr">
        <is>
          <t>2008-10-02</t>
        </is>
      </c>
      <c r="W1160" t="inlineStr">
        <is>
          <t>2006-05-31</t>
        </is>
      </c>
      <c r="X1160" t="inlineStr">
        <is>
          <t>2006-05-31</t>
        </is>
      </c>
      <c r="Y1160" t="n">
        <v>20</v>
      </c>
      <c r="Z1160" t="n">
        <v>12</v>
      </c>
      <c r="AA1160" t="n">
        <v>13</v>
      </c>
      <c r="AB1160" t="n">
        <v>1</v>
      </c>
      <c r="AC1160" t="n">
        <v>1</v>
      </c>
      <c r="AD1160" t="n">
        <v>1</v>
      </c>
      <c r="AE1160" t="n">
        <v>1</v>
      </c>
      <c r="AF1160" t="n">
        <v>1</v>
      </c>
      <c r="AG1160" t="n">
        <v>1</v>
      </c>
      <c r="AH1160" t="n">
        <v>1</v>
      </c>
      <c r="AI1160" t="n">
        <v>1</v>
      </c>
      <c r="AJ1160" t="n">
        <v>0</v>
      </c>
      <c r="AK1160" t="n">
        <v>0</v>
      </c>
      <c r="AL1160" t="n">
        <v>0</v>
      </c>
      <c r="AM1160" t="n">
        <v>0</v>
      </c>
      <c r="AN1160" t="n">
        <v>0</v>
      </c>
      <c r="AO1160" t="n">
        <v>0</v>
      </c>
      <c r="AP1160" t="inlineStr">
        <is>
          <t>No</t>
        </is>
      </c>
      <c r="AQ1160" t="inlineStr">
        <is>
          <t>Yes</t>
        </is>
      </c>
      <c r="AR1160">
        <f>HYPERLINK("http://catalog.hathitrust.org/Record/102445421","HathiTrust Record")</f>
        <v/>
      </c>
      <c r="AS1160">
        <f>HYPERLINK("https://creighton-primo.hosted.exlibrisgroup.com/primo-explore/search?tab=default_tab&amp;search_scope=EVERYTHING&amp;vid=01CRU&amp;lang=en_US&amp;offset=0&amp;query=any,contains,991004726539702656","Catalog Record")</f>
        <v/>
      </c>
      <c r="AT1160">
        <f>HYPERLINK("http://www.worldcat.org/oclc/62723768","WorldCat Record")</f>
        <v/>
      </c>
      <c r="AU1160" t="inlineStr">
        <is>
          <t>2869462741:ita</t>
        </is>
      </c>
      <c r="AV1160" t="inlineStr">
        <is>
          <t>62723768</t>
        </is>
      </c>
      <c r="AW1160" t="inlineStr">
        <is>
          <t>991004726539702656</t>
        </is>
      </c>
      <c r="AX1160" t="inlineStr">
        <is>
          <t>991004726539702656</t>
        </is>
      </c>
      <c r="AY1160" t="inlineStr">
        <is>
          <t>2261779530002656</t>
        </is>
      </c>
      <c r="AZ1160" t="inlineStr">
        <is>
          <t>BOOK</t>
        </is>
      </c>
      <c r="BB1160" t="inlineStr">
        <is>
          <t>9788877156433</t>
        </is>
      </c>
      <c r="BC1160" t="inlineStr">
        <is>
          <t>32285005064588</t>
        </is>
      </c>
      <c r="BD1160" t="inlineStr">
        <is>
          <t>893882862</t>
        </is>
      </c>
    </row>
    <row r="1161">
      <c r="A1161" t="inlineStr">
        <is>
          <t>No</t>
        </is>
      </c>
      <c r="B1161" t="inlineStr">
        <is>
          <t>DG442 .B45 2005</t>
        </is>
      </c>
      <c r="C1161" t="inlineStr">
        <is>
          <t>0                      DG 0442000B  45          2005</t>
        </is>
      </c>
      <c r="D1161" t="inlineStr">
        <is>
          <t>Benvenuti in Italia : viaggio nella storia, geografia, cultura e vita italiana / [di] Marcello Silvestrini ... [et al.].</t>
        </is>
      </c>
      <c r="E1161" t="inlineStr">
        <is>
          <t>V. 1</t>
        </is>
      </c>
      <c r="F1161" t="inlineStr">
        <is>
          <t>Yes</t>
        </is>
      </c>
      <c r="G1161" t="inlineStr">
        <is>
          <t>1</t>
        </is>
      </c>
      <c r="H1161" t="inlineStr">
        <is>
          <t>No</t>
        </is>
      </c>
      <c r="I1161" t="inlineStr">
        <is>
          <t>No</t>
        </is>
      </c>
      <c r="J1161" t="inlineStr">
        <is>
          <t>0</t>
        </is>
      </c>
      <c r="L1161" t="inlineStr">
        <is>
          <t>Perugia : Guerra, 2005.</t>
        </is>
      </c>
      <c r="M1161" t="inlineStr">
        <is>
          <t>2005</t>
        </is>
      </c>
      <c r="N1161" t="inlineStr">
        <is>
          <t>1. ed.</t>
        </is>
      </c>
      <c r="O1161" t="inlineStr">
        <is>
          <t>ita</t>
        </is>
      </c>
      <c r="P1161" t="inlineStr">
        <is>
          <t xml:space="preserve">it </t>
        </is>
      </c>
      <c r="R1161" t="inlineStr">
        <is>
          <t xml:space="preserve">DG </t>
        </is>
      </c>
      <c r="S1161" t="n">
        <v>10</v>
      </c>
      <c r="T1161" t="n">
        <v>20</v>
      </c>
      <c r="U1161" t="inlineStr">
        <is>
          <t>2008-10-02</t>
        </is>
      </c>
      <c r="V1161" t="inlineStr">
        <is>
          <t>2008-10-02</t>
        </is>
      </c>
      <c r="W1161" t="inlineStr">
        <is>
          <t>2006-05-15</t>
        </is>
      </c>
      <c r="X1161" t="inlineStr">
        <is>
          <t>2006-05-31</t>
        </is>
      </c>
      <c r="Y1161" t="n">
        <v>20</v>
      </c>
      <c r="Z1161" t="n">
        <v>12</v>
      </c>
      <c r="AA1161" t="n">
        <v>13</v>
      </c>
      <c r="AB1161" t="n">
        <v>1</v>
      </c>
      <c r="AC1161" t="n">
        <v>1</v>
      </c>
      <c r="AD1161" t="n">
        <v>1</v>
      </c>
      <c r="AE1161" t="n">
        <v>1</v>
      </c>
      <c r="AF1161" t="n">
        <v>1</v>
      </c>
      <c r="AG1161" t="n">
        <v>1</v>
      </c>
      <c r="AH1161" t="n">
        <v>1</v>
      </c>
      <c r="AI1161" t="n">
        <v>1</v>
      </c>
      <c r="AJ1161" t="n">
        <v>0</v>
      </c>
      <c r="AK1161" t="n">
        <v>0</v>
      </c>
      <c r="AL1161" t="n">
        <v>0</v>
      </c>
      <c r="AM1161" t="n">
        <v>0</v>
      </c>
      <c r="AN1161" t="n">
        <v>0</v>
      </c>
      <c r="AO1161" t="n">
        <v>0</v>
      </c>
      <c r="AP1161" t="inlineStr">
        <is>
          <t>No</t>
        </is>
      </c>
      <c r="AQ1161" t="inlineStr">
        <is>
          <t>Yes</t>
        </is>
      </c>
      <c r="AR1161">
        <f>HYPERLINK("http://catalog.hathitrust.org/Record/102445421","HathiTrust Record")</f>
        <v/>
      </c>
      <c r="AS1161">
        <f>HYPERLINK("https://creighton-primo.hosted.exlibrisgroup.com/primo-explore/search?tab=default_tab&amp;search_scope=EVERYTHING&amp;vid=01CRU&amp;lang=en_US&amp;offset=0&amp;query=any,contains,991004726539702656","Catalog Record")</f>
        <v/>
      </c>
      <c r="AT1161">
        <f>HYPERLINK("http://www.worldcat.org/oclc/62723768","WorldCat Record")</f>
        <v/>
      </c>
      <c r="AU1161" t="inlineStr">
        <is>
          <t>2869462741:ita</t>
        </is>
      </c>
      <c r="AV1161" t="inlineStr">
        <is>
          <t>62723768</t>
        </is>
      </c>
      <c r="AW1161" t="inlineStr">
        <is>
          <t>991004726539702656</t>
        </is>
      </c>
      <c r="AX1161" t="inlineStr">
        <is>
          <t>991004726539702656</t>
        </is>
      </c>
      <c r="AY1161" t="inlineStr">
        <is>
          <t>2261779530002656</t>
        </is>
      </c>
      <c r="AZ1161" t="inlineStr">
        <is>
          <t>BOOK</t>
        </is>
      </c>
      <c r="BB1161" t="inlineStr">
        <is>
          <t>9788877156433</t>
        </is>
      </c>
      <c r="BC1161" t="inlineStr">
        <is>
          <t>32285005187157</t>
        </is>
      </c>
      <c r="BD1161" t="inlineStr">
        <is>
          <t>893901686</t>
        </is>
      </c>
    </row>
    <row r="1162">
      <c r="A1162" t="inlineStr">
        <is>
          <t>No</t>
        </is>
      </c>
      <c r="B1162" t="inlineStr">
        <is>
          <t>DG445 .A45</t>
        </is>
      </c>
      <c r="C1162" t="inlineStr">
        <is>
          <t>0                      DG 0445000A  45</t>
        </is>
      </c>
      <c r="D1162" t="inlineStr">
        <is>
          <t>Lions and foxes: men and ideas of the Italian Renaissance.</t>
        </is>
      </c>
      <c r="F1162" t="inlineStr">
        <is>
          <t>No</t>
        </is>
      </c>
      <c r="G1162" t="inlineStr">
        <is>
          <t>1</t>
        </is>
      </c>
      <c r="H1162" t="inlineStr">
        <is>
          <t>No</t>
        </is>
      </c>
      <c r="I1162" t="inlineStr">
        <is>
          <t>No</t>
        </is>
      </c>
      <c r="J1162" t="inlineStr">
        <is>
          <t>0</t>
        </is>
      </c>
      <c r="K1162" t="inlineStr">
        <is>
          <t>Alexander, Sidney, 1912-1999.</t>
        </is>
      </c>
      <c r="L1162" t="inlineStr">
        <is>
          <t>New York, Macmillan [1974]</t>
        </is>
      </c>
      <c r="M1162" t="inlineStr">
        <is>
          <t>1974</t>
        </is>
      </c>
      <c r="O1162" t="inlineStr">
        <is>
          <t>eng</t>
        </is>
      </c>
      <c r="P1162" t="inlineStr">
        <is>
          <t>nyu</t>
        </is>
      </c>
      <c r="R1162" t="inlineStr">
        <is>
          <t xml:space="preserve">DG </t>
        </is>
      </c>
      <c r="S1162" t="n">
        <v>4</v>
      </c>
      <c r="T1162" t="n">
        <v>4</v>
      </c>
      <c r="U1162" t="inlineStr">
        <is>
          <t>2000-03-22</t>
        </is>
      </c>
      <c r="V1162" t="inlineStr">
        <is>
          <t>2000-03-22</t>
        </is>
      </c>
      <c r="W1162" t="inlineStr">
        <is>
          <t>1997-02-04</t>
        </is>
      </c>
      <c r="X1162" t="inlineStr">
        <is>
          <t>1997-02-04</t>
        </is>
      </c>
      <c r="Y1162" t="n">
        <v>711</v>
      </c>
      <c r="Z1162" t="n">
        <v>660</v>
      </c>
      <c r="AA1162" t="n">
        <v>884</v>
      </c>
      <c r="AB1162" t="n">
        <v>4</v>
      </c>
      <c r="AC1162" t="n">
        <v>6</v>
      </c>
      <c r="AD1162" t="n">
        <v>22</v>
      </c>
      <c r="AE1162" t="n">
        <v>33</v>
      </c>
      <c r="AF1162" t="n">
        <v>7</v>
      </c>
      <c r="AG1162" t="n">
        <v>11</v>
      </c>
      <c r="AH1162" t="n">
        <v>7</v>
      </c>
      <c r="AI1162" t="n">
        <v>7</v>
      </c>
      <c r="AJ1162" t="n">
        <v>12</v>
      </c>
      <c r="AK1162" t="n">
        <v>18</v>
      </c>
      <c r="AL1162" t="n">
        <v>2</v>
      </c>
      <c r="AM1162" t="n">
        <v>4</v>
      </c>
      <c r="AN1162" t="n">
        <v>0</v>
      </c>
      <c r="AO1162" t="n">
        <v>0</v>
      </c>
      <c r="AP1162" t="inlineStr">
        <is>
          <t>No</t>
        </is>
      </c>
      <c r="AQ1162" t="inlineStr">
        <is>
          <t>Yes</t>
        </is>
      </c>
      <c r="AR1162">
        <f>HYPERLINK("http://catalog.hathitrust.org/Record/000013854","HathiTrust Record")</f>
        <v/>
      </c>
      <c r="AS1162">
        <f>HYPERLINK("https://creighton-primo.hosted.exlibrisgroup.com/primo-explore/search?tab=default_tab&amp;search_scope=EVERYTHING&amp;vid=01CRU&amp;lang=en_US&amp;offset=0&amp;query=any,contains,991003353849702656","Catalog Record")</f>
        <v/>
      </c>
      <c r="AT1162">
        <f>HYPERLINK("http://www.worldcat.org/oclc/886445","WorldCat Record")</f>
        <v/>
      </c>
      <c r="AU1162" t="inlineStr">
        <is>
          <t>293113746:eng</t>
        </is>
      </c>
      <c r="AV1162" t="inlineStr">
        <is>
          <t>886445</t>
        </is>
      </c>
      <c r="AW1162" t="inlineStr">
        <is>
          <t>991003353849702656</t>
        </is>
      </c>
      <c r="AX1162" t="inlineStr">
        <is>
          <t>991003353849702656</t>
        </is>
      </c>
      <c r="AY1162" t="inlineStr">
        <is>
          <t>2257883930002656</t>
        </is>
      </c>
      <c r="AZ1162" t="inlineStr">
        <is>
          <t>BOOK</t>
        </is>
      </c>
      <c r="BB1162" t="inlineStr">
        <is>
          <t>9780025007901</t>
        </is>
      </c>
      <c r="BC1162" t="inlineStr">
        <is>
          <t>32285002421427</t>
        </is>
      </c>
      <c r="BD1162" t="inlineStr">
        <is>
          <t>893721915</t>
        </is>
      </c>
    </row>
    <row r="1163">
      <c r="A1163" t="inlineStr">
        <is>
          <t>No</t>
        </is>
      </c>
      <c r="B1163" t="inlineStr">
        <is>
          <t>DG445 .B813 1981</t>
        </is>
      </c>
      <c r="C1163" t="inlineStr">
        <is>
          <t>0                      DG 0445000B  813         1981</t>
        </is>
      </c>
      <c r="D1163" t="inlineStr">
        <is>
          <t>The civilization of the Renaissance in Italy : an essay / Jacob Burckhardt.</t>
        </is>
      </c>
      <c r="F1163" t="inlineStr">
        <is>
          <t>No</t>
        </is>
      </c>
      <c r="G1163" t="inlineStr">
        <is>
          <t>1</t>
        </is>
      </c>
      <c r="H1163" t="inlineStr">
        <is>
          <t>No</t>
        </is>
      </c>
      <c r="I1163" t="inlineStr">
        <is>
          <t>No</t>
        </is>
      </c>
      <c r="J1163" t="inlineStr">
        <is>
          <t>0</t>
        </is>
      </c>
      <c r="K1163" t="inlineStr">
        <is>
          <t>Burckhardt, Jacob, 1818-1897.</t>
        </is>
      </c>
      <c r="L1163" t="inlineStr">
        <is>
          <t>Oxford : Phaidon, 1981.</t>
        </is>
      </c>
      <c r="M1163" t="inlineStr">
        <is>
          <t>1981</t>
        </is>
      </c>
      <c r="N1163" t="inlineStr">
        <is>
          <t>2nd ed.</t>
        </is>
      </c>
      <c r="O1163" t="inlineStr">
        <is>
          <t>eng</t>
        </is>
      </c>
      <c r="P1163" t="inlineStr">
        <is>
          <t>enk</t>
        </is>
      </c>
      <c r="Q1163" t="inlineStr">
        <is>
          <t>Landmarks in art history</t>
        </is>
      </c>
      <c r="R1163" t="inlineStr">
        <is>
          <t xml:space="preserve">DG </t>
        </is>
      </c>
      <c r="S1163" t="n">
        <v>16</v>
      </c>
      <c r="T1163" t="n">
        <v>16</v>
      </c>
      <c r="U1163" t="inlineStr">
        <is>
          <t>2009-07-21</t>
        </is>
      </c>
      <c r="V1163" t="inlineStr">
        <is>
          <t>2009-07-21</t>
        </is>
      </c>
      <c r="W1163" t="inlineStr">
        <is>
          <t>1991-04-10</t>
        </is>
      </c>
      <c r="X1163" t="inlineStr">
        <is>
          <t>1991-04-10</t>
        </is>
      </c>
      <c r="Y1163" t="n">
        <v>107</v>
      </c>
      <c r="Z1163" t="n">
        <v>54</v>
      </c>
      <c r="AA1163" t="n">
        <v>1398</v>
      </c>
      <c r="AB1163" t="n">
        <v>1</v>
      </c>
      <c r="AC1163" t="n">
        <v>11</v>
      </c>
      <c r="AD1163" t="n">
        <v>1</v>
      </c>
      <c r="AE1163" t="n">
        <v>40</v>
      </c>
      <c r="AF1163" t="n">
        <v>1</v>
      </c>
      <c r="AG1163" t="n">
        <v>15</v>
      </c>
      <c r="AH1163" t="n">
        <v>0</v>
      </c>
      <c r="AI1163" t="n">
        <v>7</v>
      </c>
      <c r="AJ1163" t="n">
        <v>0</v>
      </c>
      <c r="AK1163" t="n">
        <v>20</v>
      </c>
      <c r="AL1163" t="n">
        <v>0</v>
      </c>
      <c r="AM1163" t="n">
        <v>8</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HYPERLINK("https://creighton-primo.hosted.exlibrisgroup.com/primo-explore/search?tab=default_tab&amp;search_scope=EVERYTHING&amp;vid=01CRU&amp;lang=en_US&amp;offset=0&amp;query=any,contains,991005252839702656","Catalog Record")</f>
        <v/>
      </c>
      <c r="AT1163">
        <f>HYPERLINK("http://www.worldcat.org/oclc/8499348","WorldCat Record")</f>
        <v/>
      </c>
      <c r="AU1163" t="inlineStr">
        <is>
          <t>4915242792:eng</t>
        </is>
      </c>
      <c r="AV1163" t="inlineStr">
        <is>
          <t>8499348</t>
        </is>
      </c>
      <c r="AW1163" t="inlineStr">
        <is>
          <t>991005252839702656</t>
        </is>
      </c>
      <c r="AX1163" t="inlineStr">
        <is>
          <t>991005252839702656</t>
        </is>
      </c>
      <c r="AY1163" t="inlineStr">
        <is>
          <t>2264009440002656</t>
        </is>
      </c>
      <c r="AZ1163" t="inlineStr">
        <is>
          <t>BOOK</t>
        </is>
      </c>
      <c r="BB1163" t="inlineStr">
        <is>
          <t>9780714821405</t>
        </is>
      </c>
      <c r="BC1163" t="inlineStr">
        <is>
          <t>32285000521962</t>
        </is>
      </c>
      <c r="BD1163" t="inlineStr">
        <is>
          <t>893707534</t>
        </is>
      </c>
    </row>
    <row r="1164">
      <c r="A1164" t="inlineStr">
        <is>
          <t>No</t>
        </is>
      </c>
      <c r="B1164" t="inlineStr">
        <is>
          <t>DG445 .B83 1972b</t>
        </is>
      </c>
      <c r="C1164" t="inlineStr">
        <is>
          <t>0                      DG 0445000B  83          1972b</t>
        </is>
      </c>
      <c r="D1164" t="inlineStr">
        <is>
          <t>Culture and society in Renaissance Italy, 1420-1540.</t>
        </is>
      </c>
      <c r="F1164" t="inlineStr">
        <is>
          <t>No</t>
        </is>
      </c>
      <c r="G1164" t="inlineStr">
        <is>
          <t>1</t>
        </is>
      </c>
      <c r="H1164" t="inlineStr">
        <is>
          <t>No</t>
        </is>
      </c>
      <c r="I1164" t="inlineStr">
        <is>
          <t>No</t>
        </is>
      </c>
      <c r="J1164" t="inlineStr">
        <is>
          <t>0</t>
        </is>
      </c>
      <c r="K1164" t="inlineStr">
        <is>
          <t>Burke, Peter, 1937-</t>
        </is>
      </c>
      <c r="L1164" t="inlineStr">
        <is>
          <t>New York : Scribner, [1972]</t>
        </is>
      </c>
      <c r="M1164" t="inlineStr">
        <is>
          <t>1972</t>
        </is>
      </c>
      <c r="O1164" t="inlineStr">
        <is>
          <t>eng</t>
        </is>
      </c>
      <c r="P1164" t="inlineStr">
        <is>
          <t>nyu</t>
        </is>
      </c>
      <c r="Q1164" t="inlineStr">
        <is>
          <t>Studies in cultural history</t>
        </is>
      </c>
      <c r="R1164" t="inlineStr">
        <is>
          <t xml:space="preserve">DG </t>
        </is>
      </c>
      <c r="S1164" t="n">
        <v>12</v>
      </c>
      <c r="T1164" t="n">
        <v>12</v>
      </c>
      <c r="U1164" t="inlineStr">
        <is>
          <t>2006-03-28</t>
        </is>
      </c>
      <c r="V1164" t="inlineStr">
        <is>
          <t>2006-03-28</t>
        </is>
      </c>
      <c r="W1164" t="inlineStr">
        <is>
          <t>1991-04-10</t>
        </is>
      </c>
      <c r="X1164" t="inlineStr">
        <is>
          <t>1991-04-10</t>
        </is>
      </c>
      <c r="Y1164" t="n">
        <v>658</v>
      </c>
      <c r="Z1164" t="n">
        <v>626</v>
      </c>
      <c r="AA1164" t="n">
        <v>715</v>
      </c>
      <c r="AB1164" t="n">
        <v>6</v>
      </c>
      <c r="AC1164" t="n">
        <v>6</v>
      </c>
      <c r="AD1164" t="n">
        <v>23</v>
      </c>
      <c r="AE1164" t="n">
        <v>27</v>
      </c>
      <c r="AF1164" t="n">
        <v>9</v>
      </c>
      <c r="AG1164" t="n">
        <v>10</v>
      </c>
      <c r="AH1164" t="n">
        <v>5</v>
      </c>
      <c r="AI1164" t="n">
        <v>6</v>
      </c>
      <c r="AJ1164" t="n">
        <v>9</v>
      </c>
      <c r="AK1164" t="n">
        <v>12</v>
      </c>
      <c r="AL1164" t="n">
        <v>5</v>
      </c>
      <c r="AM1164" t="n">
        <v>5</v>
      </c>
      <c r="AN1164" t="n">
        <v>0</v>
      </c>
      <c r="AO1164" t="n">
        <v>0</v>
      </c>
      <c r="AP1164" t="inlineStr">
        <is>
          <t>No</t>
        </is>
      </c>
      <c r="AQ1164" t="inlineStr">
        <is>
          <t>Yes</t>
        </is>
      </c>
      <c r="AR1164">
        <f>HYPERLINK("http://catalog.hathitrust.org/Record/000011432","HathiTrust Record")</f>
        <v/>
      </c>
      <c r="AS1164">
        <f>HYPERLINK("https://creighton-primo.hosted.exlibrisgroup.com/primo-explore/search?tab=default_tab&amp;search_scope=EVERYTHING&amp;vid=01CRU&amp;lang=en_US&amp;offset=0&amp;query=any,contains,991002644449702656","Catalog Record")</f>
        <v/>
      </c>
      <c r="AT1164">
        <f>HYPERLINK("http://www.worldcat.org/oclc/385387","WorldCat Record")</f>
        <v/>
      </c>
      <c r="AU1164" t="inlineStr">
        <is>
          <t>1500689:eng</t>
        </is>
      </c>
      <c r="AV1164" t="inlineStr">
        <is>
          <t>385387</t>
        </is>
      </c>
      <c r="AW1164" t="inlineStr">
        <is>
          <t>991002644449702656</t>
        </is>
      </c>
      <c r="AX1164" t="inlineStr">
        <is>
          <t>991002644449702656</t>
        </is>
      </c>
      <c r="AY1164" t="inlineStr">
        <is>
          <t>2258880510002656</t>
        </is>
      </c>
      <c r="AZ1164" t="inlineStr">
        <is>
          <t>BOOK</t>
        </is>
      </c>
      <c r="BB1164" t="inlineStr">
        <is>
          <t>9780684125763</t>
        </is>
      </c>
      <c r="BC1164" t="inlineStr">
        <is>
          <t>32285000580497</t>
        </is>
      </c>
      <c r="BD1164" t="inlineStr">
        <is>
          <t>893716712</t>
        </is>
      </c>
    </row>
    <row r="1165">
      <c r="A1165" t="inlineStr">
        <is>
          <t>No</t>
        </is>
      </c>
      <c r="B1165" t="inlineStr">
        <is>
          <t>DG445 .C38 2004</t>
        </is>
      </c>
      <c r="C1165" t="inlineStr">
        <is>
          <t>0                      DG 0445000C  38          2004</t>
        </is>
      </c>
      <c r="D1165" t="inlineStr">
        <is>
          <t>The lost Italian Renaissance : humanists, historians, and Latin's legacy / Christopher S. Celenza.</t>
        </is>
      </c>
      <c r="F1165" t="inlineStr">
        <is>
          <t>No</t>
        </is>
      </c>
      <c r="G1165" t="inlineStr">
        <is>
          <t>1</t>
        </is>
      </c>
      <c r="H1165" t="inlineStr">
        <is>
          <t>No</t>
        </is>
      </c>
      <c r="I1165" t="inlineStr">
        <is>
          <t>No</t>
        </is>
      </c>
      <c r="J1165" t="inlineStr">
        <is>
          <t>0</t>
        </is>
      </c>
      <c r="K1165" t="inlineStr">
        <is>
          <t>Celenza, Christopher S., 1967-</t>
        </is>
      </c>
      <c r="L1165" t="inlineStr">
        <is>
          <t>Baltimore : Johns Hopkins University Press, c2004.</t>
        </is>
      </c>
      <c r="M1165" t="inlineStr">
        <is>
          <t>2004</t>
        </is>
      </c>
      <c r="O1165" t="inlineStr">
        <is>
          <t>eng</t>
        </is>
      </c>
      <c r="P1165" t="inlineStr">
        <is>
          <t>mdu</t>
        </is>
      </c>
      <c r="R1165" t="inlineStr">
        <is>
          <t xml:space="preserve">DG </t>
        </is>
      </c>
      <c r="S1165" t="n">
        <v>4</v>
      </c>
      <c r="T1165" t="n">
        <v>4</v>
      </c>
      <c r="U1165" t="inlineStr">
        <is>
          <t>2008-01-30</t>
        </is>
      </c>
      <c r="V1165" t="inlineStr">
        <is>
          <t>2008-01-30</t>
        </is>
      </c>
      <c r="W1165" t="inlineStr">
        <is>
          <t>2005-05-09</t>
        </is>
      </c>
      <c r="X1165" t="inlineStr">
        <is>
          <t>2005-05-09</t>
        </is>
      </c>
      <c r="Y1165" t="n">
        <v>556</v>
      </c>
      <c r="Z1165" t="n">
        <v>461</v>
      </c>
      <c r="AA1165" t="n">
        <v>612</v>
      </c>
      <c r="AB1165" t="n">
        <v>6</v>
      </c>
      <c r="AC1165" t="n">
        <v>8</v>
      </c>
      <c r="AD1165" t="n">
        <v>33</v>
      </c>
      <c r="AE1165" t="n">
        <v>43</v>
      </c>
      <c r="AF1165" t="n">
        <v>16</v>
      </c>
      <c r="AG1165" t="n">
        <v>20</v>
      </c>
      <c r="AH1165" t="n">
        <v>8</v>
      </c>
      <c r="AI1165" t="n">
        <v>11</v>
      </c>
      <c r="AJ1165" t="n">
        <v>14</v>
      </c>
      <c r="AK1165" t="n">
        <v>19</v>
      </c>
      <c r="AL1165" t="n">
        <v>5</v>
      </c>
      <c r="AM1165" t="n">
        <v>7</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HYPERLINK("https://creighton-primo.hosted.exlibrisgroup.com/primo-explore/search?tab=default_tab&amp;search_scope=EVERYTHING&amp;vid=01CRU&amp;lang=en_US&amp;offset=0&amp;query=any,contains,991004471209702656","Catalog Record")</f>
        <v/>
      </c>
      <c r="AT1165">
        <f>HYPERLINK("http://www.worldcat.org/oclc/52429573","WorldCat Record")</f>
        <v/>
      </c>
      <c r="AU1165" t="inlineStr">
        <is>
          <t>892079321:eng</t>
        </is>
      </c>
      <c r="AV1165" t="inlineStr">
        <is>
          <t>52429573</t>
        </is>
      </c>
      <c r="AW1165" t="inlineStr">
        <is>
          <t>991004471209702656</t>
        </is>
      </c>
      <c r="AX1165" t="inlineStr">
        <is>
          <t>991004471209702656</t>
        </is>
      </c>
      <c r="AY1165" t="inlineStr">
        <is>
          <t>2261435700002656</t>
        </is>
      </c>
      <c r="AZ1165" t="inlineStr">
        <is>
          <t>BOOK</t>
        </is>
      </c>
      <c r="BB1165" t="inlineStr">
        <is>
          <t>9780801878152</t>
        </is>
      </c>
      <c r="BC1165" t="inlineStr">
        <is>
          <t>32285005036412</t>
        </is>
      </c>
      <c r="BD1165" t="inlineStr">
        <is>
          <t>893519690</t>
        </is>
      </c>
    </row>
    <row r="1166">
      <c r="A1166" t="inlineStr">
        <is>
          <t>No</t>
        </is>
      </c>
      <c r="B1166" t="inlineStr">
        <is>
          <t>DG445 .C46 1982</t>
        </is>
      </c>
      <c r="C1166" t="inlineStr">
        <is>
          <t>0                      DG 0445000C  46          1982</t>
        </is>
      </c>
      <c r="D1166" t="inlineStr">
        <is>
          <t>The world of the Italian Renaissance / E.R. Chamberlin.</t>
        </is>
      </c>
      <c r="F1166" t="inlineStr">
        <is>
          <t>No</t>
        </is>
      </c>
      <c r="G1166" t="inlineStr">
        <is>
          <t>1</t>
        </is>
      </c>
      <c r="H1166" t="inlineStr">
        <is>
          <t>No</t>
        </is>
      </c>
      <c r="I1166" t="inlineStr">
        <is>
          <t>No</t>
        </is>
      </c>
      <c r="J1166" t="inlineStr">
        <is>
          <t>0</t>
        </is>
      </c>
      <c r="K1166" t="inlineStr">
        <is>
          <t>Chamberlin, E. R. (Eric Russell), 1926-2006.</t>
        </is>
      </c>
      <c r="L1166" t="inlineStr">
        <is>
          <t>London ; Boston : Allen &amp; Unwin, 1982.</t>
        </is>
      </c>
      <c r="M1166" t="inlineStr">
        <is>
          <t>1982</t>
        </is>
      </c>
      <c r="O1166" t="inlineStr">
        <is>
          <t>eng</t>
        </is>
      </c>
      <c r="P1166" t="inlineStr">
        <is>
          <t>enk</t>
        </is>
      </c>
      <c r="R1166" t="inlineStr">
        <is>
          <t xml:space="preserve">DG </t>
        </is>
      </c>
      <c r="S1166" t="n">
        <v>18</v>
      </c>
      <c r="T1166" t="n">
        <v>18</v>
      </c>
      <c r="U1166" t="inlineStr">
        <is>
          <t>2002-09-18</t>
        </is>
      </c>
      <c r="V1166" t="inlineStr">
        <is>
          <t>2002-09-18</t>
        </is>
      </c>
      <c r="W1166" t="inlineStr">
        <is>
          <t>1990-07-09</t>
        </is>
      </c>
      <c r="X1166" t="inlineStr">
        <is>
          <t>1990-07-09</t>
        </is>
      </c>
      <c r="Y1166" t="n">
        <v>406</v>
      </c>
      <c r="Z1166" t="n">
        <v>290</v>
      </c>
      <c r="AA1166" t="n">
        <v>393</v>
      </c>
      <c r="AB1166" t="n">
        <v>1</v>
      </c>
      <c r="AC1166" t="n">
        <v>2</v>
      </c>
      <c r="AD1166" t="n">
        <v>8</v>
      </c>
      <c r="AE1166" t="n">
        <v>13</v>
      </c>
      <c r="AF1166" t="n">
        <v>2</v>
      </c>
      <c r="AG1166" t="n">
        <v>3</v>
      </c>
      <c r="AH1166" t="n">
        <v>4</v>
      </c>
      <c r="AI1166" t="n">
        <v>6</v>
      </c>
      <c r="AJ1166" t="n">
        <v>4</v>
      </c>
      <c r="AK1166" t="n">
        <v>6</v>
      </c>
      <c r="AL1166" t="n">
        <v>0</v>
      </c>
      <c r="AM1166" t="n">
        <v>1</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HYPERLINK("https://creighton-primo.hosted.exlibrisgroup.com/primo-explore/search?tab=default_tab&amp;search_scope=EVERYTHING&amp;vid=01CRU&amp;lang=en_US&amp;offset=0&amp;query=any,contains,991000150419702656","Catalog Record")</f>
        <v/>
      </c>
      <c r="AT1166">
        <f>HYPERLINK("http://www.worldcat.org/oclc/9198142","WorldCat Record")</f>
        <v/>
      </c>
      <c r="AU1166" t="inlineStr">
        <is>
          <t>65435486:eng</t>
        </is>
      </c>
      <c r="AV1166" t="inlineStr">
        <is>
          <t>9198142</t>
        </is>
      </c>
      <c r="AW1166" t="inlineStr">
        <is>
          <t>991000150419702656</t>
        </is>
      </c>
      <c r="AX1166" t="inlineStr">
        <is>
          <t>991000150419702656</t>
        </is>
      </c>
      <c r="AY1166" t="inlineStr">
        <is>
          <t>2262977550002656</t>
        </is>
      </c>
      <c r="AZ1166" t="inlineStr">
        <is>
          <t>BOOK</t>
        </is>
      </c>
      <c r="BB1166" t="inlineStr">
        <is>
          <t>9780049000353</t>
        </is>
      </c>
      <c r="BC1166" t="inlineStr">
        <is>
          <t>32285000226638</t>
        </is>
      </c>
      <c r="BD1166" t="inlineStr">
        <is>
          <t>893261376</t>
        </is>
      </c>
    </row>
    <row r="1167">
      <c r="A1167" t="inlineStr">
        <is>
          <t>No</t>
        </is>
      </c>
      <c r="B1167" t="inlineStr">
        <is>
          <t>DG445 .C88 1993</t>
        </is>
      </c>
      <c r="C1167" t="inlineStr">
        <is>
          <t>0                      DG 0445000C  88          1993</t>
        </is>
      </c>
      <c r="D1167" t="inlineStr">
        <is>
          <t>The Cultural heritage of the Italian Renaissance : essays in honour of T.G. Griffith / edited by C.E.J. Griffiths and R. Hastings.</t>
        </is>
      </c>
      <c r="F1167" t="inlineStr">
        <is>
          <t>No</t>
        </is>
      </c>
      <c r="G1167" t="inlineStr">
        <is>
          <t>1</t>
        </is>
      </c>
      <c r="H1167" t="inlineStr">
        <is>
          <t>No</t>
        </is>
      </c>
      <c r="I1167" t="inlineStr">
        <is>
          <t>No</t>
        </is>
      </c>
      <c r="J1167" t="inlineStr">
        <is>
          <t>0</t>
        </is>
      </c>
      <c r="L1167" t="inlineStr">
        <is>
          <t>Lewiston, N.Y. : Edwin Mellen Press, c1993.</t>
        </is>
      </c>
      <c r="M1167" t="inlineStr">
        <is>
          <t>1993</t>
        </is>
      </c>
      <c r="O1167" t="inlineStr">
        <is>
          <t>eng</t>
        </is>
      </c>
      <c r="P1167" t="inlineStr">
        <is>
          <t>nyu</t>
        </is>
      </c>
      <c r="R1167" t="inlineStr">
        <is>
          <t xml:space="preserve">DG </t>
        </is>
      </c>
      <c r="S1167" t="n">
        <v>1</v>
      </c>
      <c r="T1167" t="n">
        <v>1</v>
      </c>
      <c r="U1167" t="inlineStr">
        <is>
          <t>2002-02-23</t>
        </is>
      </c>
      <c r="V1167" t="inlineStr">
        <is>
          <t>2002-02-23</t>
        </is>
      </c>
      <c r="W1167" t="inlineStr">
        <is>
          <t>1994-03-30</t>
        </is>
      </c>
      <c r="X1167" t="inlineStr">
        <is>
          <t>1994-03-30</t>
        </is>
      </c>
      <c r="Y1167" t="n">
        <v>109</v>
      </c>
      <c r="Z1167" t="n">
        <v>62</v>
      </c>
      <c r="AA1167" t="n">
        <v>64</v>
      </c>
      <c r="AB1167" t="n">
        <v>1</v>
      </c>
      <c r="AC1167" t="n">
        <v>1</v>
      </c>
      <c r="AD1167" t="n">
        <v>3</v>
      </c>
      <c r="AE1167" t="n">
        <v>3</v>
      </c>
      <c r="AF1167" t="n">
        <v>1</v>
      </c>
      <c r="AG1167" t="n">
        <v>1</v>
      </c>
      <c r="AH1167" t="n">
        <v>1</v>
      </c>
      <c r="AI1167" t="n">
        <v>1</v>
      </c>
      <c r="AJ1167" t="n">
        <v>2</v>
      </c>
      <c r="AK1167" t="n">
        <v>2</v>
      </c>
      <c r="AL1167" t="n">
        <v>0</v>
      </c>
      <c r="AM1167" t="n">
        <v>0</v>
      </c>
      <c r="AN1167" t="n">
        <v>0</v>
      </c>
      <c r="AO1167" t="n">
        <v>0</v>
      </c>
      <c r="AP1167" t="inlineStr">
        <is>
          <t>No</t>
        </is>
      </c>
      <c r="AQ1167" t="inlineStr">
        <is>
          <t>Yes</t>
        </is>
      </c>
      <c r="AR1167">
        <f>HYPERLINK("http://catalog.hathitrust.org/Record/002811959","HathiTrust Record")</f>
        <v/>
      </c>
      <c r="AS1167">
        <f>HYPERLINK("https://creighton-primo.hosted.exlibrisgroup.com/primo-explore/search?tab=default_tab&amp;search_scope=EVERYTHING&amp;vid=01CRU&amp;lang=en_US&amp;offset=0&amp;query=any,contains,991002236779702656","Catalog Record")</f>
        <v/>
      </c>
      <c r="AT1167">
        <f>HYPERLINK("http://www.worldcat.org/oclc/28848191","WorldCat Record")</f>
        <v/>
      </c>
      <c r="AU1167" t="inlineStr">
        <is>
          <t>836903282:eng</t>
        </is>
      </c>
      <c r="AV1167" t="inlineStr">
        <is>
          <t>28848191</t>
        </is>
      </c>
      <c r="AW1167" t="inlineStr">
        <is>
          <t>991002236779702656</t>
        </is>
      </c>
      <c r="AX1167" t="inlineStr">
        <is>
          <t>991002236779702656</t>
        </is>
      </c>
      <c r="AY1167" t="inlineStr">
        <is>
          <t>2266502090002656</t>
        </is>
      </c>
      <c r="AZ1167" t="inlineStr">
        <is>
          <t>BOOK</t>
        </is>
      </c>
      <c r="BB1167" t="inlineStr">
        <is>
          <t>9780773493964</t>
        </is>
      </c>
      <c r="BC1167" t="inlineStr">
        <is>
          <t>32285001858306</t>
        </is>
      </c>
      <c r="BD1167" t="inlineStr">
        <is>
          <t>893316555</t>
        </is>
      </c>
    </row>
    <row r="1168">
      <c r="A1168" t="inlineStr">
        <is>
          <t>No</t>
        </is>
      </c>
      <c r="B1168" t="inlineStr">
        <is>
          <t>DG445 .H38 1993</t>
        </is>
      </c>
      <c r="C1168" t="inlineStr">
        <is>
          <t>0                      DG 0445000H  38          1993</t>
        </is>
      </c>
      <c r="D1168" t="inlineStr">
        <is>
          <t>The Italian Renaissance and its influence on Western civilization / Maria S. Haynes ; edited by Charles A. Haynes.</t>
        </is>
      </c>
      <c r="F1168" t="inlineStr">
        <is>
          <t>No</t>
        </is>
      </c>
      <c r="G1168" t="inlineStr">
        <is>
          <t>1</t>
        </is>
      </c>
      <c r="H1168" t="inlineStr">
        <is>
          <t>No</t>
        </is>
      </c>
      <c r="I1168" t="inlineStr">
        <is>
          <t>No</t>
        </is>
      </c>
      <c r="J1168" t="inlineStr">
        <is>
          <t>0</t>
        </is>
      </c>
      <c r="K1168" t="inlineStr">
        <is>
          <t>Haynes, Maria S., 1912-</t>
        </is>
      </c>
      <c r="L1168" t="inlineStr">
        <is>
          <t>Lanham, Md. : University Press of America, c1993.</t>
        </is>
      </c>
      <c r="M1168" t="inlineStr">
        <is>
          <t>1993</t>
        </is>
      </c>
      <c r="N1168" t="inlineStr">
        <is>
          <t>2nd ed.</t>
        </is>
      </c>
      <c r="O1168" t="inlineStr">
        <is>
          <t>eng</t>
        </is>
      </c>
      <c r="P1168" t="inlineStr">
        <is>
          <t>mdu</t>
        </is>
      </c>
      <c r="R1168" t="inlineStr">
        <is>
          <t xml:space="preserve">DG </t>
        </is>
      </c>
      <c r="S1168" t="n">
        <v>4</v>
      </c>
      <c r="T1168" t="n">
        <v>4</v>
      </c>
      <c r="U1168" t="inlineStr">
        <is>
          <t>2006-04-09</t>
        </is>
      </c>
      <c r="V1168" t="inlineStr">
        <is>
          <t>2006-04-09</t>
        </is>
      </c>
      <c r="W1168" t="inlineStr">
        <is>
          <t>1994-05-06</t>
        </is>
      </c>
      <c r="X1168" t="inlineStr">
        <is>
          <t>1994-05-06</t>
        </is>
      </c>
      <c r="Y1168" t="n">
        <v>173</v>
      </c>
      <c r="Z1168" t="n">
        <v>134</v>
      </c>
      <c r="AA1168" t="n">
        <v>215</v>
      </c>
      <c r="AB1168" t="n">
        <v>3</v>
      </c>
      <c r="AC1168" t="n">
        <v>4</v>
      </c>
      <c r="AD1168" t="n">
        <v>6</v>
      </c>
      <c r="AE1168" t="n">
        <v>11</v>
      </c>
      <c r="AF1168" t="n">
        <v>1</v>
      </c>
      <c r="AG1168" t="n">
        <v>3</v>
      </c>
      <c r="AH1168" t="n">
        <v>2</v>
      </c>
      <c r="AI1168" t="n">
        <v>4</v>
      </c>
      <c r="AJ1168" t="n">
        <v>2</v>
      </c>
      <c r="AK1168" t="n">
        <v>4</v>
      </c>
      <c r="AL1168" t="n">
        <v>2</v>
      </c>
      <c r="AM1168" t="n">
        <v>2</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HYPERLINK("https://creighton-primo.hosted.exlibrisgroup.com/primo-explore/search?tab=default_tab&amp;search_scope=EVERYTHING&amp;vid=01CRU&amp;lang=en_US&amp;offset=0&amp;query=any,contains,991002193299702656","Catalog Record")</f>
        <v/>
      </c>
      <c r="AT1168">
        <f>HYPERLINK("http://www.worldcat.org/oclc/28212540","WorldCat Record")</f>
        <v/>
      </c>
      <c r="AU1168" t="inlineStr">
        <is>
          <t>24187597:eng</t>
        </is>
      </c>
      <c r="AV1168" t="inlineStr">
        <is>
          <t>28212540</t>
        </is>
      </c>
      <c r="AW1168" t="inlineStr">
        <is>
          <t>991002193299702656</t>
        </is>
      </c>
      <c r="AX1168" t="inlineStr">
        <is>
          <t>991002193299702656</t>
        </is>
      </c>
      <c r="AY1168" t="inlineStr">
        <is>
          <t>2265024430002656</t>
        </is>
      </c>
      <c r="AZ1168" t="inlineStr">
        <is>
          <t>BOOK</t>
        </is>
      </c>
      <c r="BB1168" t="inlineStr">
        <is>
          <t>9780819192035</t>
        </is>
      </c>
      <c r="BC1168" t="inlineStr">
        <is>
          <t>32285001878775</t>
        </is>
      </c>
      <c r="BD1168" t="inlineStr">
        <is>
          <t>893534893</t>
        </is>
      </c>
    </row>
    <row r="1169">
      <c r="A1169" t="inlineStr">
        <is>
          <t>No</t>
        </is>
      </c>
      <c r="B1169" t="inlineStr">
        <is>
          <t>DG445 .R5613 1982</t>
        </is>
      </c>
      <c r="C1169" t="inlineStr">
        <is>
          <t>0                      DG 0445000R  5613        1982</t>
        </is>
      </c>
      <c r="D1169" t="inlineStr">
        <is>
          <t>The Renaissance : essays in interpretation / André Chastel ... [et al.].</t>
        </is>
      </c>
      <c r="F1169" t="inlineStr">
        <is>
          <t>No</t>
        </is>
      </c>
      <c r="G1169" t="inlineStr">
        <is>
          <t>1</t>
        </is>
      </c>
      <c r="H1169" t="inlineStr">
        <is>
          <t>No</t>
        </is>
      </c>
      <c r="I1169" t="inlineStr">
        <is>
          <t>No</t>
        </is>
      </c>
      <c r="J1169" t="inlineStr">
        <is>
          <t>0</t>
        </is>
      </c>
      <c r="K1169" t="inlineStr">
        <is>
          <t>Collana "Rinascimento." English.</t>
        </is>
      </c>
      <c r="L1169" t="inlineStr">
        <is>
          <t>London ; New York : Methuen, 1982.</t>
        </is>
      </c>
      <c r="M1169" t="inlineStr">
        <is>
          <t>1982</t>
        </is>
      </c>
      <c r="O1169" t="inlineStr">
        <is>
          <t>eng</t>
        </is>
      </c>
      <c r="P1169" t="inlineStr">
        <is>
          <t>enk</t>
        </is>
      </c>
      <c r="R1169" t="inlineStr">
        <is>
          <t xml:space="preserve">DG </t>
        </is>
      </c>
      <c r="S1169" t="n">
        <v>3</v>
      </c>
      <c r="T1169" t="n">
        <v>3</v>
      </c>
      <c r="U1169" t="inlineStr">
        <is>
          <t>1998-10-16</t>
        </is>
      </c>
      <c r="V1169" t="inlineStr">
        <is>
          <t>1998-10-16</t>
        </is>
      </c>
      <c r="W1169" t="inlineStr">
        <is>
          <t>1991-04-10</t>
        </is>
      </c>
      <c r="X1169" t="inlineStr">
        <is>
          <t>1991-04-10</t>
        </is>
      </c>
      <c r="Y1169" t="n">
        <v>579</v>
      </c>
      <c r="Z1169" t="n">
        <v>403</v>
      </c>
      <c r="AA1169" t="n">
        <v>408</v>
      </c>
      <c r="AB1169" t="n">
        <v>6</v>
      </c>
      <c r="AC1169" t="n">
        <v>6</v>
      </c>
      <c r="AD1169" t="n">
        <v>24</v>
      </c>
      <c r="AE1169" t="n">
        <v>24</v>
      </c>
      <c r="AF1169" t="n">
        <v>10</v>
      </c>
      <c r="AG1169" t="n">
        <v>10</v>
      </c>
      <c r="AH1169" t="n">
        <v>5</v>
      </c>
      <c r="AI1169" t="n">
        <v>5</v>
      </c>
      <c r="AJ1169" t="n">
        <v>11</v>
      </c>
      <c r="AK1169" t="n">
        <v>11</v>
      </c>
      <c r="AL1169" t="n">
        <v>5</v>
      </c>
      <c r="AM1169" t="n">
        <v>5</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HYPERLINK("https://creighton-primo.hosted.exlibrisgroup.com/primo-explore/search?tab=default_tab&amp;search_scope=EVERYTHING&amp;vid=01CRU&amp;lang=en_US&amp;offset=0&amp;query=any,contains,991000200259702656","Catalog Record")</f>
        <v/>
      </c>
      <c r="AT1169">
        <f>HYPERLINK("http://www.worldcat.org/oclc/9464445","WorldCat Record")</f>
        <v/>
      </c>
      <c r="AU1169" t="inlineStr">
        <is>
          <t>889604327:eng</t>
        </is>
      </c>
      <c r="AV1169" t="inlineStr">
        <is>
          <t>9464445</t>
        </is>
      </c>
      <c r="AW1169" t="inlineStr">
        <is>
          <t>991000200259702656</t>
        </is>
      </c>
      <c r="AX1169" t="inlineStr">
        <is>
          <t>991000200259702656</t>
        </is>
      </c>
      <c r="AY1169" t="inlineStr">
        <is>
          <t>2264300400002656</t>
        </is>
      </c>
      <c r="AZ1169" t="inlineStr">
        <is>
          <t>BOOK</t>
        </is>
      </c>
      <c r="BB1169" t="inlineStr">
        <is>
          <t>9780416311303</t>
        </is>
      </c>
      <c r="BC1169" t="inlineStr">
        <is>
          <t>32285000521970</t>
        </is>
      </c>
      <c r="BD1169" t="inlineStr">
        <is>
          <t>893521496</t>
        </is>
      </c>
    </row>
    <row r="1170">
      <c r="A1170" t="inlineStr">
        <is>
          <t>No</t>
        </is>
      </c>
      <c r="B1170" t="inlineStr">
        <is>
          <t>DG445 .S74 1990</t>
        </is>
      </c>
      <c r="C1170" t="inlineStr">
        <is>
          <t>0                      DG 0445000S  74          1990</t>
        </is>
      </c>
      <c r="D1170" t="inlineStr">
        <is>
          <t>The Italian renaissance : the origins of intellectual and artistic change before the Reformation / John Stephens.</t>
        </is>
      </c>
      <c r="F1170" t="inlineStr">
        <is>
          <t>No</t>
        </is>
      </c>
      <c r="G1170" t="inlineStr">
        <is>
          <t>1</t>
        </is>
      </c>
      <c r="H1170" t="inlineStr">
        <is>
          <t>No</t>
        </is>
      </c>
      <c r="I1170" t="inlineStr">
        <is>
          <t>No</t>
        </is>
      </c>
      <c r="J1170" t="inlineStr">
        <is>
          <t>0</t>
        </is>
      </c>
      <c r="K1170" t="inlineStr">
        <is>
          <t>Stephens, J. N.</t>
        </is>
      </c>
      <c r="L1170" t="inlineStr">
        <is>
          <t>London ; New York : Longman, 1990.</t>
        </is>
      </c>
      <c r="M1170" t="inlineStr">
        <is>
          <t>1990</t>
        </is>
      </c>
      <c r="O1170" t="inlineStr">
        <is>
          <t>eng</t>
        </is>
      </c>
      <c r="P1170" t="inlineStr">
        <is>
          <t>enk</t>
        </is>
      </c>
      <c r="R1170" t="inlineStr">
        <is>
          <t xml:space="preserve">DG </t>
        </is>
      </c>
      <c r="S1170" t="n">
        <v>10</v>
      </c>
      <c r="T1170" t="n">
        <v>10</v>
      </c>
      <c r="U1170" t="inlineStr">
        <is>
          <t>2006-11-25</t>
        </is>
      </c>
      <c r="V1170" t="inlineStr">
        <is>
          <t>2006-11-25</t>
        </is>
      </c>
      <c r="W1170" t="inlineStr">
        <is>
          <t>1991-03-11</t>
        </is>
      </c>
      <c r="X1170" t="inlineStr">
        <is>
          <t>1991-03-11</t>
        </is>
      </c>
      <c r="Y1170" t="n">
        <v>526</v>
      </c>
      <c r="Z1170" t="n">
        <v>336</v>
      </c>
      <c r="AA1170" t="n">
        <v>367</v>
      </c>
      <c r="AB1170" t="n">
        <v>3</v>
      </c>
      <c r="AC1170" t="n">
        <v>3</v>
      </c>
      <c r="AD1170" t="n">
        <v>20</v>
      </c>
      <c r="AE1170" t="n">
        <v>22</v>
      </c>
      <c r="AF1170" t="n">
        <v>7</v>
      </c>
      <c r="AG1170" t="n">
        <v>8</v>
      </c>
      <c r="AH1170" t="n">
        <v>6</v>
      </c>
      <c r="AI1170" t="n">
        <v>7</v>
      </c>
      <c r="AJ1170" t="n">
        <v>11</v>
      </c>
      <c r="AK1170" t="n">
        <v>11</v>
      </c>
      <c r="AL1170" t="n">
        <v>2</v>
      </c>
      <c r="AM1170" t="n">
        <v>2</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HYPERLINK("https://creighton-primo.hosted.exlibrisgroup.com/primo-explore/search?tab=default_tab&amp;search_scope=EVERYTHING&amp;vid=01CRU&amp;lang=en_US&amp;offset=0&amp;query=any,contains,991001567829702656","Catalog Record")</f>
        <v/>
      </c>
      <c r="AT1170">
        <f>HYPERLINK("http://www.worldcat.org/oclc/20355626","WorldCat Record")</f>
        <v/>
      </c>
      <c r="AU1170" t="inlineStr">
        <is>
          <t>479909526:eng</t>
        </is>
      </c>
      <c r="AV1170" t="inlineStr">
        <is>
          <t>20355626</t>
        </is>
      </c>
      <c r="AW1170" t="inlineStr">
        <is>
          <t>991001567829702656</t>
        </is>
      </c>
      <c r="AX1170" t="inlineStr">
        <is>
          <t>991001567829702656</t>
        </is>
      </c>
      <c r="AY1170" t="inlineStr">
        <is>
          <t>2269408100002656</t>
        </is>
      </c>
      <c r="AZ1170" t="inlineStr">
        <is>
          <t>BOOK</t>
        </is>
      </c>
      <c r="BB1170" t="inlineStr">
        <is>
          <t>9780582493377</t>
        </is>
      </c>
      <c r="BC1170" t="inlineStr">
        <is>
          <t>32285000511054</t>
        </is>
      </c>
      <c r="BD1170" t="inlineStr">
        <is>
          <t>893522642</t>
        </is>
      </c>
    </row>
    <row r="1171">
      <c r="A1171" t="inlineStr">
        <is>
          <t>No</t>
        </is>
      </c>
      <c r="B1171" t="inlineStr">
        <is>
          <t>DG450 .T36</t>
        </is>
      </c>
      <c r="C1171" t="inlineStr">
        <is>
          <t>0                      DG 0450000T  36</t>
        </is>
      </c>
      <c r="D1171" t="inlineStr">
        <is>
          <t>The Fascist experience; Italian society and culture, 1922-1945 [by] Edward R. Tannenbaum.</t>
        </is>
      </c>
      <c r="F1171" t="inlineStr">
        <is>
          <t>No</t>
        </is>
      </c>
      <c r="G1171" t="inlineStr">
        <is>
          <t>1</t>
        </is>
      </c>
      <c r="H1171" t="inlineStr">
        <is>
          <t>No</t>
        </is>
      </c>
      <c r="I1171" t="inlineStr">
        <is>
          <t>No</t>
        </is>
      </c>
      <c r="J1171" t="inlineStr">
        <is>
          <t>0</t>
        </is>
      </c>
      <c r="K1171" t="inlineStr">
        <is>
          <t>Tannenbaum, Edward R.</t>
        </is>
      </c>
      <c r="L1171" t="inlineStr">
        <is>
          <t>New York : Basic Books, [1972]</t>
        </is>
      </c>
      <c r="M1171" t="inlineStr">
        <is>
          <t>1972</t>
        </is>
      </c>
      <c r="O1171" t="inlineStr">
        <is>
          <t>eng</t>
        </is>
      </c>
      <c r="P1171" t="inlineStr">
        <is>
          <t>nyu</t>
        </is>
      </c>
      <c r="R1171" t="inlineStr">
        <is>
          <t xml:space="preserve">DG </t>
        </is>
      </c>
      <c r="S1171" t="n">
        <v>1</v>
      </c>
      <c r="T1171" t="n">
        <v>1</v>
      </c>
      <c r="U1171" t="inlineStr">
        <is>
          <t>2008-12-09</t>
        </is>
      </c>
      <c r="V1171" t="inlineStr">
        <is>
          <t>2008-12-09</t>
        </is>
      </c>
      <c r="W1171" t="inlineStr">
        <is>
          <t>1997-02-04</t>
        </is>
      </c>
      <c r="X1171" t="inlineStr">
        <is>
          <t>1997-02-04</t>
        </is>
      </c>
      <c r="Y1171" t="n">
        <v>758</v>
      </c>
      <c r="Z1171" t="n">
        <v>680</v>
      </c>
      <c r="AA1171" t="n">
        <v>832</v>
      </c>
      <c r="AB1171" t="n">
        <v>5</v>
      </c>
      <c r="AC1171" t="n">
        <v>7</v>
      </c>
      <c r="AD1171" t="n">
        <v>30</v>
      </c>
      <c r="AE1171" t="n">
        <v>40</v>
      </c>
      <c r="AF1171" t="n">
        <v>6</v>
      </c>
      <c r="AG1171" t="n">
        <v>12</v>
      </c>
      <c r="AH1171" t="n">
        <v>9</v>
      </c>
      <c r="AI1171" t="n">
        <v>11</v>
      </c>
      <c r="AJ1171" t="n">
        <v>18</v>
      </c>
      <c r="AK1171" t="n">
        <v>21</v>
      </c>
      <c r="AL1171" t="n">
        <v>4</v>
      </c>
      <c r="AM1171" t="n">
        <v>6</v>
      </c>
      <c r="AN1171" t="n">
        <v>0</v>
      </c>
      <c r="AO1171" t="n">
        <v>0</v>
      </c>
      <c r="AP1171" t="inlineStr">
        <is>
          <t>No</t>
        </is>
      </c>
      <c r="AQ1171" t="inlineStr">
        <is>
          <t>Yes</t>
        </is>
      </c>
      <c r="AR1171">
        <f>HYPERLINK("http://catalog.hathitrust.org/Record/000306453","HathiTrust Record")</f>
        <v/>
      </c>
      <c r="AS1171">
        <f>HYPERLINK("https://creighton-primo.hosted.exlibrisgroup.com/primo-explore/search?tab=default_tab&amp;search_scope=EVERYTHING&amp;vid=01CRU&amp;lang=en_US&amp;offset=0&amp;query=any,contains,991002679139702656","Catalog Record")</f>
        <v/>
      </c>
      <c r="AT1171">
        <f>HYPERLINK("http://www.worldcat.org/oclc/397890","WorldCat Record")</f>
        <v/>
      </c>
      <c r="AU1171" t="inlineStr">
        <is>
          <t>1545441:eng</t>
        </is>
      </c>
      <c r="AV1171" t="inlineStr">
        <is>
          <t>397890</t>
        </is>
      </c>
      <c r="AW1171" t="inlineStr">
        <is>
          <t>991002679139702656</t>
        </is>
      </c>
      <c r="AX1171" t="inlineStr">
        <is>
          <t>991002679139702656</t>
        </is>
      </c>
      <c r="AY1171" t="inlineStr">
        <is>
          <t>2261628080002656</t>
        </is>
      </c>
      <c r="AZ1171" t="inlineStr">
        <is>
          <t>BOOK</t>
        </is>
      </c>
      <c r="BB1171" t="inlineStr">
        <is>
          <t>9780465068777</t>
        </is>
      </c>
      <c r="BC1171" t="inlineStr">
        <is>
          <t>32285002421443</t>
        </is>
      </c>
      <c r="BD1171" t="inlineStr">
        <is>
          <t>893335572</t>
        </is>
      </c>
    </row>
    <row r="1172">
      <c r="A1172" t="inlineStr">
        <is>
          <t>No</t>
        </is>
      </c>
      <c r="B1172" t="inlineStr">
        <is>
          <t>DG451 .I5 2003</t>
        </is>
      </c>
      <c r="C1172" t="inlineStr">
        <is>
          <t>0                      DG 0451000I  5           2003</t>
        </is>
      </c>
      <c r="D1172" t="inlineStr">
        <is>
          <t>In search of Italia : saggi sulla cultura dell'Italia contemporanea / a cura di Antonio Vitti, Roberta Morosini.</t>
        </is>
      </c>
      <c r="F1172" t="inlineStr">
        <is>
          <t>No</t>
        </is>
      </c>
      <c r="G1172" t="inlineStr">
        <is>
          <t>1</t>
        </is>
      </c>
      <c r="H1172" t="inlineStr">
        <is>
          <t>No</t>
        </is>
      </c>
      <c r="I1172" t="inlineStr">
        <is>
          <t>No</t>
        </is>
      </c>
      <c r="J1172" t="inlineStr">
        <is>
          <t>0</t>
        </is>
      </c>
      <c r="L1172" t="inlineStr">
        <is>
          <t>Fossombrone (Pesaro) : Metauro, 2003.</t>
        </is>
      </c>
      <c r="M1172" t="inlineStr">
        <is>
          <t>2003</t>
        </is>
      </c>
      <c r="O1172" t="inlineStr">
        <is>
          <t>ita</t>
        </is>
      </c>
      <c r="P1172" t="inlineStr">
        <is>
          <t xml:space="preserve">it </t>
        </is>
      </c>
      <c r="Q1172" t="inlineStr">
        <is>
          <t>Archivio ; 4</t>
        </is>
      </c>
      <c r="R1172" t="inlineStr">
        <is>
          <t xml:space="preserve">DG </t>
        </is>
      </c>
      <c r="S1172" t="n">
        <v>11</v>
      </c>
      <c r="T1172" t="n">
        <v>11</v>
      </c>
      <c r="U1172" t="inlineStr">
        <is>
          <t>2008-10-02</t>
        </is>
      </c>
      <c r="V1172" t="inlineStr">
        <is>
          <t>2008-10-02</t>
        </is>
      </c>
      <c r="W1172" t="inlineStr">
        <is>
          <t>2005-06-21</t>
        </is>
      </c>
      <c r="X1172" t="inlineStr">
        <is>
          <t>2005-06-21</t>
        </is>
      </c>
      <c r="Y1172" t="n">
        <v>41</v>
      </c>
      <c r="Z1172" t="n">
        <v>31</v>
      </c>
      <c r="AA1172" t="n">
        <v>34</v>
      </c>
      <c r="AB1172" t="n">
        <v>1</v>
      </c>
      <c r="AC1172" t="n">
        <v>1</v>
      </c>
      <c r="AD1172" t="n">
        <v>2</v>
      </c>
      <c r="AE1172" t="n">
        <v>2</v>
      </c>
      <c r="AF1172" t="n">
        <v>1</v>
      </c>
      <c r="AG1172" t="n">
        <v>1</v>
      </c>
      <c r="AH1172" t="n">
        <v>0</v>
      </c>
      <c r="AI1172" t="n">
        <v>0</v>
      </c>
      <c r="AJ1172" t="n">
        <v>1</v>
      </c>
      <c r="AK1172" t="n">
        <v>1</v>
      </c>
      <c r="AL1172" t="n">
        <v>0</v>
      </c>
      <c r="AM1172" t="n">
        <v>0</v>
      </c>
      <c r="AN1172" t="n">
        <v>0</v>
      </c>
      <c r="AO1172" t="n">
        <v>0</v>
      </c>
      <c r="AP1172" t="inlineStr">
        <is>
          <t>No</t>
        </is>
      </c>
      <c r="AQ1172" t="inlineStr">
        <is>
          <t>Yes</t>
        </is>
      </c>
      <c r="AR1172">
        <f>HYPERLINK("http://catalog.hathitrust.org/Record/004356154","HathiTrust Record")</f>
        <v/>
      </c>
      <c r="AS1172">
        <f>HYPERLINK("https://creighton-primo.hosted.exlibrisgroup.com/primo-explore/search?tab=default_tab&amp;search_scope=EVERYTHING&amp;vid=01CRU&amp;lang=en_US&amp;offset=0&amp;query=any,contains,991004511719702656","Catalog Record")</f>
        <v/>
      </c>
      <c r="AT1172">
        <f>HYPERLINK("http://www.worldcat.org/oclc/51911444","WorldCat Record")</f>
        <v/>
      </c>
      <c r="AU1172" t="inlineStr">
        <is>
          <t>906838485:ita</t>
        </is>
      </c>
      <c r="AV1172" t="inlineStr">
        <is>
          <t>51911444</t>
        </is>
      </c>
      <c r="AW1172" t="inlineStr">
        <is>
          <t>991004511719702656</t>
        </is>
      </c>
      <c r="AX1172" t="inlineStr">
        <is>
          <t>991004511719702656</t>
        </is>
      </c>
      <c r="AY1172" t="inlineStr">
        <is>
          <t>2260136170002656</t>
        </is>
      </c>
      <c r="AZ1172" t="inlineStr">
        <is>
          <t>BOOK</t>
        </is>
      </c>
      <c r="BB1172" t="inlineStr">
        <is>
          <t>9788887543469</t>
        </is>
      </c>
      <c r="BC1172" t="inlineStr">
        <is>
          <t>32285005093553</t>
        </is>
      </c>
      <c r="BD1172" t="inlineStr">
        <is>
          <t>893229449</t>
        </is>
      </c>
    </row>
    <row r="1173">
      <c r="A1173" t="inlineStr">
        <is>
          <t>No</t>
        </is>
      </c>
      <c r="B1173" t="inlineStr">
        <is>
          <t>DG455 .B28 1971b</t>
        </is>
      </c>
      <c r="C1173" t="inlineStr">
        <is>
          <t>0                      DG 0455000B  28          1971b</t>
        </is>
      </c>
      <c r="D1173" t="inlineStr">
        <is>
          <t>From Caesar to the Mafia: sketches of Italian life.</t>
        </is>
      </c>
      <c r="F1173" t="inlineStr">
        <is>
          <t>No</t>
        </is>
      </c>
      <c r="G1173" t="inlineStr">
        <is>
          <t>1</t>
        </is>
      </c>
      <c r="H1173" t="inlineStr">
        <is>
          <t>No</t>
        </is>
      </c>
      <c r="I1173" t="inlineStr">
        <is>
          <t>No</t>
        </is>
      </c>
      <c r="J1173" t="inlineStr">
        <is>
          <t>0</t>
        </is>
      </c>
      <c r="K1173" t="inlineStr">
        <is>
          <t>Barzini, Luigi Giorgio, 1908-1984.</t>
        </is>
      </c>
      <c r="L1173" t="inlineStr">
        <is>
          <t>London, Hamilton, 1971.</t>
        </is>
      </c>
      <c r="M1173" t="inlineStr">
        <is>
          <t>1971</t>
        </is>
      </c>
      <c r="O1173" t="inlineStr">
        <is>
          <t>eng</t>
        </is>
      </c>
      <c r="P1173" t="inlineStr">
        <is>
          <t>enk</t>
        </is>
      </c>
      <c r="R1173" t="inlineStr">
        <is>
          <t xml:space="preserve">DG </t>
        </is>
      </c>
      <c r="S1173" t="n">
        <v>6</v>
      </c>
      <c r="T1173" t="n">
        <v>6</v>
      </c>
      <c r="U1173" t="inlineStr">
        <is>
          <t>2001-10-24</t>
        </is>
      </c>
      <c r="V1173" t="inlineStr">
        <is>
          <t>2001-10-24</t>
        </is>
      </c>
      <c r="W1173" t="inlineStr">
        <is>
          <t>1997-02-04</t>
        </is>
      </c>
      <c r="X1173" t="inlineStr">
        <is>
          <t>1997-02-04</t>
        </is>
      </c>
      <c r="Y1173" t="n">
        <v>77</v>
      </c>
      <c r="Z1173" t="n">
        <v>25</v>
      </c>
      <c r="AA1173" t="n">
        <v>813</v>
      </c>
      <c r="AB1173" t="n">
        <v>1</v>
      </c>
      <c r="AC1173" t="n">
        <v>6</v>
      </c>
      <c r="AD1173" t="n">
        <v>0</v>
      </c>
      <c r="AE1173" t="n">
        <v>24</v>
      </c>
      <c r="AF1173" t="n">
        <v>0</v>
      </c>
      <c r="AG1173" t="n">
        <v>7</v>
      </c>
      <c r="AH1173" t="n">
        <v>0</v>
      </c>
      <c r="AI1173" t="n">
        <v>5</v>
      </c>
      <c r="AJ1173" t="n">
        <v>0</v>
      </c>
      <c r="AK1173" t="n">
        <v>9</v>
      </c>
      <c r="AL1173" t="n">
        <v>0</v>
      </c>
      <c r="AM1173" t="n">
        <v>5</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HYPERLINK("https://creighton-primo.hosted.exlibrisgroup.com/primo-explore/search?tab=default_tab&amp;search_scope=EVERYTHING&amp;vid=01CRU&amp;lang=en_US&amp;offset=0&amp;query=any,contains,991001224499702656","Catalog Record")</f>
        <v/>
      </c>
      <c r="AT1173">
        <f>HYPERLINK("http://www.worldcat.org/oclc/199202","WorldCat Record")</f>
        <v/>
      </c>
      <c r="AU1173" t="inlineStr">
        <is>
          <t>197306381:eng</t>
        </is>
      </c>
      <c r="AV1173" t="inlineStr">
        <is>
          <t>199202</t>
        </is>
      </c>
      <c r="AW1173" t="inlineStr">
        <is>
          <t>991001224499702656</t>
        </is>
      </c>
      <c r="AX1173" t="inlineStr">
        <is>
          <t>991001224499702656</t>
        </is>
      </c>
      <c r="AY1173" t="inlineStr">
        <is>
          <t>2269822910002656</t>
        </is>
      </c>
      <c r="AZ1173" t="inlineStr">
        <is>
          <t>BOOK</t>
        </is>
      </c>
      <c r="BB1173" t="inlineStr">
        <is>
          <t>9780241019467</t>
        </is>
      </c>
      <c r="BC1173" t="inlineStr">
        <is>
          <t>32285002421450</t>
        </is>
      </c>
      <c r="BD1173" t="inlineStr">
        <is>
          <t>893702853</t>
        </is>
      </c>
    </row>
    <row r="1174">
      <c r="A1174" t="inlineStr">
        <is>
          <t>No</t>
        </is>
      </c>
      <c r="B1174" t="inlineStr">
        <is>
          <t>DG455 .B3 1965</t>
        </is>
      </c>
      <c r="C1174" t="inlineStr">
        <is>
          <t>0                      DG 0455000B  3           1965</t>
        </is>
      </c>
      <c r="D1174" t="inlineStr">
        <is>
          <t>The Italians / by Luigi Barzini.</t>
        </is>
      </c>
      <c r="F1174" t="inlineStr">
        <is>
          <t>No</t>
        </is>
      </c>
      <c r="G1174" t="inlineStr">
        <is>
          <t>1</t>
        </is>
      </c>
      <c r="H1174" t="inlineStr">
        <is>
          <t>No</t>
        </is>
      </c>
      <c r="I1174" t="inlineStr">
        <is>
          <t>Yes</t>
        </is>
      </c>
      <c r="J1174" t="inlineStr">
        <is>
          <t>0</t>
        </is>
      </c>
      <c r="K1174" t="inlineStr">
        <is>
          <t>Barzini, Luigi Giorgio, 1908-1984.</t>
        </is>
      </c>
      <c r="L1174" t="inlineStr">
        <is>
          <t>New York : Bantam Books, [1965, 1964]</t>
        </is>
      </c>
      <c r="M1174" t="inlineStr">
        <is>
          <t>1965</t>
        </is>
      </c>
      <c r="N1174" t="inlineStr">
        <is>
          <t>Bantam ed.</t>
        </is>
      </c>
      <c r="O1174" t="inlineStr">
        <is>
          <t>eng</t>
        </is>
      </c>
      <c r="P1174" t="inlineStr">
        <is>
          <t>nyu</t>
        </is>
      </c>
      <c r="R1174" t="inlineStr">
        <is>
          <t xml:space="preserve">DG </t>
        </is>
      </c>
      <c r="S1174" t="n">
        <v>13</v>
      </c>
      <c r="T1174" t="n">
        <v>13</v>
      </c>
      <c r="U1174" t="inlineStr">
        <is>
          <t>2008-03-10</t>
        </is>
      </c>
      <c r="V1174" t="inlineStr">
        <is>
          <t>2008-03-10</t>
        </is>
      </c>
      <c r="W1174" t="inlineStr">
        <is>
          <t>2001-07-24</t>
        </is>
      </c>
      <c r="X1174" t="inlineStr">
        <is>
          <t>2001-07-24</t>
        </is>
      </c>
      <c r="Y1174" t="n">
        <v>114</v>
      </c>
      <c r="Z1174" t="n">
        <v>87</v>
      </c>
      <c r="AA1174" t="n">
        <v>1732</v>
      </c>
      <c r="AB1174" t="n">
        <v>3</v>
      </c>
      <c r="AC1174" t="n">
        <v>14</v>
      </c>
      <c r="AD1174" t="n">
        <v>4</v>
      </c>
      <c r="AE1174" t="n">
        <v>57</v>
      </c>
      <c r="AF1174" t="n">
        <v>1</v>
      </c>
      <c r="AG1174" t="n">
        <v>26</v>
      </c>
      <c r="AH1174" t="n">
        <v>1</v>
      </c>
      <c r="AI1174" t="n">
        <v>9</v>
      </c>
      <c r="AJ1174" t="n">
        <v>1</v>
      </c>
      <c r="AK1174" t="n">
        <v>24</v>
      </c>
      <c r="AL1174" t="n">
        <v>1</v>
      </c>
      <c r="AM1174" t="n">
        <v>10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HYPERLINK("https://creighton-primo.hosted.exlibrisgroup.com/primo-explore/search?tab=default_tab&amp;search_scope=EVERYTHING&amp;vid=01CRU&amp;lang=en_US&amp;offset=0&amp;query=any,contains,991003590939702656","Catalog Record")</f>
        <v/>
      </c>
      <c r="AT1174">
        <f>HYPERLINK("http://www.worldcat.org/oclc/943540","WorldCat Record")</f>
        <v/>
      </c>
      <c r="AU1174" t="inlineStr">
        <is>
          <t>38804665:eng</t>
        </is>
      </c>
      <c r="AV1174" t="inlineStr">
        <is>
          <t>943540</t>
        </is>
      </c>
      <c r="AW1174" t="inlineStr">
        <is>
          <t>991003590939702656</t>
        </is>
      </c>
      <c r="AX1174" t="inlineStr">
        <is>
          <t>991003590939702656</t>
        </is>
      </c>
      <c r="AY1174" t="inlineStr">
        <is>
          <t>2266604850002656</t>
        </is>
      </c>
      <c r="AZ1174" t="inlineStr">
        <is>
          <t>BOOK</t>
        </is>
      </c>
      <c r="BC1174" t="inlineStr">
        <is>
          <t>32285004334826</t>
        </is>
      </c>
      <c r="BD1174" t="inlineStr">
        <is>
          <t>893252522</t>
        </is>
      </c>
    </row>
    <row r="1175">
      <c r="A1175" t="inlineStr">
        <is>
          <t>No</t>
        </is>
      </c>
      <c r="B1175" t="inlineStr">
        <is>
          <t>DG465 .C62</t>
        </is>
      </c>
      <c r="C1175" t="inlineStr">
        <is>
          <t>0                      DG 0465000C  62</t>
        </is>
      </c>
      <c r="D1175" t="inlineStr">
        <is>
          <t>Historians and historiography in the Italian Renaissance / Eric Cochrane.</t>
        </is>
      </c>
      <c r="F1175" t="inlineStr">
        <is>
          <t>No</t>
        </is>
      </c>
      <c r="G1175" t="inlineStr">
        <is>
          <t>1</t>
        </is>
      </c>
      <c r="H1175" t="inlineStr">
        <is>
          <t>No</t>
        </is>
      </c>
      <c r="I1175" t="inlineStr">
        <is>
          <t>No</t>
        </is>
      </c>
      <c r="J1175" t="inlineStr">
        <is>
          <t>0</t>
        </is>
      </c>
      <c r="K1175" t="inlineStr">
        <is>
          <t>Cochrane, Eric W.</t>
        </is>
      </c>
      <c r="L1175" t="inlineStr">
        <is>
          <t>Chicago : University of Chicago Press, 1981.</t>
        </is>
      </c>
      <c r="M1175" t="inlineStr">
        <is>
          <t>1981</t>
        </is>
      </c>
      <c r="O1175" t="inlineStr">
        <is>
          <t>eng</t>
        </is>
      </c>
      <c r="P1175" t="inlineStr">
        <is>
          <t>ilu</t>
        </is>
      </c>
      <c r="R1175" t="inlineStr">
        <is>
          <t xml:space="preserve">DG </t>
        </is>
      </c>
      <c r="S1175" t="n">
        <v>1</v>
      </c>
      <c r="T1175" t="n">
        <v>1</v>
      </c>
      <c r="U1175" t="inlineStr">
        <is>
          <t>1996-09-17</t>
        </is>
      </c>
      <c r="V1175" t="inlineStr">
        <is>
          <t>1996-09-17</t>
        </is>
      </c>
      <c r="W1175" t="inlineStr">
        <is>
          <t>1991-11-25</t>
        </is>
      </c>
      <c r="X1175" t="inlineStr">
        <is>
          <t>1991-11-25</t>
        </is>
      </c>
      <c r="Y1175" t="n">
        <v>800</v>
      </c>
      <c r="Z1175" t="n">
        <v>640</v>
      </c>
      <c r="AA1175" t="n">
        <v>795</v>
      </c>
      <c r="AB1175" t="n">
        <v>3</v>
      </c>
      <c r="AC1175" t="n">
        <v>5</v>
      </c>
      <c r="AD1175" t="n">
        <v>34</v>
      </c>
      <c r="AE1175" t="n">
        <v>42</v>
      </c>
      <c r="AF1175" t="n">
        <v>16</v>
      </c>
      <c r="AG1175" t="n">
        <v>19</v>
      </c>
      <c r="AH1175" t="n">
        <v>9</v>
      </c>
      <c r="AI1175" t="n">
        <v>10</v>
      </c>
      <c r="AJ1175" t="n">
        <v>19</v>
      </c>
      <c r="AK1175" t="n">
        <v>22</v>
      </c>
      <c r="AL1175" t="n">
        <v>2</v>
      </c>
      <c r="AM1175" t="n">
        <v>4</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HYPERLINK("https://creighton-primo.hosted.exlibrisgroup.com/primo-explore/search?tab=default_tab&amp;search_scope=EVERYTHING&amp;vid=01CRU&amp;lang=en_US&amp;offset=0&amp;query=any,contains,991004960369702656","Catalog Record")</f>
        <v/>
      </c>
      <c r="AT1175">
        <f>HYPERLINK("http://www.worldcat.org/oclc/6304614","WorldCat Record")</f>
        <v/>
      </c>
      <c r="AU1175" t="inlineStr">
        <is>
          <t>11418325:eng</t>
        </is>
      </c>
      <c r="AV1175" t="inlineStr">
        <is>
          <t>6304614</t>
        </is>
      </c>
      <c r="AW1175" t="inlineStr">
        <is>
          <t>991004960369702656</t>
        </is>
      </c>
      <c r="AX1175" t="inlineStr">
        <is>
          <t>991004960369702656</t>
        </is>
      </c>
      <c r="AY1175" t="inlineStr">
        <is>
          <t>2259164920002656</t>
        </is>
      </c>
      <c r="AZ1175" t="inlineStr">
        <is>
          <t>BOOK</t>
        </is>
      </c>
      <c r="BB1175" t="inlineStr">
        <is>
          <t>9780226111520</t>
        </is>
      </c>
      <c r="BC1175" t="inlineStr">
        <is>
          <t>32285000654433</t>
        </is>
      </c>
      <c r="BD1175" t="inlineStr">
        <is>
          <t>893513848</t>
        </is>
      </c>
    </row>
    <row r="1176">
      <c r="A1176" t="inlineStr">
        <is>
          <t>No</t>
        </is>
      </c>
      <c r="B1176" t="inlineStr">
        <is>
          <t>DG467 .D66 2002</t>
        </is>
      </c>
      <c r="C1176" t="inlineStr">
        <is>
          <t>0                      DG 0467000D  66          2002</t>
        </is>
      </c>
      <c r="D1176" t="inlineStr">
        <is>
          <t>Remaking Italy in the twentieth century / Roy Palmer Domenico.</t>
        </is>
      </c>
      <c r="F1176" t="inlineStr">
        <is>
          <t>No</t>
        </is>
      </c>
      <c r="G1176" t="inlineStr">
        <is>
          <t>1</t>
        </is>
      </c>
      <c r="H1176" t="inlineStr">
        <is>
          <t>No</t>
        </is>
      </c>
      <c r="I1176" t="inlineStr">
        <is>
          <t>No</t>
        </is>
      </c>
      <c r="J1176" t="inlineStr">
        <is>
          <t>0</t>
        </is>
      </c>
      <c r="K1176" t="inlineStr">
        <is>
          <t>Domenico, Roy Palmer.</t>
        </is>
      </c>
      <c r="L1176" t="inlineStr">
        <is>
          <t>Lanham : Rowman &amp; Littlefield, c2002.</t>
        </is>
      </c>
      <c r="M1176" t="inlineStr">
        <is>
          <t>2002</t>
        </is>
      </c>
      <c r="O1176" t="inlineStr">
        <is>
          <t>eng</t>
        </is>
      </c>
      <c r="P1176" t="inlineStr">
        <is>
          <t>cou</t>
        </is>
      </c>
      <c r="Q1176" t="inlineStr">
        <is>
          <t>Critical issues in history</t>
        </is>
      </c>
      <c r="R1176" t="inlineStr">
        <is>
          <t xml:space="preserve">DG </t>
        </is>
      </c>
      <c r="S1176" t="n">
        <v>4</v>
      </c>
      <c r="T1176" t="n">
        <v>4</v>
      </c>
      <c r="U1176" t="inlineStr">
        <is>
          <t>2007-02-23</t>
        </is>
      </c>
      <c r="V1176" t="inlineStr">
        <is>
          <t>2007-02-23</t>
        </is>
      </c>
      <c r="W1176" t="inlineStr">
        <is>
          <t>2003-02-06</t>
        </is>
      </c>
      <c r="X1176" t="inlineStr">
        <is>
          <t>2003-02-06</t>
        </is>
      </c>
      <c r="Y1176" t="n">
        <v>380</v>
      </c>
      <c r="Z1176" t="n">
        <v>320</v>
      </c>
      <c r="AA1176" t="n">
        <v>336</v>
      </c>
      <c r="AB1176" t="n">
        <v>4</v>
      </c>
      <c r="AC1176" t="n">
        <v>4</v>
      </c>
      <c r="AD1176" t="n">
        <v>20</v>
      </c>
      <c r="AE1176" t="n">
        <v>21</v>
      </c>
      <c r="AF1176" t="n">
        <v>9</v>
      </c>
      <c r="AG1176" t="n">
        <v>10</v>
      </c>
      <c r="AH1176" t="n">
        <v>5</v>
      </c>
      <c r="AI1176" t="n">
        <v>6</v>
      </c>
      <c r="AJ1176" t="n">
        <v>8</v>
      </c>
      <c r="AK1176" t="n">
        <v>8</v>
      </c>
      <c r="AL1176" t="n">
        <v>3</v>
      </c>
      <c r="AM1176" t="n">
        <v>3</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HYPERLINK("https://creighton-primo.hosted.exlibrisgroup.com/primo-explore/search?tab=default_tab&amp;search_scope=EVERYTHING&amp;vid=01CRU&amp;lang=en_US&amp;offset=0&amp;query=any,contains,991003977349702656","Catalog Record")</f>
        <v/>
      </c>
      <c r="AT1176">
        <f>HYPERLINK("http://www.worldcat.org/oclc/49385872","WorldCat Record")</f>
        <v/>
      </c>
      <c r="AU1176" t="inlineStr">
        <is>
          <t>1028068:eng</t>
        </is>
      </c>
      <c r="AV1176" t="inlineStr">
        <is>
          <t>49385872</t>
        </is>
      </c>
      <c r="AW1176" t="inlineStr">
        <is>
          <t>991003977349702656</t>
        </is>
      </c>
      <c r="AX1176" t="inlineStr">
        <is>
          <t>991003977349702656</t>
        </is>
      </c>
      <c r="AY1176" t="inlineStr">
        <is>
          <t>2272032040002656</t>
        </is>
      </c>
      <c r="AZ1176" t="inlineStr">
        <is>
          <t>BOOK</t>
        </is>
      </c>
      <c r="BB1176" t="inlineStr">
        <is>
          <t>9780847696369</t>
        </is>
      </c>
      <c r="BC1176" t="inlineStr">
        <is>
          <t>32285004697693</t>
        </is>
      </c>
      <c r="BD1176" t="inlineStr">
        <is>
          <t>893525490</t>
        </is>
      </c>
    </row>
    <row r="1177">
      <c r="A1177" t="inlineStr">
        <is>
          <t>No</t>
        </is>
      </c>
      <c r="B1177" t="inlineStr">
        <is>
          <t>DG467 .H43 1990</t>
        </is>
      </c>
      <c r="C1177" t="inlineStr">
        <is>
          <t>0                      DG 0467000H  43          1990</t>
        </is>
      </c>
      <c r="D1177" t="inlineStr">
        <is>
          <t>Italy : a short history / Harry Hearder.</t>
        </is>
      </c>
      <c r="F1177" t="inlineStr">
        <is>
          <t>No</t>
        </is>
      </c>
      <c r="G1177" t="inlineStr">
        <is>
          <t>1</t>
        </is>
      </c>
      <c r="H1177" t="inlineStr">
        <is>
          <t>No</t>
        </is>
      </c>
      <c r="I1177" t="inlineStr">
        <is>
          <t>No</t>
        </is>
      </c>
      <c r="J1177" t="inlineStr">
        <is>
          <t>0</t>
        </is>
      </c>
      <c r="K1177" t="inlineStr">
        <is>
          <t>Hearder, Harry.</t>
        </is>
      </c>
      <c r="L1177" t="inlineStr">
        <is>
          <t>Cambridge ; New York : Cambridge University Press, 1990.</t>
        </is>
      </c>
      <c r="M1177" t="inlineStr">
        <is>
          <t>1990</t>
        </is>
      </c>
      <c r="O1177" t="inlineStr">
        <is>
          <t>eng</t>
        </is>
      </c>
      <c r="P1177" t="inlineStr">
        <is>
          <t>enk</t>
        </is>
      </c>
      <c r="R1177" t="inlineStr">
        <is>
          <t xml:space="preserve">DG </t>
        </is>
      </c>
      <c r="S1177" t="n">
        <v>9</v>
      </c>
      <c r="T1177" t="n">
        <v>9</v>
      </c>
      <c r="U1177" t="inlineStr">
        <is>
          <t>2005-09-11</t>
        </is>
      </c>
      <c r="V1177" t="inlineStr">
        <is>
          <t>2005-09-11</t>
        </is>
      </c>
      <c r="W1177" t="inlineStr">
        <is>
          <t>1991-08-06</t>
        </is>
      </c>
      <c r="X1177" t="inlineStr">
        <is>
          <t>1991-08-06</t>
        </is>
      </c>
      <c r="Y1177" t="n">
        <v>590</v>
      </c>
      <c r="Z1177" t="n">
        <v>386</v>
      </c>
      <c r="AA1177" t="n">
        <v>631</v>
      </c>
      <c r="AB1177" t="n">
        <v>2</v>
      </c>
      <c r="AC1177" t="n">
        <v>5</v>
      </c>
      <c r="AD1177" t="n">
        <v>15</v>
      </c>
      <c r="AE1177" t="n">
        <v>24</v>
      </c>
      <c r="AF1177" t="n">
        <v>8</v>
      </c>
      <c r="AG1177" t="n">
        <v>9</v>
      </c>
      <c r="AH1177" t="n">
        <v>3</v>
      </c>
      <c r="AI1177" t="n">
        <v>5</v>
      </c>
      <c r="AJ1177" t="n">
        <v>8</v>
      </c>
      <c r="AK1177" t="n">
        <v>13</v>
      </c>
      <c r="AL1177" t="n">
        <v>1</v>
      </c>
      <c r="AM1177" t="n">
        <v>3</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HYPERLINK("https://creighton-primo.hosted.exlibrisgroup.com/primo-explore/search?tab=default_tab&amp;search_scope=EVERYTHING&amp;vid=01CRU&amp;lang=en_US&amp;offset=0&amp;query=any,contains,991001631619702656","Catalog Record")</f>
        <v/>
      </c>
      <c r="AT1177">
        <f>HYPERLINK("http://www.worldcat.org/oclc/20930847","WorldCat Record")</f>
        <v/>
      </c>
      <c r="AU1177" t="inlineStr">
        <is>
          <t>11501995:eng</t>
        </is>
      </c>
      <c r="AV1177" t="inlineStr">
        <is>
          <t>20930847</t>
        </is>
      </c>
      <c r="AW1177" t="inlineStr">
        <is>
          <t>991001631619702656</t>
        </is>
      </c>
      <c r="AX1177" t="inlineStr">
        <is>
          <t>991001631619702656</t>
        </is>
      </c>
      <c r="AY1177" t="inlineStr">
        <is>
          <t>2272375100002656</t>
        </is>
      </c>
      <c r="AZ1177" t="inlineStr">
        <is>
          <t>BOOK</t>
        </is>
      </c>
      <c r="BB1177" t="inlineStr">
        <is>
          <t>9780521337199</t>
        </is>
      </c>
      <c r="BC1177" t="inlineStr">
        <is>
          <t>32285000665009</t>
        </is>
      </c>
      <c r="BD1177" t="inlineStr">
        <is>
          <t>893703143</t>
        </is>
      </c>
    </row>
    <row r="1178">
      <c r="A1178" t="inlineStr">
        <is>
          <t>No</t>
        </is>
      </c>
      <c r="B1178" t="inlineStr">
        <is>
          <t>DG467 .L67 v.2</t>
        </is>
      </c>
      <c r="C1178" t="inlineStr">
        <is>
          <t>0                      DG 0467000L  67                                                      v.2</t>
        </is>
      </c>
      <c r="D1178" t="inlineStr">
        <is>
          <t>Italy in the age of Dante and Petrarch, 1216-1380 / John Larner.</t>
        </is>
      </c>
      <c r="E1178" t="inlineStr">
        <is>
          <t>V.2</t>
        </is>
      </c>
      <c r="F1178" t="inlineStr">
        <is>
          <t>No</t>
        </is>
      </c>
      <c r="G1178" t="inlineStr">
        <is>
          <t>1</t>
        </is>
      </c>
      <c r="H1178" t="inlineStr">
        <is>
          <t>No</t>
        </is>
      </c>
      <c r="I1178" t="inlineStr">
        <is>
          <t>No</t>
        </is>
      </c>
      <c r="J1178" t="inlineStr">
        <is>
          <t>0</t>
        </is>
      </c>
      <c r="K1178" t="inlineStr">
        <is>
          <t>Larner, John, 1930-2008.</t>
        </is>
      </c>
      <c r="L1178" t="inlineStr">
        <is>
          <t>London ; New York : Longman, 1980.</t>
        </is>
      </c>
      <c r="M1178" t="inlineStr">
        <is>
          <t>1980</t>
        </is>
      </c>
      <c r="O1178" t="inlineStr">
        <is>
          <t>eng</t>
        </is>
      </c>
      <c r="P1178" t="inlineStr">
        <is>
          <t>enk</t>
        </is>
      </c>
      <c r="Q1178" t="inlineStr">
        <is>
          <t>A Longman history of Italy ; v. 2</t>
        </is>
      </c>
      <c r="R1178" t="inlineStr">
        <is>
          <t xml:space="preserve">DG </t>
        </is>
      </c>
      <c r="S1178" t="n">
        <v>7</v>
      </c>
      <c r="T1178" t="n">
        <v>7</v>
      </c>
      <c r="U1178" t="inlineStr">
        <is>
          <t>1996-10-29</t>
        </is>
      </c>
      <c r="V1178" t="inlineStr">
        <is>
          <t>1996-10-29</t>
        </is>
      </c>
      <c r="W1178" t="inlineStr">
        <is>
          <t>1991-04-10</t>
        </is>
      </c>
      <c r="X1178" t="inlineStr">
        <is>
          <t>1991-04-10</t>
        </is>
      </c>
      <c r="Y1178" t="n">
        <v>628</v>
      </c>
      <c r="Z1178" t="n">
        <v>421</v>
      </c>
      <c r="AA1178" t="n">
        <v>430</v>
      </c>
      <c r="AB1178" t="n">
        <v>4</v>
      </c>
      <c r="AC1178" t="n">
        <v>4</v>
      </c>
      <c r="AD1178" t="n">
        <v>26</v>
      </c>
      <c r="AE1178" t="n">
        <v>27</v>
      </c>
      <c r="AF1178" t="n">
        <v>8</v>
      </c>
      <c r="AG1178" t="n">
        <v>8</v>
      </c>
      <c r="AH1178" t="n">
        <v>7</v>
      </c>
      <c r="AI1178" t="n">
        <v>8</v>
      </c>
      <c r="AJ1178" t="n">
        <v>18</v>
      </c>
      <c r="AK1178" t="n">
        <v>18</v>
      </c>
      <c r="AL1178" t="n">
        <v>3</v>
      </c>
      <c r="AM1178" t="n">
        <v>3</v>
      </c>
      <c r="AN1178" t="n">
        <v>0</v>
      </c>
      <c r="AO1178" t="n">
        <v>0</v>
      </c>
      <c r="AP1178" t="inlineStr">
        <is>
          <t>No</t>
        </is>
      </c>
      <c r="AQ1178" t="inlineStr">
        <is>
          <t>Yes</t>
        </is>
      </c>
      <c r="AR1178">
        <f>HYPERLINK("http://catalog.hathitrust.org/Record/000138310","HathiTrust Record")</f>
        <v/>
      </c>
      <c r="AS1178">
        <f>HYPERLINK("https://creighton-primo.hosted.exlibrisgroup.com/primo-explore/search?tab=default_tab&amp;search_scope=EVERYTHING&amp;vid=01CRU&amp;lang=en_US&amp;offset=0&amp;query=any,contains,991004893769702656","Catalog Record")</f>
        <v/>
      </c>
      <c r="AT1178">
        <f>HYPERLINK("http://www.worldcat.org/oclc/5889667","WorldCat Record")</f>
        <v/>
      </c>
      <c r="AU1178" t="inlineStr">
        <is>
          <t>117933707:eng</t>
        </is>
      </c>
      <c r="AV1178" t="inlineStr">
        <is>
          <t>5889667</t>
        </is>
      </c>
      <c r="AW1178" t="inlineStr">
        <is>
          <t>991004893769702656</t>
        </is>
      </c>
      <c r="AX1178" t="inlineStr">
        <is>
          <t>991004893769702656</t>
        </is>
      </c>
      <c r="AY1178" t="inlineStr">
        <is>
          <t>2271524940002656</t>
        </is>
      </c>
      <c r="AZ1178" t="inlineStr">
        <is>
          <t>BOOK</t>
        </is>
      </c>
      <c r="BB1178" t="inlineStr">
        <is>
          <t>9780582483668</t>
        </is>
      </c>
      <c r="BC1178" t="inlineStr">
        <is>
          <t>32285000521996</t>
        </is>
      </c>
      <c r="BD1178" t="inlineStr">
        <is>
          <t>893889404</t>
        </is>
      </c>
    </row>
    <row r="1179">
      <c r="A1179" t="inlineStr">
        <is>
          <t>No</t>
        </is>
      </c>
      <c r="B1179" t="inlineStr">
        <is>
          <t>DG467 .L67 v.3</t>
        </is>
      </c>
      <c r="C1179" t="inlineStr">
        <is>
          <t>0                      DG 0467000L  67                                                      v.3</t>
        </is>
      </c>
      <c r="D1179" t="inlineStr">
        <is>
          <t>Italy in the age of the Renaissance, 1380-1530 / Denys Hay and John Law.</t>
        </is>
      </c>
      <c r="E1179" t="inlineStr">
        <is>
          <t>V.3</t>
        </is>
      </c>
      <c r="F1179" t="inlineStr">
        <is>
          <t>No</t>
        </is>
      </c>
      <c r="G1179" t="inlineStr">
        <is>
          <t>1</t>
        </is>
      </c>
      <c r="H1179" t="inlineStr">
        <is>
          <t>No</t>
        </is>
      </c>
      <c r="I1179" t="inlineStr">
        <is>
          <t>No</t>
        </is>
      </c>
      <c r="J1179" t="inlineStr">
        <is>
          <t>0</t>
        </is>
      </c>
      <c r="K1179" t="inlineStr">
        <is>
          <t>Hay, Denys.</t>
        </is>
      </c>
      <c r="L1179" t="inlineStr">
        <is>
          <t>London ; New York : Longman, 1989.</t>
        </is>
      </c>
      <c r="M1179" t="inlineStr">
        <is>
          <t>1989</t>
        </is>
      </c>
      <c r="O1179" t="inlineStr">
        <is>
          <t>eng</t>
        </is>
      </c>
      <c r="P1179" t="inlineStr">
        <is>
          <t>enk</t>
        </is>
      </c>
      <c r="Q1179" t="inlineStr">
        <is>
          <t>Longman history of Italy</t>
        </is>
      </c>
      <c r="R1179" t="inlineStr">
        <is>
          <t xml:space="preserve">DG </t>
        </is>
      </c>
      <c r="S1179" t="n">
        <v>7</v>
      </c>
      <c r="T1179" t="n">
        <v>7</v>
      </c>
      <c r="U1179" t="inlineStr">
        <is>
          <t>2006-11-25</t>
        </is>
      </c>
      <c r="V1179" t="inlineStr">
        <is>
          <t>2006-11-25</t>
        </is>
      </c>
      <c r="W1179" t="inlineStr">
        <is>
          <t>1990-05-04</t>
        </is>
      </c>
      <c r="X1179" t="inlineStr">
        <is>
          <t>1990-05-04</t>
        </is>
      </c>
      <c r="Y1179" t="n">
        <v>611</v>
      </c>
      <c r="Z1179" t="n">
        <v>387</v>
      </c>
      <c r="AA1179" t="n">
        <v>390</v>
      </c>
      <c r="AB1179" t="n">
        <v>3</v>
      </c>
      <c r="AC1179" t="n">
        <v>3</v>
      </c>
      <c r="AD1179" t="n">
        <v>19</v>
      </c>
      <c r="AE1179" t="n">
        <v>19</v>
      </c>
      <c r="AF1179" t="n">
        <v>6</v>
      </c>
      <c r="AG1179" t="n">
        <v>6</v>
      </c>
      <c r="AH1179" t="n">
        <v>5</v>
      </c>
      <c r="AI1179" t="n">
        <v>5</v>
      </c>
      <c r="AJ1179" t="n">
        <v>12</v>
      </c>
      <c r="AK1179" t="n">
        <v>12</v>
      </c>
      <c r="AL1179" t="n">
        <v>2</v>
      </c>
      <c r="AM1179" t="n">
        <v>2</v>
      </c>
      <c r="AN1179" t="n">
        <v>0</v>
      </c>
      <c r="AO1179" t="n">
        <v>0</v>
      </c>
      <c r="AP1179" t="inlineStr">
        <is>
          <t>No</t>
        </is>
      </c>
      <c r="AQ1179" t="inlineStr">
        <is>
          <t>Yes</t>
        </is>
      </c>
      <c r="AR1179">
        <f>HYPERLINK("http://catalog.hathitrust.org/Record/001298886","HathiTrust Record")</f>
        <v/>
      </c>
      <c r="AS1179">
        <f>HYPERLINK("https://creighton-primo.hosted.exlibrisgroup.com/primo-explore/search?tab=default_tab&amp;search_scope=EVERYTHING&amp;vid=01CRU&amp;lang=en_US&amp;offset=0&amp;query=any,contains,991001265589702656","Catalog Record")</f>
        <v/>
      </c>
      <c r="AT1179">
        <f>HYPERLINK("http://www.worldcat.org/oclc/17805302","WorldCat Record")</f>
        <v/>
      </c>
      <c r="AU1179" t="inlineStr">
        <is>
          <t>1981123:eng</t>
        </is>
      </c>
      <c r="AV1179" t="inlineStr">
        <is>
          <t>17805302</t>
        </is>
      </c>
      <c r="AW1179" t="inlineStr">
        <is>
          <t>991001265589702656</t>
        </is>
      </c>
      <c r="AX1179" t="inlineStr">
        <is>
          <t>991001265589702656</t>
        </is>
      </c>
      <c r="AY1179" t="inlineStr">
        <is>
          <t>2265925580002656</t>
        </is>
      </c>
      <c r="AZ1179" t="inlineStr">
        <is>
          <t>BOOK</t>
        </is>
      </c>
      <c r="BB1179" t="inlineStr">
        <is>
          <t>9780582483590</t>
        </is>
      </c>
      <c r="BC1179" t="inlineStr">
        <is>
          <t>32285000119775</t>
        </is>
      </c>
      <c r="BD1179" t="inlineStr">
        <is>
          <t>893439019</t>
        </is>
      </c>
    </row>
    <row r="1180">
      <c r="A1180" t="inlineStr">
        <is>
          <t>No</t>
        </is>
      </c>
      <c r="B1180" t="inlineStr">
        <is>
          <t>DG467 .L67 v.4</t>
        </is>
      </c>
      <c r="C1180" t="inlineStr">
        <is>
          <t>0                      DG 0467000L  67                                                      v.4</t>
        </is>
      </c>
      <c r="D1180" t="inlineStr">
        <is>
          <t>Italy 1530-1630 / Eric Cochrane ; edited by Julius Kirshner.</t>
        </is>
      </c>
      <c r="E1180" t="inlineStr">
        <is>
          <t>V.4</t>
        </is>
      </c>
      <c r="F1180" t="inlineStr">
        <is>
          <t>No</t>
        </is>
      </c>
      <c r="G1180" t="inlineStr">
        <is>
          <t>1</t>
        </is>
      </c>
      <c r="H1180" t="inlineStr">
        <is>
          <t>No</t>
        </is>
      </c>
      <c r="I1180" t="inlineStr">
        <is>
          <t>No</t>
        </is>
      </c>
      <c r="J1180" t="inlineStr">
        <is>
          <t>0</t>
        </is>
      </c>
      <c r="K1180" t="inlineStr">
        <is>
          <t>Cochrane, Eric W.</t>
        </is>
      </c>
      <c r="L1180" t="inlineStr">
        <is>
          <t>London ; New York : Longman, 1988.</t>
        </is>
      </c>
      <c r="M1180" t="inlineStr">
        <is>
          <t>1988</t>
        </is>
      </c>
      <c r="O1180" t="inlineStr">
        <is>
          <t>eng</t>
        </is>
      </c>
      <c r="P1180" t="inlineStr">
        <is>
          <t>enk</t>
        </is>
      </c>
      <c r="Q1180" t="inlineStr">
        <is>
          <t>Longman history of Italy</t>
        </is>
      </c>
      <c r="R1180" t="inlineStr">
        <is>
          <t xml:space="preserve">DG </t>
        </is>
      </c>
      <c r="S1180" t="n">
        <v>4</v>
      </c>
      <c r="T1180" t="n">
        <v>4</v>
      </c>
      <c r="U1180" t="inlineStr">
        <is>
          <t>1998-08-31</t>
        </is>
      </c>
      <c r="V1180" t="inlineStr">
        <is>
          <t>1998-08-31</t>
        </is>
      </c>
      <c r="W1180" t="inlineStr">
        <is>
          <t>1989-11-16</t>
        </is>
      </c>
      <c r="X1180" t="inlineStr">
        <is>
          <t>1989-11-16</t>
        </is>
      </c>
      <c r="Y1180" t="n">
        <v>413</v>
      </c>
      <c r="Z1180" t="n">
        <v>255</v>
      </c>
      <c r="AA1180" t="n">
        <v>279</v>
      </c>
      <c r="AB1180" t="n">
        <v>2</v>
      </c>
      <c r="AC1180" t="n">
        <v>2</v>
      </c>
      <c r="AD1180" t="n">
        <v>13</v>
      </c>
      <c r="AE1180" t="n">
        <v>13</v>
      </c>
      <c r="AF1180" t="n">
        <v>3</v>
      </c>
      <c r="AG1180" t="n">
        <v>3</v>
      </c>
      <c r="AH1180" t="n">
        <v>4</v>
      </c>
      <c r="AI1180" t="n">
        <v>4</v>
      </c>
      <c r="AJ1180" t="n">
        <v>8</v>
      </c>
      <c r="AK1180" t="n">
        <v>8</v>
      </c>
      <c r="AL1180" t="n">
        <v>1</v>
      </c>
      <c r="AM1180" t="n">
        <v>1</v>
      </c>
      <c r="AN1180" t="n">
        <v>0</v>
      </c>
      <c r="AO1180" t="n">
        <v>0</v>
      </c>
      <c r="AP1180" t="inlineStr">
        <is>
          <t>No</t>
        </is>
      </c>
      <c r="AQ1180" t="inlineStr">
        <is>
          <t>Yes</t>
        </is>
      </c>
      <c r="AR1180">
        <f>HYPERLINK("http://catalog.hathitrust.org/Record/001289120","HathiTrust Record")</f>
        <v/>
      </c>
      <c r="AS1180">
        <f>HYPERLINK("https://creighton-primo.hosted.exlibrisgroup.com/primo-explore/search?tab=default_tab&amp;search_scope=EVERYTHING&amp;vid=01CRU&amp;lang=en_US&amp;offset=0&amp;query=any,contains,991001197969702656","Catalog Record")</f>
        <v/>
      </c>
      <c r="AT1180">
        <f>HYPERLINK("http://www.worldcat.org/oclc/17298257","WorldCat Record")</f>
        <v/>
      </c>
      <c r="AU1180" t="inlineStr">
        <is>
          <t>15574415:eng</t>
        </is>
      </c>
      <c r="AV1180" t="inlineStr">
        <is>
          <t>17298257</t>
        </is>
      </c>
      <c r="AW1180" t="inlineStr">
        <is>
          <t>991001197969702656</t>
        </is>
      </c>
      <c r="AX1180" t="inlineStr">
        <is>
          <t>991001197969702656</t>
        </is>
      </c>
      <c r="AY1180" t="inlineStr">
        <is>
          <t>2268981150002656</t>
        </is>
      </c>
      <c r="AZ1180" t="inlineStr">
        <is>
          <t>BOOK</t>
        </is>
      </c>
      <c r="BB1180" t="inlineStr">
        <is>
          <t>9780582491441</t>
        </is>
      </c>
      <c r="BC1180" t="inlineStr">
        <is>
          <t>32285000013374</t>
        </is>
      </c>
      <c r="BD1180" t="inlineStr">
        <is>
          <t>893590100</t>
        </is>
      </c>
    </row>
    <row r="1181">
      <c r="A1181" t="inlineStr">
        <is>
          <t>No</t>
        </is>
      </c>
      <c r="B1181" t="inlineStr">
        <is>
          <t>DG470 .G46</t>
        </is>
      </c>
      <c r="C1181" t="inlineStr">
        <is>
          <t>0                      DG 0470000G  46</t>
        </is>
      </c>
      <c r="D1181" t="inlineStr">
        <is>
          <t>History : choice and commitment / Felix Gilbert.</t>
        </is>
      </c>
      <c r="F1181" t="inlineStr">
        <is>
          <t>No</t>
        </is>
      </c>
      <c r="G1181" t="inlineStr">
        <is>
          <t>1</t>
        </is>
      </c>
      <c r="H1181" t="inlineStr">
        <is>
          <t>No</t>
        </is>
      </c>
      <c r="I1181" t="inlineStr">
        <is>
          <t>No</t>
        </is>
      </c>
      <c r="J1181" t="inlineStr">
        <is>
          <t>0</t>
        </is>
      </c>
      <c r="K1181" t="inlineStr">
        <is>
          <t>Gilbert, Felix, 1905-1991.</t>
        </is>
      </c>
      <c r="L1181" t="inlineStr">
        <is>
          <t>Cambridge, Mass. : Belknap Press of Harvard University Press, 1977.</t>
        </is>
      </c>
      <c r="M1181" t="inlineStr">
        <is>
          <t>1977</t>
        </is>
      </c>
      <c r="O1181" t="inlineStr">
        <is>
          <t>eng</t>
        </is>
      </c>
      <c r="P1181" t="inlineStr">
        <is>
          <t>mau</t>
        </is>
      </c>
      <c r="R1181" t="inlineStr">
        <is>
          <t xml:space="preserve">DG </t>
        </is>
      </c>
      <c r="S1181" t="n">
        <v>9</v>
      </c>
      <c r="T1181" t="n">
        <v>9</v>
      </c>
      <c r="U1181" t="inlineStr">
        <is>
          <t>2000-04-25</t>
        </is>
      </c>
      <c r="V1181" t="inlineStr">
        <is>
          <t>2000-04-25</t>
        </is>
      </c>
      <c r="W1181" t="inlineStr">
        <is>
          <t>1997-02-04</t>
        </is>
      </c>
      <c r="X1181" t="inlineStr">
        <is>
          <t>1997-02-04</t>
        </is>
      </c>
      <c r="Y1181" t="n">
        <v>854</v>
      </c>
      <c r="Z1181" t="n">
        <v>693</v>
      </c>
      <c r="AA1181" t="n">
        <v>697</v>
      </c>
      <c r="AB1181" t="n">
        <v>4</v>
      </c>
      <c r="AC1181" t="n">
        <v>4</v>
      </c>
      <c r="AD1181" t="n">
        <v>27</v>
      </c>
      <c r="AE1181" t="n">
        <v>27</v>
      </c>
      <c r="AF1181" t="n">
        <v>7</v>
      </c>
      <c r="AG1181" t="n">
        <v>7</v>
      </c>
      <c r="AH1181" t="n">
        <v>8</v>
      </c>
      <c r="AI1181" t="n">
        <v>8</v>
      </c>
      <c r="AJ1181" t="n">
        <v>14</v>
      </c>
      <c r="AK1181" t="n">
        <v>14</v>
      </c>
      <c r="AL1181" t="n">
        <v>3</v>
      </c>
      <c r="AM1181" t="n">
        <v>3</v>
      </c>
      <c r="AN1181" t="n">
        <v>0</v>
      </c>
      <c r="AO1181" t="n">
        <v>0</v>
      </c>
      <c r="AP1181" t="inlineStr">
        <is>
          <t>No</t>
        </is>
      </c>
      <c r="AQ1181" t="inlineStr">
        <is>
          <t>Yes</t>
        </is>
      </c>
      <c r="AR1181">
        <f>HYPERLINK("http://catalog.hathitrust.org/Record/000724388","HathiTrust Record")</f>
        <v/>
      </c>
      <c r="AS1181">
        <f>HYPERLINK("https://creighton-primo.hosted.exlibrisgroup.com/primo-explore/search?tab=default_tab&amp;search_scope=EVERYTHING&amp;vid=01CRU&amp;lang=en_US&amp;offset=0&amp;query=any,contains,991004102129702656","Catalog Record")</f>
        <v/>
      </c>
      <c r="AT1181">
        <f>HYPERLINK("http://www.worldcat.org/oclc/2372943","WorldCat Record")</f>
        <v/>
      </c>
      <c r="AU1181" t="inlineStr">
        <is>
          <t>3768689141:eng</t>
        </is>
      </c>
      <c r="AV1181" t="inlineStr">
        <is>
          <t>2372943</t>
        </is>
      </c>
      <c r="AW1181" t="inlineStr">
        <is>
          <t>991004102129702656</t>
        </is>
      </c>
      <c r="AX1181" t="inlineStr">
        <is>
          <t>991004102129702656</t>
        </is>
      </c>
      <c r="AY1181" t="inlineStr">
        <is>
          <t>2256507770002656</t>
        </is>
      </c>
      <c r="AZ1181" t="inlineStr">
        <is>
          <t>BOOK</t>
        </is>
      </c>
      <c r="BB1181" t="inlineStr">
        <is>
          <t>9780674396562</t>
        </is>
      </c>
      <c r="BC1181" t="inlineStr">
        <is>
          <t>32285002421526</t>
        </is>
      </c>
      <c r="BD1181" t="inlineStr">
        <is>
          <t>893722266</t>
        </is>
      </c>
    </row>
    <row r="1182">
      <c r="A1182" t="inlineStr">
        <is>
          <t>No</t>
        </is>
      </c>
      <c r="B1182" t="inlineStr">
        <is>
          <t>DG498 .R62 1977</t>
        </is>
      </c>
      <c r="C1182" t="inlineStr">
        <is>
          <t>0                      DG 0498000R  62          1977</t>
        </is>
      </c>
      <c r="D1182" t="inlineStr">
        <is>
          <t>Mussolini as empire-builder : Europe and Africa, 1932-36 / Esmonde M. Robertson.</t>
        </is>
      </c>
      <c r="F1182" t="inlineStr">
        <is>
          <t>No</t>
        </is>
      </c>
      <c r="G1182" t="inlineStr">
        <is>
          <t>1</t>
        </is>
      </c>
      <c r="H1182" t="inlineStr">
        <is>
          <t>No</t>
        </is>
      </c>
      <c r="I1182" t="inlineStr">
        <is>
          <t>No</t>
        </is>
      </c>
      <c r="J1182" t="inlineStr">
        <is>
          <t>0</t>
        </is>
      </c>
      <c r="K1182" t="inlineStr">
        <is>
          <t>Robertson, Esmonde M. (Esmonde Manning), 1923-</t>
        </is>
      </c>
      <c r="L1182" t="inlineStr">
        <is>
          <t>New York : St. Martin's Press, 1977.</t>
        </is>
      </c>
      <c r="M1182" t="inlineStr">
        <is>
          <t>1977</t>
        </is>
      </c>
      <c r="O1182" t="inlineStr">
        <is>
          <t>eng</t>
        </is>
      </c>
      <c r="P1182" t="inlineStr">
        <is>
          <t>nyu</t>
        </is>
      </c>
      <c r="Q1182" t="inlineStr">
        <is>
          <t>The Making of the 20th century</t>
        </is>
      </c>
      <c r="R1182" t="inlineStr">
        <is>
          <t xml:space="preserve">DG </t>
        </is>
      </c>
      <c r="S1182" t="n">
        <v>5</v>
      </c>
      <c r="T1182" t="n">
        <v>5</v>
      </c>
      <c r="U1182" t="inlineStr">
        <is>
          <t>2005-11-22</t>
        </is>
      </c>
      <c r="V1182" t="inlineStr">
        <is>
          <t>2005-11-22</t>
        </is>
      </c>
      <c r="W1182" t="inlineStr">
        <is>
          <t>1991-04-10</t>
        </is>
      </c>
      <c r="X1182" t="inlineStr">
        <is>
          <t>1991-04-10</t>
        </is>
      </c>
      <c r="Y1182" t="n">
        <v>339</v>
      </c>
      <c r="Z1182" t="n">
        <v>307</v>
      </c>
      <c r="AA1182" t="n">
        <v>409</v>
      </c>
      <c r="AB1182" t="n">
        <v>1</v>
      </c>
      <c r="AC1182" t="n">
        <v>3</v>
      </c>
      <c r="AD1182" t="n">
        <v>12</v>
      </c>
      <c r="AE1182" t="n">
        <v>17</v>
      </c>
      <c r="AF1182" t="n">
        <v>4</v>
      </c>
      <c r="AG1182" t="n">
        <v>5</v>
      </c>
      <c r="AH1182" t="n">
        <v>7</v>
      </c>
      <c r="AI1182" t="n">
        <v>8</v>
      </c>
      <c r="AJ1182" t="n">
        <v>6</v>
      </c>
      <c r="AK1182" t="n">
        <v>8</v>
      </c>
      <c r="AL1182" t="n">
        <v>0</v>
      </c>
      <c r="AM1182" t="n">
        <v>2</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HYPERLINK("https://creighton-primo.hosted.exlibrisgroup.com/primo-explore/search?tab=default_tab&amp;search_scope=EVERYTHING&amp;vid=01CRU&amp;lang=en_US&amp;offset=0&amp;query=any,contains,991004514679702656","Catalog Record")</f>
        <v/>
      </c>
      <c r="AT1182">
        <f>HYPERLINK("http://www.worldcat.org/oclc/3780684","WorldCat Record")</f>
        <v/>
      </c>
      <c r="AU1182" t="inlineStr">
        <is>
          <t>889709594:eng</t>
        </is>
      </c>
      <c r="AV1182" t="inlineStr">
        <is>
          <t>3780684</t>
        </is>
      </c>
      <c r="AW1182" t="inlineStr">
        <is>
          <t>991004514679702656</t>
        </is>
      </c>
      <c r="AX1182" t="inlineStr">
        <is>
          <t>991004514679702656</t>
        </is>
      </c>
      <c r="AY1182" t="inlineStr">
        <is>
          <t>2258133930002656</t>
        </is>
      </c>
      <c r="AZ1182" t="inlineStr">
        <is>
          <t>BOOK</t>
        </is>
      </c>
      <c r="BB1182" t="inlineStr">
        <is>
          <t>9780312555894</t>
        </is>
      </c>
      <c r="BC1182" t="inlineStr">
        <is>
          <t>32285000522010</t>
        </is>
      </c>
      <c r="BD1182" t="inlineStr">
        <is>
          <t>893700340</t>
        </is>
      </c>
    </row>
    <row r="1183">
      <c r="A1183" t="inlineStr">
        <is>
          <t>No</t>
        </is>
      </c>
      <c r="B1183" t="inlineStr">
        <is>
          <t>DG499.G7 B7</t>
        </is>
      </c>
      <c r="C1183" t="inlineStr">
        <is>
          <t>0                      DG 0499000G  7                  B  7</t>
        </is>
      </c>
      <c r="D1183" t="inlineStr">
        <is>
          <t>Italy and the English romantics, the Italianate fashion in early nineteenth-century England.</t>
        </is>
      </c>
      <c r="F1183" t="inlineStr">
        <is>
          <t>No</t>
        </is>
      </c>
      <c r="G1183" t="inlineStr">
        <is>
          <t>1</t>
        </is>
      </c>
      <c r="H1183" t="inlineStr">
        <is>
          <t>No</t>
        </is>
      </c>
      <c r="I1183" t="inlineStr">
        <is>
          <t>No</t>
        </is>
      </c>
      <c r="J1183" t="inlineStr">
        <is>
          <t>0</t>
        </is>
      </c>
      <c r="K1183" t="inlineStr">
        <is>
          <t>Brand, C. P. (Charles Peter)</t>
        </is>
      </c>
      <c r="L1183" t="inlineStr">
        <is>
          <t>Cambridge [Eng.] University Press, 1957.</t>
        </is>
      </c>
      <c r="M1183" t="inlineStr">
        <is>
          <t>1957</t>
        </is>
      </c>
      <c r="O1183" t="inlineStr">
        <is>
          <t>eng</t>
        </is>
      </c>
      <c r="P1183" t="inlineStr">
        <is>
          <t>enk</t>
        </is>
      </c>
      <c r="R1183" t="inlineStr">
        <is>
          <t xml:space="preserve">DG </t>
        </is>
      </c>
      <c r="S1183" t="n">
        <v>3</v>
      </c>
      <c r="T1183" t="n">
        <v>3</v>
      </c>
      <c r="U1183" t="inlineStr">
        <is>
          <t>1997-09-26</t>
        </is>
      </c>
      <c r="V1183" t="inlineStr">
        <is>
          <t>1997-09-26</t>
        </is>
      </c>
      <c r="W1183" t="inlineStr">
        <is>
          <t>1997-02-04</t>
        </is>
      </c>
      <c r="X1183" t="inlineStr">
        <is>
          <t>1997-02-04</t>
        </is>
      </c>
      <c r="Y1183" t="n">
        <v>529</v>
      </c>
      <c r="Z1183" t="n">
        <v>399</v>
      </c>
      <c r="AA1183" t="n">
        <v>409</v>
      </c>
      <c r="AB1183" t="n">
        <v>3</v>
      </c>
      <c r="AC1183" t="n">
        <v>3</v>
      </c>
      <c r="AD1183" t="n">
        <v>24</v>
      </c>
      <c r="AE1183" t="n">
        <v>24</v>
      </c>
      <c r="AF1183" t="n">
        <v>11</v>
      </c>
      <c r="AG1183" t="n">
        <v>11</v>
      </c>
      <c r="AH1183" t="n">
        <v>4</v>
      </c>
      <c r="AI1183" t="n">
        <v>4</v>
      </c>
      <c r="AJ1183" t="n">
        <v>15</v>
      </c>
      <c r="AK1183" t="n">
        <v>15</v>
      </c>
      <c r="AL1183" t="n">
        <v>2</v>
      </c>
      <c r="AM1183" t="n">
        <v>2</v>
      </c>
      <c r="AN1183" t="n">
        <v>0</v>
      </c>
      <c r="AO1183" t="n">
        <v>0</v>
      </c>
      <c r="AP1183" t="inlineStr">
        <is>
          <t>No</t>
        </is>
      </c>
      <c r="AQ1183" t="inlineStr">
        <is>
          <t>Yes</t>
        </is>
      </c>
      <c r="AR1183">
        <f>HYPERLINK("http://catalog.hathitrust.org/Record/000376495","HathiTrust Record")</f>
        <v/>
      </c>
      <c r="AS1183">
        <f>HYPERLINK("https://creighton-primo.hosted.exlibrisgroup.com/primo-explore/search?tab=default_tab&amp;search_scope=EVERYTHING&amp;vid=01CRU&amp;lang=en_US&amp;offset=0&amp;query=any,contains,991002704299702656","Catalog Record")</f>
        <v/>
      </c>
      <c r="AT1183">
        <f>HYPERLINK("http://www.worldcat.org/oclc/406606","WorldCat Record")</f>
        <v/>
      </c>
      <c r="AU1183" t="inlineStr">
        <is>
          <t>809416322:eng</t>
        </is>
      </c>
      <c r="AV1183" t="inlineStr">
        <is>
          <t>406606</t>
        </is>
      </c>
      <c r="AW1183" t="inlineStr">
        <is>
          <t>991002704299702656</t>
        </is>
      </c>
      <c r="AX1183" t="inlineStr">
        <is>
          <t>991002704299702656</t>
        </is>
      </c>
      <c r="AY1183" t="inlineStr">
        <is>
          <t>2261043680002656</t>
        </is>
      </c>
      <c r="AZ1183" t="inlineStr">
        <is>
          <t>BOOK</t>
        </is>
      </c>
      <c r="BC1183" t="inlineStr">
        <is>
          <t>32285002421583</t>
        </is>
      </c>
      <c r="BD1183" t="inlineStr">
        <is>
          <t>893798903</t>
        </is>
      </c>
    </row>
    <row r="1184">
      <c r="A1184" t="inlineStr">
        <is>
          <t>No</t>
        </is>
      </c>
      <c r="B1184" t="inlineStr">
        <is>
          <t>DG499.U5 D5</t>
        </is>
      </c>
      <c r="C1184" t="inlineStr">
        <is>
          <t>0                      DG 0499000U  5                  D  5</t>
        </is>
      </c>
      <c r="D1184" t="inlineStr">
        <is>
          <t>Mussolini and fascism : the view from America / [by] John P. Diggins.</t>
        </is>
      </c>
      <c r="F1184" t="inlineStr">
        <is>
          <t>No</t>
        </is>
      </c>
      <c r="G1184" t="inlineStr">
        <is>
          <t>1</t>
        </is>
      </c>
      <c r="H1184" t="inlineStr">
        <is>
          <t>No</t>
        </is>
      </c>
      <c r="I1184" t="inlineStr">
        <is>
          <t>No</t>
        </is>
      </c>
      <c r="J1184" t="inlineStr">
        <is>
          <t>0</t>
        </is>
      </c>
      <c r="K1184" t="inlineStr">
        <is>
          <t>Diggins, John P.</t>
        </is>
      </c>
      <c r="L1184" t="inlineStr">
        <is>
          <t>Princeton, N.J. : Princeton University Press, [1972]</t>
        </is>
      </c>
      <c r="M1184" t="inlineStr">
        <is>
          <t>1972</t>
        </is>
      </c>
      <c r="O1184" t="inlineStr">
        <is>
          <t>eng</t>
        </is>
      </c>
      <c r="P1184" t="inlineStr">
        <is>
          <t>nju</t>
        </is>
      </c>
      <c r="R1184" t="inlineStr">
        <is>
          <t xml:space="preserve">DG </t>
        </is>
      </c>
      <c r="S1184" t="n">
        <v>4</v>
      </c>
      <c r="T1184" t="n">
        <v>4</v>
      </c>
      <c r="U1184" t="inlineStr">
        <is>
          <t>2005-11-22</t>
        </is>
      </c>
      <c r="V1184" t="inlineStr">
        <is>
          <t>2005-11-22</t>
        </is>
      </c>
      <c r="W1184" t="inlineStr">
        <is>
          <t>1993-07-14</t>
        </is>
      </c>
      <c r="X1184" t="inlineStr">
        <is>
          <t>1993-07-14</t>
        </is>
      </c>
      <c r="Y1184" t="n">
        <v>1274</v>
      </c>
      <c r="Z1184" t="n">
        <v>1086</v>
      </c>
      <c r="AA1184" t="n">
        <v>1327</v>
      </c>
      <c r="AB1184" t="n">
        <v>8</v>
      </c>
      <c r="AC1184" t="n">
        <v>9</v>
      </c>
      <c r="AD1184" t="n">
        <v>43</v>
      </c>
      <c r="AE1184" t="n">
        <v>48</v>
      </c>
      <c r="AF1184" t="n">
        <v>19</v>
      </c>
      <c r="AG1184" t="n">
        <v>22</v>
      </c>
      <c r="AH1184" t="n">
        <v>9</v>
      </c>
      <c r="AI1184" t="n">
        <v>10</v>
      </c>
      <c r="AJ1184" t="n">
        <v>19</v>
      </c>
      <c r="AK1184" t="n">
        <v>20</v>
      </c>
      <c r="AL1184" t="n">
        <v>7</v>
      </c>
      <c r="AM1184" t="n">
        <v>7</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HYPERLINK("https://creighton-primo.hosted.exlibrisgroup.com/primo-explore/search?tab=default_tab&amp;search_scope=EVERYTHING&amp;vid=01CRU&amp;lang=en_US&amp;offset=0&amp;query=any,contains,991002187209702656","Catalog Record")</f>
        <v/>
      </c>
      <c r="AT1184">
        <f>HYPERLINK("http://www.worldcat.org/oclc/280262","WorldCat Record")</f>
        <v/>
      </c>
      <c r="AU1184" t="inlineStr">
        <is>
          <t>14676101:eng</t>
        </is>
      </c>
      <c r="AV1184" t="inlineStr">
        <is>
          <t>280262</t>
        </is>
      </c>
      <c r="AW1184" t="inlineStr">
        <is>
          <t>991002187209702656</t>
        </is>
      </c>
      <c r="AX1184" t="inlineStr">
        <is>
          <t>991002187209702656</t>
        </is>
      </c>
      <c r="AY1184" t="inlineStr">
        <is>
          <t>2265267510002656</t>
        </is>
      </c>
      <c r="AZ1184" t="inlineStr">
        <is>
          <t>BOOK</t>
        </is>
      </c>
      <c r="BB1184" t="inlineStr">
        <is>
          <t>9780691046044</t>
        </is>
      </c>
      <c r="BC1184" t="inlineStr">
        <is>
          <t>32285001722981</t>
        </is>
      </c>
      <c r="BD1184" t="inlineStr">
        <is>
          <t>893256985</t>
        </is>
      </c>
    </row>
    <row r="1185">
      <c r="A1185" t="inlineStr">
        <is>
          <t>No</t>
        </is>
      </c>
      <c r="B1185" t="inlineStr">
        <is>
          <t>DG503 .H68</t>
        </is>
      </c>
      <c r="C1185" t="inlineStr">
        <is>
          <t>0                      DG 0503000H  68</t>
        </is>
      </c>
      <c r="D1185" t="inlineStr">
        <is>
          <t>Italy and her invaders, by Thomas Hodgkin.</t>
        </is>
      </c>
      <c r="E1185" t="inlineStr">
        <is>
          <t>V.3</t>
        </is>
      </c>
      <c r="F1185" t="inlineStr">
        <is>
          <t>Yes</t>
        </is>
      </c>
      <c r="G1185" t="inlineStr">
        <is>
          <t>1</t>
        </is>
      </c>
      <c r="H1185" t="inlineStr">
        <is>
          <t>No</t>
        </is>
      </c>
      <c r="I1185" t="inlineStr">
        <is>
          <t>No</t>
        </is>
      </c>
      <c r="J1185" t="inlineStr">
        <is>
          <t>0</t>
        </is>
      </c>
      <c r="K1185" t="inlineStr">
        <is>
          <t>Hodgkin, Thomas, 1831-1913.</t>
        </is>
      </c>
      <c r="L1185" t="inlineStr">
        <is>
          <t>Oxford, Clarendon press, 1885-99.</t>
        </is>
      </c>
      <c r="M1185" t="inlineStr">
        <is>
          <t>1885</t>
        </is>
      </c>
      <c r="O1185" t="inlineStr">
        <is>
          <t>eng</t>
        </is>
      </c>
      <c r="P1185" t="inlineStr">
        <is>
          <t xml:space="preserve">xx </t>
        </is>
      </c>
      <c r="R1185" t="inlineStr">
        <is>
          <t xml:space="preserve">DG </t>
        </is>
      </c>
      <c r="S1185" t="n">
        <v>1</v>
      </c>
      <c r="T1185" t="n">
        <v>9</v>
      </c>
      <c r="U1185" t="inlineStr">
        <is>
          <t>2001-05-19</t>
        </is>
      </c>
      <c r="V1185" t="inlineStr">
        <is>
          <t>2001-05-26</t>
        </is>
      </c>
      <c r="W1185" t="inlineStr">
        <is>
          <t>1997-02-04</t>
        </is>
      </c>
      <c r="X1185" t="inlineStr">
        <is>
          <t>1997-02-04</t>
        </is>
      </c>
      <c r="Y1185" t="n">
        <v>186</v>
      </c>
      <c r="Z1185" t="n">
        <v>161</v>
      </c>
      <c r="AA1185" t="n">
        <v>163</v>
      </c>
      <c r="AB1185" t="n">
        <v>2</v>
      </c>
      <c r="AC1185" t="n">
        <v>2</v>
      </c>
      <c r="AD1185" t="n">
        <v>12</v>
      </c>
      <c r="AE1185" t="n">
        <v>12</v>
      </c>
      <c r="AF1185" t="n">
        <v>3</v>
      </c>
      <c r="AG1185" t="n">
        <v>3</v>
      </c>
      <c r="AH1185" t="n">
        <v>2</v>
      </c>
      <c r="AI1185" t="n">
        <v>2</v>
      </c>
      <c r="AJ1185" t="n">
        <v>9</v>
      </c>
      <c r="AK1185" t="n">
        <v>9</v>
      </c>
      <c r="AL1185" t="n">
        <v>1</v>
      </c>
      <c r="AM1185" t="n">
        <v>1</v>
      </c>
      <c r="AN1185" t="n">
        <v>0</v>
      </c>
      <c r="AO1185" t="n">
        <v>0</v>
      </c>
      <c r="AP1185" t="inlineStr">
        <is>
          <t>Yes</t>
        </is>
      </c>
      <c r="AQ1185" t="inlineStr">
        <is>
          <t>No</t>
        </is>
      </c>
      <c r="AR1185">
        <f>HYPERLINK("http://catalog.hathitrust.org/Record/007708445","HathiTrust Record")</f>
        <v/>
      </c>
      <c r="AS1185">
        <f>HYPERLINK("https://creighton-primo.hosted.exlibrisgroup.com/primo-explore/search?tab=default_tab&amp;search_scope=EVERYTHING&amp;vid=01CRU&amp;lang=en_US&amp;offset=0&amp;query=any,contains,991004772419702656","Catalog Record")</f>
        <v/>
      </c>
      <c r="AT1185">
        <f>HYPERLINK("http://www.worldcat.org/oclc/5080433","WorldCat Record")</f>
        <v/>
      </c>
      <c r="AU1185" t="inlineStr">
        <is>
          <t>9593037701:eng</t>
        </is>
      </c>
      <c r="AV1185" t="inlineStr">
        <is>
          <t>5080433</t>
        </is>
      </c>
      <c r="AW1185" t="inlineStr">
        <is>
          <t>991004772419702656</t>
        </is>
      </c>
      <c r="AX1185" t="inlineStr">
        <is>
          <t>991004772419702656</t>
        </is>
      </c>
      <c r="AY1185" t="inlineStr">
        <is>
          <t>2255400740002656</t>
        </is>
      </c>
      <c r="AZ1185" t="inlineStr">
        <is>
          <t>BOOK</t>
        </is>
      </c>
      <c r="BC1185" t="inlineStr">
        <is>
          <t>32285002421625</t>
        </is>
      </c>
      <c r="BD1185" t="inlineStr">
        <is>
          <t>893889266</t>
        </is>
      </c>
    </row>
    <row r="1186">
      <c r="A1186" t="inlineStr">
        <is>
          <t>No</t>
        </is>
      </c>
      <c r="B1186" t="inlineStr">
        <is>
          <t>DG503 .H68</t>
        </is>
      </c>
      <c r="C1186" t="inlineStr">
        <is>
          <t>0                      DG 0503000H  68</t>
        </is>
      </c>
      <c r="D1186" t="inlineStr">
        <is>
          <t>Italy and her invaders, by Thomas Hodgkin.</t>
        </is>
      </c>
      <c r="E1186" t="inlineStr">
        <is>
          <t>V.1 PT.1</t>
        </is>
      </c>
      <c r="F1186" t="inlineStr">
        <is>
          <t>Yes</t>
        </is>
      </c>
      <c r="G1186" t="inlineStr">
        <is>
          <t>1</t>
        </is>
      </c>
      <c r="H1186" t="inlineStr">
        <is>
          <t>No</t>
        </is>
      </c>
      <c r="I1186" t="inlineStr">
        <is>
          <t>No</t>
        </is>
      </c>
      <c r="J1186" t="inlineStr">
        <is>
          <t>0</t>
        </is>
      </c>
      <c r="K1186" t="inlineStr">
        <is>
          <t>Hodgkin, Thomas, 1831-1913.</t>
        </is>
      </c>
      <c r="L1186" t="inlineStr">
        <is>
          <t>Oxford, Clarendon press, 1885-99.</t>
        </is>
      </c>
      <c r="M1186" t="inlineStr">
        <is>
          <t>1885</t>
        </is>
      </c>
      <c r="O1186" t="inlineStr">
        <is>
          <t>eng</t>
        </is>
      </c>
      <c r="P1186" t="inlineStr">
        <is>
          <t xml:space="preserve">xx </t>
        </is>
      </c>
      <c r="R1186" t="inlineStr">
        <is>
          <t xml:space="preserve">DG </t>
        </is>
      </c>
      <c r="S1186" t="n">
        <v>1</v>
      </c>
      <c r="T1186" t="n">
        <v>9</v>
      </c>
      <c r="U1186" t="inlineStr">
        <is>
          <t>2001-05-16</t>
        </is>
      </c>
      <c r="V1186" t="inlineStr">
        <is>
          <t>2001-05-26</t>
        </is>
      </c>
      <c r="W1186" t="inlineStr">
        <is>
          <t>1997-02-04</t>
        </is>
      </c>
      <c r="X1186" t="inlineStr">
        <is>
          <t>1997-02-04</t>
        </is>
      </c>
      <c r="Y1186" t="n">
        <v>186</v>
      </c>
      <c r="Z1186" t="n">
        <v>161</v>
      </c>
      <c r="AA1186" t="n">
        <v>163</v>
      </c>
      <c r="AB1186" t="n">
        <v>2</v>
      </c>
      <c r="AC1186" t="n">
        <v>2</v>
      </c>
      <c r="AD1186" t="n">
        <v>12</v>
      </c>
      <c r="AE1186" t="n">
        <v>12</v>
      </c>
      <c r="AF1186" t="n">
        <v>3</v>
      </c>
      <c r="AG1186" t="n">
        <v>3</v>
      </c>
      <c r="AH1186" t="n">
        <v>2</v>
      </c>
      <c r="AI1186" t="n">
        <v>2</v>
      </c>
      <c r="AJ1186" t="n">
        <v>9</v>
      </c>
      <c r="AK1186" t="n">
        <v>9</v>
      </c>
      <c r="AL1186" t="n">
        <v>1</v>
      </c>
      <c r="AM1186" t="n">
        <v>1</v>
      </c>
      <c r="AN1186" t="n">
        <v>0</v>
      </c>
      <c r="AO1186" t="n">
        <v>0</v>
      </c>
      <c r="AP1186" t="inlineStr">
        <is>
          <t>Yes</t>
        </is>
      </c>
      <c r="AQ1186" t="inlineStr">
        <is>
          <t>No</t>
        </is>
      </c>
      <c r="AR1186">
        <f>HYPERLINK("http://catalog.hathitrust.org/Record/007708445","HathiTrust Record")</f>
        <v/>
      </c>
      <c r="AS1186">
        <f>HYPERLINK("https://creighton-primo.hosted.exlibrisgroup.com/primo-explore/search?tab=default_tab&amp;search_scope=EVERYTHING&amp;vid=01CRU&amp;lang=en_US&amp;offset=0&amp;query=any,contains,991004772419702656","Catalog Record")</f>
        <v/>
      </c>
      <c r="AT1186">
        <f>HYPERLINK("http://www.worldcat.org/oclc/5080433","WorldCat Record")</f>
        <v/>
      </c>
      <c r="AU1186" t="inlineStr">
        <is>
          <t>9593037701:eng</t>
        </is>
      </c>
      <c r="AV1186" t="inlineStr">
        <is>
          <t>5080433</t>
        </is>
      </c>
      <c r="AW1186" t="inlineStr">
        <is>
          <t>991004772419702656</t>
        </is>
      </c>
      <c r="AX1186" t="inlineStr">
        <is>
          <t>991004772419702656</t>
        </is>
      </c>
      <c r="AY1186" t="inlineStr">
        <is>
          <t>2255400740002656</t>
        </is>
      </c>
      <c r="AZ1186" t="inlineStr">
        <is>
          <t>BOOK</t>
        </is>
      </c>
      <c r="BC1186" t="inlineStr">
        <is>
          <t>32285002421591</t>
        </is>
      </c>
      <c r="BD1186" t="inlineStr">
        <is>
          <t>893870096</t>
        </is>
      </c>
    </row>
    <row r="1187">
      <c r="A1187" t="inlineStr">
        <is>
          <t>No</t>
        </is>
      </c>
      <c r="B1187" t="inlineStr">
        <is>
          <t>DG503 .H68</t>
        </is>
      </c>
      <c r="C1187" t="inlineStr">
        <is>
          <t>0                      DG 0503000H  68</t>
        </is>
      </c>
      <c r="D1187" t="inlineStr">
        <is>
          <t>Italy and her invaders, by Thomas Hodgkin.</t>
        </is>
      </c>
      <c r="E1187" t="inlineStr">
        <is>
          <t>V.7</t>
        </is>
      </c>
      <c r="F1187" t="inlineStr">
        <is>
          <t>Yes</t>
        </is>
      </c>
      <c r="G1187" t="inlineStr">
        <is>
          <t>1</t>
        </is>
      </c>
      <c r="H1187" t="inlineStr">
        <is>
          <t>No</t>
        </is>
      </c>
      <c r="I1187" t="inlineStr">
        <is>
          <t>No</t>
        </is>
      </c>
      <c r="J1187" t="inlineStr">
        <is>
          <t>0</t>
        </is>
      </c>
      <c r="K1187" t="inlineStr">
        <is>
          <t>Hodgkin, Thomas, 1831-1913.</t>
        </is>
      </c>
      <c r="L1187" t="inlineStr">
        <is>
          <t>Oxford, Clarendon press, 1885-99.</t>
        </is>
      </c>
      <c r="M1187" t="inlineStr">
        <is>
          <t>1885</t>
        </is>
      </c>
      <c r="O1187" t="inlineStr">
        <is>
          <t>eng</t>
        </is>
      </c>
      <c r="P1187" t="inlineStr">
        <is>
          <t xml:space="preserve">xx </t>
        </is>
      </c>
      <c r="R1187" t="inlineStr">
        <is>
          <t xml:space="preserve">DG </t>
        </is>
      </c>
      <c r="S1187" t="n">
        <v>1</v>
      </c>
      <c r="T1187" t="n">
        <v>9</v>
      </c>
      <c r="U1187" t="inlineStr">
        <is>
          <t>2001-05-26</t>
        </is>
      </c>
      <c r="V1187" t="inlineStr">
        <is>
          <t>2001-05-26</t>
        </is>
      </c>
      <c r="W1187" t="inlineStr">
        <is>
          <t>1997-02-04</t>
        </is>
      </c>
      <c r="X1187" t="inlineStr">
        <is>
          <t>1997-02-04</t>
        </is>
      </c>
      <c r="Y1187" t="n">
        <v>186</v>
      </c>
      <c r="Z1187" t="n">
        <v>161</v>
      </c>
      <c r="AA1187" t="n">
        <v>163</v>
      </c>
      <c r="AB1187" t="n">
        <v>2</v>
      </c>
      <c r="AC1187" t="n">
        <v>2</v>
      </c>
      <c r="AD1187" t="n">
        <v>12</v>
      </c>
      <c r="AE1187" t="n">
        <v>12</v>
      </c>
      <c r="AF1187" t="n">
        <v>3</v>
      </c>
      <c r="AG1187" t="n">
        <v>3</v>
      </c>
      <c r="AH1187" t="n">
        <v>2</v>
      </c>
      <c r="AI1187" t="n">
        <v>2</v>
      </c>
      <c r="AJ1187" t="n">
        <v>9</v>
      </c>
      <c r="AK1187" t="n">
        <v>9</v>
      </c>
      <c r="AL1187" t="n">
        <v>1</v>
      </c>
      <c r="AM1187" t="n">
        <v>1</v>
      </c>
      <c r="AN1187" t="n">
        <v>0</v>
      </c>
      <c r="AO1187" t="n">
        <v>0</v>
      </c>
      <c r="AP1187" t="inlineStr">
        <is>
          <t>Yes</t>
        </is>
      </c>
      <c r="AQ1187" t="inlineStr">
        <is>
          <t>No</t>
        </is>
      </c>
      <c r="AR1187">
        <f>HYPERLINK("http://catalog.hathitrust.org/Record/007708445","HathiTrust Record")</f>
        <v/>
      </c>
      <c r="AS1187">
        <f>HYPERLINK("https://creighton-primo.hosted.exlibrisgroup.com/primo-explore/search?tab=default_tab&amp;search_scope=EVERYTHING&amp;vid=01CRU&amp;lang=en_US&amp;offset=0&amp;query=any,contains,991004772419702656","Catalog Record")</f>
        <v/>
      </c>
      <c r="AT1187">
        <f>HYPERLINK("http://www.worldcat.org/oclc/5080433","WorldCat Record")</f>
        <v/>
      </c>
      <c r="AU1187" t="inlineStr">
        <is>
          <t>9593037701:eng</t>
        </is>
      </c>
      <c r="AV1187" t="inlineStr">
        <is>
          <t>5080433</t>
        </is>
      </c>
      <c r="AW1187" t="inlineStr">
        <is>
          <t>991004772419702656</t>
        </is>
      </c>
      <c r="AX1187" t="inlineStr">
        <is>
          <t>991004772419702656</t>
        </is>
      </c>
      <c r="AY1187" t="inlineStr">
        <is>
          <t>2255400740002656</t>
        </is>
      </c>
      <c r="AZ1187" t="inlineStr">
        <is>
          <t>BOOK</t>
        </is>
      </c>
      <c r="BC1187" t="inlineStr">
        <is>
          <t>32285002421666</t>
        </is>
      </c>
      <c r="BD1187" t="inlineStr">
        <is>
          <t>893889267</t>
        </is>
      </c>
    </row>
    <row r="1188">
      <c r="A1188" t="inlineStr">
        <is>
          <t>No</t>
        </is>
      </c>
      <c r="B1188" t="inlineStr">
        <is>
          <t>DG503 .H68</t>
        </is>
      </c>
      <c r="C1188" t="inlineStr">
        <is>
          <t>0                      DG 0503000H  68</t>
        </is>
      </c>
      <c r="D1188" t="inlineStr">
        <is>
          <t>Italy and her invaders, by Thomas Hodgkin.</t>
        </is>
      </c>
      <c r="E1188" t="inlineStr">
        <is>
          <t>V.1 PT.2</t>
        </is>
      </c>
      <c r="F1188" t="inlineStr">
        <is>
          <t>Yes</t>
        </is>
      </c>
      <c r="G1188" t="inlineStr">
        <is>
          <t>1</t>
        </is>
      </c>
      <c r="H1188" t="inlineStr">
        <is>
          <t>No</t>
        </is>
      </c>
      <c r="I1188" t="inlineStr">
        <is>
          <t>No</t>
        </is>
      </c>
      <c r="J1188" t="inlineStr">
        <is>
          <t>0</t>
        </is>
      </c>
      <c r="K1188" t="inlineStr">
        <is>
          <t>Hodgkin, Thomas, 1831-1913.</t>
        </is>
      </c>
      <c r="L1188" t="inlineStr">
        <is>
          <t>Oxford, Clarendon press, 1885-99.</t>
        </is>
      </c>
      <c r="M1188" t="inlineStr">
        <is>
          <t>1885</t>
        </is>
      </c>
      <c r="O1188" t="inlineStr">
        <is>
          <t>eng</t>
        </is>
      </c>
      <c r="P1188" t="inlineStr">
        <is>
          <t xml:space="preserve">xx </t>
        </is>
      </c>
      <c r="R1188" t="inlineStr">
        <is>
          <t xml:space="preserve">DG </t>
        </is>
      </c>
      <c r="S1188" t="n">
        <v>1</v>
      </c>
      <c r="T1188" t="n">
        <v>9</v>
      </c>
      <c r="U1188" t="inlineStr">
        <is>
          <t>2001-05-16</t>
        </is>
      </c>
      <c r="V1188" t="inlineStr">
        <is>
          <t>2001-05-26</t>
        </is>
      </c>
      <c r="W1188" t="inlineStr">
        <is>
          <t>1997-02-04</t>
        </is>
      </c>
      <c r="X1188" t="inlineStr">
        <is>
          <t>1997-02-04</t>
        </is>
      </c>
      <c r="Y1188" t="n">
        <v>186</v>
      </c>
      <c r="Z1188" t="n">
        <v>161</v>
      </c>
      <c r="AA1188" t="n">
        <v>163</v>
      </c>
      <c r="AB1188" t="n">
        <v>2</v>
      </c>
      <c r="AC1188" t="n">
        <v>2</v>
      </c>
      <c r="AD1188" t="n">
        <v>12</v>
      </c>
      <c r="AE1188" t="n">
        <v>12</v>
      </c>
      <c r="AF1188" t="n">
        <v>3</v>
      </c>
      <c r="AG1188" t="n">
        <v>3</v>
      </c>
      <c r="AH1188" t="n">
        <v>2</v>
      </c>
      <c r="AI1188" t="n">
        <v>2</v>
      </c>
      <c r="AJ1188" t="n">
        <v>9</v>
      </c>
      <c r="AK1188" t="n">
        <v>9</v>
      </c>
      <c r="AL1188" t="n">
        <v>1</v>
      </c>
      <c r="AM1188" t="n">
        <v>1</v>
      </c>
      <c r="AN1188" t="n">
        <v>0</v>
      </c>
      <c r="AO1188" t="n">
        <v>0</v>
      </c>
      <c r="AP1188" t="inlineStr">
        <is>
          <t>Yes</t>
        </is>
      </c>
      <c r="AQ1188" t="inlineStr">
        <is>
          <t>No</t>
        </is>
      </c>
      <c r="AR1188">
        <f>HYPERLINK("http://catalog.hathitrust.org/Record/007708445","HathiTrust Record")</f>
        <v/>
      </c>
      <c r="AS1188">
        <f>HYPERLINK("https://creighton-primo.hosted.exlibrisgroup.com/primo-explore/search?tab=default_tab&amp;search_scope=EVERYTHING&amp;vid=01CRU&amp;lang=en_US&amp;offset=0&amp;query=any,contains,991004772419702656","Catalog Record")</f>
        <v/>
      </c>
      <c r="AT1188">
        <f>HYPERLINK("http://www.worldcat.org/oclc/5080433","WorldCat Record")</f>
        <v/>
      </c>
      <c r="AU1188" t="inlineStr">
        <is>
          <t>9593037701:eng</t>
        </is>
      </c>
      <c r="AV1188" t="inlineStr">
        <is>
          <t>5080433</t>
        </is>
      </c>
      <c r="AW1188" t="inlineStr">
        <is>
          <t>991004772419702656</t>
        </is>
      </c>
      <c r="AX1188" t="inlineStr">
        <is>
          <t>991004772419702656</t>
        </is>
      </c>
      <c r="AY1188" t="inlineStr">
        <is>
          <t>2255400740002656</t>
        </is>
      </c>
      <c r="AZ1188" t="inlineStr">
        <is>
          <t>BOOK</t>
        </is>
      </c>
      <c r="BC1188" t="inlineStr">
        <is>
          <t>32285002421609</t>
        </is>
      </c>
      <c r="BD1188" t="inlineStr">
        <is>
          <t>893882921</t>
        </is>
      </c>
    </row>
    <row r="1189">
      <c r="A1189" t="inlineStr">
        <is>
          <t>No</t>
        </is>
      </c>
      <c r="B1189" t="inlineStr">
        <is>
          <t>DG503 .H68</t>
        </is>
      </c>
      <c r="C1189" t="inlineStr">
        <is>
          <t>0                      DG 0503000H  68</t>
        </is>
      </c>
      <c r="D1189" t="inlineStr">
        <is>
          <t>Italy and her invaders, by Thomas Hodgkin.</t>
        </is>
      </c>
      <c r="E1189" t="inlineStr">
        <is>
          <t>V.8</t>
        </is>
      </c>
      <c r="F1189" t="inlineStr">
        <is>
          <t>Yes</t>
        </is>
      </c>
      <c r="G1189" t="inlineStr">
        <is>
          <t>1</t>
        </is>
      </c>
      <c r="H1189" t="inlineStr">
        <is>
          <t>No</t>
        </is>
      </c>
      <c r="I1189" t="inlineStr">
        <is>
          <t>No</t>
        </is>
      </c>
      <c r="J1189" t="inlineStr">
        <is>
          <t>0</t>
        </is>
      </c>
      <c r="K1189" t="inlineStr">
        <is>
          <t>Hodgkin, Thomas, 1831-1913.</t>
        </is>
      </c>
      <c r="L1189" t="inlineStr">
        <is>
          <t>Oxford, Clarendon press, 1885-99.</t>
        </is>
      </c>
      <c r="M1189" t="inlineStr">
        <is>
          <t>1885</t>
        </is>
      </c>
      <c r="O1189" t="inlineStr">
        <is>
          <t>eng</t>
        </is>
      </c>
      <c r="P1189" t="inlineStr">
        <is>
          <t xml:space="preserve">xx </t>
        </is>
      </c>
      <c r="R1189" t="inlineStr">
        <is>
          <t xml:space="preserve">DG </t>
        </is>
      </c>
      <c r="S1189" t="n">
        <v>1</v>
      </c>
      <c r="T1189" t="n">
        <v>9</v>
      </c>
      <c r="U1189" t="inlineStr">
        <is>
          <t>2001-05-26</t>
        </is>
      </c>
      <c r="V1189" t="inlineStr">
        <is>
          <t>2001-05-26</t>
        </is>
      </c>
      <c r="W1189" t="inlineStr">
        <is>
          <t>1997-02-04</t>
        </is>
      </c>
      <c r="X1189" t="inlineStr">
        <is>
          <t>1997-02-04</t>
        </is>
      </c>
      <c r="Y1189" t="n">
        <v>186</v>
      </c>
      <c r="Z1189" t="n">
        <v>161</v>
      </c>
      <c r="AA1189" t="n">
        <v>163</v>
      </c>
      <c r="AB1189" t="n">
        <v>2</v>
      </c>
      <c r="AC1189" t="n">
        <v>2</v>
      </c>
      <c r="AD1189" t="n">
        <v>12</v>
      </c>
      <c r="AE1189" t="n">
        <v>12</v>
      </c>
      <c r="AF1189" t="n">
        <v>3</v>
      </c>
      <c r="AG1189" t="n">
        <v>3</v>
      </c>
      <c r="AH1189" t="n">
        <v>2</v>
      </c>
      <c r="AI1189" t="n">
        <v>2</v>
      </c>
      <c r="AJ1189" t="n">
        <v>9</v>
      </c>
      <c r="AK1189" t="n">
        <v>9</v>
      </c>
      <c r="AL1189" t="n">
        <v>1</v>
      </c>
      <c r="AM1189" t="n">
        <v>1</v>
      </c>
      <c r="AN1189" t="n">
        <v>0</v>
      </c>
      <c r="AO1189" t="n">
        <v>0</v>
      </c>
      <c r="AP1189" t="inlineStr">
        <is>
          <t>Yes</t>
        </is>
      </c>
      <c r="AQ1189" t="inlineStr">
        <is>
          <t>No</t>
        </is>
      </c>
      <c r="AR1189">
        <f>HYPERLINK("http://catalog.hathitrust.org/Record/007708445","HathiTrust Record")</f>
        <v/>
      </c>
      <c r="AS1189">
        <f>HYPERLINK("https://creighton-primo.hosted.exlibrisgroup.com/primo-explore/search?tab=default_tab&amp;search_scope=EVERYTHING&amp;vid=01CRU&amp;lang=en_US&amp;offset=0&amp;query=any,contains,991004772419702656","Catalog Record")</f>
        <v/>
      </c>
      <c r="AT1189">
        <f>HYPERLINK("http://www.worldcat.org/oclc/5080433","WorldCat Record")</f>
        <v/>
      </c>
      <c r="AU1189" t="inlineStr">
        <is>
          <t>9593037701:eng</t>
        </is>
      </c>
      <c r="AV1189" t="inlineStr">
        <is>
          <t>5080433</t>
        </is>
      </c>
      <c r="AW1189" t="inlineStr">
        <is>
          <t>991004772419702656</t>
        </is>
      </c>
      <c r="AX1189" t="inlineStr">
        <is>
          <t>991004772419702656</t>
        </is>
      </c>
      <c r="AY1189" t="inlineStr">
        <is>
          <t>2255400740002656</t>
        </is>
      </c>
      <c r="AZ1189" t="inlineStr">
        <is>
          <t>BOOK</t>
        </is>
      </c>
      <c r="BC1189" t="inlineStr">
        <is>
          <t>32285002421674</t>
        </is>
      </c>
      <c r="BD1189" t="inlineStr">
        <is>
          <t>893870094</t>
        </is>
      </c>
    </row>
    <row r="1190">
      <c r="A1190" t="inlineStr">
        <is>
          <t>No</t>
        </is>
      </c>
      <c r="B1190" t="inlineStr">
        <is>
          <t>DG503 .H68</t>
        </is>
      </c>
      <c r="C1190" t="inlineStr">
        <is>
          <t>0                      DG 0503000H  68</t>
        </is>
      </c>
      <c r="D1190" t="inlineStr">
        <is>
          <t>Italy and her invaders, by Thomas Hodgkin.</t>
        </is>
      </c>
      <c r="E1190" t="inlineStr">
        <is>
          <t>V.2</t>
        </is>
      </c>
      <c r="F1190" t="inlineStr">
        <is>
          <t>Yes</t>
        </is>
      </c>
      <c r="G1190" t="inlineStr">
        <is>
          <t>1</t>
        </is>
      </c>
      <c r="H1190" t="inlineStr">
        <is>
          <t>No</t>
        </is>
      </c>
      <c r="I1190" t="inlineStr">
        <is>
          <t>No</t>
        </is>
      </c>
      <c r="J1190" t="inlineStr">
        <is>
          <t>0</t>
        </is>
      </c>
      <c r="K1190" t="inlineStr">
        <is>
          <t>Hodgkin, Thomas, 1831-1913.</t>
        </is>
      </c>
      <c r="L1190" t="inlineStr">
        <is>
          <t>Oxford, Clarendon press, 1885-99.</t>
        </is>
      </c>
      <c r="M1190" t="inlineStr">
        <is>
          <t>1885</t>
        </is>
      </c>
      <c r="O1190" t="inlineStr">
        <is>
          <t>eng</t>
        </is>
      </c>
      <c r="P1190" t="inlineStr">
        <is>
          <t xml:space="preserve">xx </t>
        </is>
      </c>
      <c r="R1190" t="inlineStr">
        <is>
          <t xml:space="preserve">DG </t>
        </is>
      </c>
      <c r="S1190" t="n">
        <v>1</v>
      </c>
      <c r="T1190" t="n">
        <v>9</v>
      </c>
      <c r="U1190" t="inlineStr">
        <is>
          <t>2001-05-19</t>
        </is>
      </c>
      <c r="V1190" t="inlineStr">
        <is>
          <t>2001-05-26</t>
        </is>
      </c>
      <c r="W1190" t="inlineStr">
        <is>
          <t>1997-02-04</t>
        </is>
      </c>
      <c r="X1190" t="inlineStr">
        <is>
          <t>1997-02-04</t>
        </is>
      </c>
      <c r="Y1190" t="n">
        <v>186</v>
      </c>
      <c r="Z1190" t="n">
        <v>161</v>
      </c>
      <c r="AA1190" t="n">
        <v>163</v>
      </c>
      <c r="AB1190" t="n">
        <v>2</v>
      </c>
      <c r="AC1190" t="n">
        <v>2</v>
      </c>
      <c r="AD1190" t="n">
        <v>12</v>
      </c>
      <c r="AE1190" t="n">
        <v>12</v>
      </c>
      <c r="AF1190" t="n">
        <v>3</v>
      </c>
      <c r="AG1190" t="n">
        <v>3</v>
      </c>
      <c r="AH1190" t="n">
        <v>2</v>
      </c>
      <c r="AI1190" t="n">
        <v>2</v>
      </c>
      <c r="AJ1190" t="n">
        <v>9</v>
      </c>
      <c r="AK1190" t="n">
        <v>9</v>
      </c>
      <c r="AL1190" t="n">
        <v>1</v>
      </c>
      <c r="AM1190" t="n">
        <v>1</v>
      </c>
      <c r="AN1190" t="n">
        <v>0</v>
      </c>
      <c r="AO1190" t="n">
        <v>0</v>
      </c>
      <c r="AP1190" t="inlineStr">
        <is>
          <t>Yes</t>
        </is>
      </c>
      <c r="AQ1190" t="inlineStr">
        <is>
          <t>No</t>
        </is>
      </c>
      <c r="AR1190">
        <f>HYPERLINK("http://catalog.hathitrust.org/Record/007708445","HathiTrust Record")</f>
        <v/>
      </c>
      <c r="AS1190">
        <f>HYPERLINK("https://creighton-primo.hosted.exlibrisgroup.com/primo-explore/search?tab=default_tab&amp;search_scope=EVERYTHING&amp;vid=01CRU&amp;lang=en_US&amp;offset=0&amp;query=any,contains,991004772419702656","Catalog Record")</f>
        <v/>
      </c>
      <c r="AT1190">
        <f>HYPERLINK("http://www.worldcat.org/oclc/5080433","WorldCat Record")</f>
        <v/>
      </c>
      <c r="AU1190" t="inlineStr">
        <is>
          <t>9593037701:eng</t>
        </is>
      </c>
      <c r="AV1190" t="inlineStr">
        <is>
          <t>5080433</t>
        </is>
      </c>
      <c r="AW1190" t="inlineStr">
        <is>
          <t>991004772419702656</t>
        </is>
      </c>
      <c r="AX1190" t="inlineStr">
        <is>
          <t>991004772419702656</t>
        </is>
      </c>
      <c r="AY1190" t="inlineStr">
        <is>
          <t>2255400740002656</t>
        </is>
      </c>
      <c r="AZ1190" t="inlineStr">
        <is>
          <t>BOOK</t>
        </is>
      </c>
      <c r="BC1190" t="inlineStr">
        <is>
          <t>32285002421617</t>
        </is>
      </c>
      <c r="BD1190" t="inlineStr">
        <is>
          <t>893870095</t>
        </is>
      </c>
    </row>
    <row r="1191">
      <c r="A1191" t="inlineStr">
        <is>
          <t>No</t>
        </is>
      </c>
      <c r="B1191" t="inlineStr">
        <is>
          <t>DG503 .H68</t>
        </is>
      </c>
      <c r="C1191" t="inlineStr">
        <is>
          <t>0                      DG 0503000H  68</t>
        </is>
      </c>
      <c r="D1191" t="inlineStr">
        <is>
          <t>Italy and her invaders, by Thomas Hodgkin.</t>
        </is>
      </c>
      <c r="E1191" t="inlineStr">
        <is>
          <t>V.6</t>
        </is>
      </c>
      <c r="F1191" t="inlineStr">
        <is>
          <t>Yes</t>
        </is>
      </c>
      <c r="G1191" t="inlineStr">
        <is>
          <t>1</t>
        </is>
      </c>
      <c r="H1191" t="inlineStr">
        <is>
          <t>No</t>
        </is>
      </c>
      <c r="I1191" t="inlineStr">
        <is>
          <t>No</t>
        </is>
      </c>
      <c r="J1191" t="inlineStr">
        <is>
          <t>0</t>
        </is>
      </c>
      <c r="K1191" t="inlineStr">
        <is>
          <t>Hodgkin, Thomas, 1831-1913.</t>
        </is>
      </c>
      <c r="L1191" t="inlineStr">
        <is>
          <t>Oxford, Clarendon press, 1885-99.</t>
        </is>
      </c>
      <c r="M1191" t="inlineStr">
        <is>
          <t>1885</t>
        </is>
      </c>
      <c r="O1191" t="inlineStr">
        <is>
          <t>eng</t>
        </is>
      </c>
      <c r="P1191" t="inlineStr">
        <is>
          <t xml:space="preserve">xx </t>
        </is>
      </c>
      <c r="R1191" t="inlineStr">
        <is>
          <t xml:space="preserve">DG </t>
        </is>
      </c>
      <c r="S1191" t="n">
        <v>1</v>
      </c>
      <c r="T1191" t="n">
        <v>9</v>
      </c>
      <c r="U1191" t="inlineStr">
        <is>
          <t>2001-05-26</t>
        </is>
      </c>
      <c r="V1191" t="inlineStr">
        <is>
          <t>2001-05-26</t>
        </is>
      </c>
      <c r="W1191" t="inlineStr">
        <is>
          <t>1997-02-04</t>
        </is>
      </c>
      <c r="X1191" t="inlineStr">
        <is>
          <t>1997-02-04</t>
        </is>
      </c>
      <c r="Y1191" t="n">
        <v>186</v>
      </c>
      <c r="Z1191" t="n">
        <v>161</v>
      </c>
      <c r="AA1191" t="n">
        <v>163</v>
      </c>
      <c r="AB1191" t="n">
        <v>2</v>
      </c>
      <c r="AC1191" t="n">
        <v>2</v>
      </c>
      <c r="AD1191" t="n">
        <v>12</v>
      </c>
      <c r="AE1191" t="n">
        <v>12</v>
      </c>
      <c r="AF1191" t="n">
        <v>3</v>
      </c>
      <c r="AG1191" t="n">
        <v>3</v>
      </c>
      <c r="AH1191" t="n">
        <v>2</v>
      </c>
      <c r="AI1191" t="n">
        <v>2</v>
      </c>
      <c r="AJ1191" t="n">
        <v>9</v>
      </c>
      <c r="AK1191" t="n">
        <v>9</v>
      </c>
      <c r="AL1191" t="n">
        <v>1</v>
      </c>
      <c r="AM1191" t="n">
        <v>1</v>
      </c>
      <c r="AN1191" t="n">
        <v>0</v>
      </c>
      <c r="AO1191" t="n">
        <v>0</v>
      </c>
      <c r="AP1191" t="inlineStr">
        <is>
          <t>Yes</t>
        </is>
      </c>
      <c r="AQ1191" t="inlineStr">
        <is>
          <t>No</t>
        </is>
      </c>
      <c r="AR1191">
        <f>HYPERLINK("http://catalog.hathitrust.org/Record/007708445","HathiTrust Record")</f>
        <v/>
      </c>
      <c r="AS1191">
        <f>HYPERLINK("https://creighton-primo.hosted.exlibrisgroup.com/primo-explore/search?tab=default_tab&amp;search_scope=EVERYTHING&amp;vid=01CRU&amp;lang=en_US&amp;offset=0&amp;query=any,contains,991004772419702656","Catalog Record")</f>
        <v/>
      </c>
      <c r="AT1191">
        <f>HYPERLINK("http://www.worldcat.org/oclc/5080433","WorldCat Record")</f>
        <v/>
      </c>
      <c r="AU1191" t="inlineStr">
        <is>
          <t>9593037701:eng</t>
        </is>
      </c>
      <c r="AV1191" t="inlineStr">
        <is>
          <t>5080433</t>
        </is>
      </c>
      <c r="AW1191" t="inlineStr">
        <is>
          <t>991004772419702656</t>
        </is>
      </c>
      <c r="AX1191" t="inlineStr">
        <is>
          <t>991004772419702656</t>
        </is>
      </c>
      <c r="AY1191" t="inlineStr">
        <is>
          <t>2255400740002656</t>
        </is>
      </c>
      <c r="AZ1191" t="inlineStr">
        <is>
          <t>BOOK</t>
        </is>
      </c>
      <c r="BC1191" t="inlineStr">
        <is>
          <t>32285002421658</t>
        </is>
      </c>
      <c r="BD1191" t="inlineStr">
        <is>
          <t>893882922</t>
        </is>
      </c>
    </row>
    <row r="1192">
      <c r="A1192" t="inlineStr">
        <is>
          <t>No</t>
        </is>
      </c>
      <c r="B1192" t="inlineStr">
        <is>
          <t>DG503 .H68</t>
        </is>
      </c>
      <c r="C1192" t="inlineStr">
        <is>
          <t>0                      DG 0503000H  68</t>
        </is>
      </c>
      <c r="D1192" t="inlineStr">
        <is>
          <t>Italy and her invaders, by Thomas Hodgkin.</t>
        </is>
      </c>
      <c r="E1192" t="inlineStr">
        <is>
          <t>V.5</t>
        </is>
      </c>
      <c r="F1192" t="inlineStr">
        <is>
          <t>Yes</t>
        </is>
      </c>
      <c r="G1192" t="inlineStr">
        <is>
          <t>1</t>
        </is>
      </c>
      <c r="H1192" t="inlineStr">
        <is>
          <t>No</t>
        </is>
      </c>
      <c r="I1192" t="inlineStr">
        <is>
          <t>No</t>
        </is>
      </c>
      <c r="J1192" t="inlineStr">
        <is>
          <t>0</t>
        </is>
      </c>
      <c r="K1192" t="inlineStr">
        <is>
          <t>Hodgkin, Thomas, 1831-1913.</t>
        </is>
      </c>
      <c r="L1192" t="inlineStr">
        <is>
          <t>Oxford, Clarendon press, 1885-99.</t>
        </is>
      </c>
      <c r="M1192" t="inlineStr">
        <is>
          <t>1885</t>
        </is>
      </c>
      <c r="O1192" t="inlineStr">
        <is>
          <t>eng</t>
        </is>
      </c>
      <c r="P1192" t="inlineStr">
        <is>
          <t xml:space="preserve">xx </t>
        </is>
      </c>
      <c r="R1192" t="inlineStr">
        <is>
          <t xml:space="preserve">DG </t>
        </is>
      </c>
      <c r="S1192" t="n">
        <v>1</v>
      </c>
      <c r="T1192" t="n">
        <v>9</v>
      </c>
      <c r="U1192" t="inlineStr">
        <is>
          <t>2001-05-21</t>
        </is>
      </c>
      <c r="V1192" t="inlineStr">
        <is>
          <t>2001-05-26</t>
        </is>
      </c>
      <c r="W1192" t="inlineStr">
        <is>
          <t>1997-02-04</t>
        </is>
      </c>
      <c r="X1192" t="inlineStr">
        <is>
          <t>1997-02-04</t>
        </is>
      </c>
      <c r="Y1192" t="n">
        <v>186</v>
      </c>
      <c r="Z1192" t="n">
        <v>161</v>
      </c>
      <c r="AA1192" t="n">
        <v>163</v>
      </c>
      <c r="AB1192" t="n">
        <v>2</v>
      </c>
      <c r="AC1192" t="n">
        <v>2</v>
      </c>
      <c r="AD1192" t="n">
        <v>12</v>
      </c>
      <c r="AE1192" t="n">
        <v>12</v>
      </c>
      <c r="AF1192" t="n">
        <v>3</v>
      </c>
      <c r="AG1192" t="n">
        <v>3</v>
      </c>
      <c r="AH1192" t="n">
        <v>2</v>
      </c>
      <c r="AI1192" t="n">
        <v>2</v>
      </c>
      <c r="AJ1192" t="n">
        <v>9</v>
      </c>
      <c r="AK1192" t="n">
        <v>9</v>
      </c>
      <c r="AL1192" t="n">
        <v>1</v>
      </c>
      <c r="AM1192" t="n">
        <v>1</v>
      </c>
      <c r="AN1192" t="n">
        <v>0</v>
      </c>
      <c r="AO1192" t="n">
        <v>0</v>
      </c>
      <c r="AP1192" t="inlineStr">
        <is>
          <t>Yes</t>
        </is>
      </c>
      <c r="AQ1192" t="inlineStr">
        <is>
          <t>No</t>
        </is>
      </c>
      <c r="AR1192">
        <f>HYPERLINK("http://catalog.hathitrust.org/Record/007708445","HathiTrust Record")</f>
        <v/>
      </c>
      <c r="AS1192">
        <f>HYPERLINK("https://creighton-primo.hosted.exlibrisgroup.com/primo-explore/search?tab=default_tab&amp;search_scope=EVERYTHING&amp;vid=01CRU&amp;lang=en_US&amp;offset=0&amp;query=any,contains,991004772419702656","Catalog Record")</f>
        <v/>
      </c>
      <c r="AT1192">
        <f>HYPERLINK("http://www.worldcat.org/oclc/5080433","WorldCat Record")</f>
        <v/>
      </c>
      <c r="AU1192" t="inlineStr">
        <is>
          <t>9593037701:eng</t>
        </is>
      </c>
      <c r="AV1192" t="inlineStr">
        <is>
          <t>5080433</t>
        </is>
      </c>
      <c r="AW1192" t="inlineStr">
        <is>
          <t>991004772419702656</t>
        </is>
      </c>
      <c r="AX1192" t="inlineStr">
        <is>
          <t>991004772419702656</t>
        </is>
      </c>
      <c r="AY1192" t="inlineStr">
        <is>
          <t>2255400740002656</t>
        </is>
      </c>
      <c r="AZ1192" t="inlineStr">
        <is>
          <t>BOOK</t>
        </is>
      </c>
      <c r="BC1192" t="inlineStr">
        <is>
          <t>32285002421641</t>
        </is>
      </c>
      <c r="BD1192" t="inlineStr">
        <is>
          <t>893870097</t>
        </is>
      </c>
    </row>
    <row r="1193">
      <c r="A1193" t="inlineStr">
        <is>
          <t>No</t>
        </is>
      </c>
      <c r="B1193" t="inlineStr">
        <is>
          <t>DG503 .H68</t>
        </is>
      </c>
      <c r="C1193" t="inlineStr">
        <is>
          <t>0                      DG 0503000H  68</t>
        </is>
      </c>
      <c r="D1193" t="inlineStr">
        <is>
          <t>Italy and her invaders, by Thomas Hodgkin.</t>
        </is>
      </c>
      <c r="E1193" t="inlineStr">
        <is>
          <t>V.4</t>
        </is>
      </c>
      <c r="F1193" t="inlineStr">
        <is>
          <t>Yes</t>
        </is>
      </c>
      <c r="G1193" t="inlineStr">
        <is>
          <t>1</t>
        </is>
      </c>
      <c r="H1193" t="inlineStr">
        <is>
          <t>No</t>
        </is>
      </c>
      <c r="I1193" t="inlineStr">
        <is>
          <t>No</t>
        </is>
      </c>
      <c r="J1193" t="inlineStr">
        <is>
          <t>0</t>
        </is>
      </c>
      <c r="K1193" t="inlineStr">
        <is>
          <t>Hodgkin, Thomas, 1831-1913.</t>
        </is>
      </c>
      <c r="L1193" t="inlineStr">
        <is>
          <t>Oxford, Clarendon press, 1885-99.</t>
        </is>
      </c>
      <c r="M1193" t="inlineStr">
        <is>
          <t>1885</t>
        </is>
      </c>
      <c r="O1193" t="inlineStr">
        <is>
          <t>eng</t>
        </is>
      </c>
      <c r="P1193" t="inlineStr">
        <is>
          <t xml:space="preserve">xx </t>
        </is>
      </c>
      <c r="R1193" t="inlineStr">
        <is>
          <t xml:space="preserve">DG </t>
        </is>
      </c>
      <c r="S1193" t="n">
        <v>1</v>
      </c>
      <c r="T1193" t="n">
        <v>9</v>
      </c>
      <c r="U1193" t="inlineStr">
        <is>
          <t>2001-05-19</t>
        </is>
      </c>
      <c r="V1193" t="inlineStr">
        <is>
          <t>2001-05-26</t>
        </is>
      </c>
      <c r="W1193" t="inlineStr">
        <is>
          <t>1997-02-04</t>
        </is>
      </c>
      <c r="X1193" t="inlineStr">
        <is>
          <t>1997-02-04</t>
        </is>
      </c>
      <c r="Y1193" t="n">
        <v>186</v>
      </c>
      <c r="Z1193" t="n">
        <v>161</v>
      </c>
      <c r="AA1193" t="n">
        <v>163</v>
      </c>
      <c r="AB1193" t="n">
        <v>2</v>
      </c>
      <c r="AC1193" t="n">
        <v>2</v>
      </c>
      <c r="AD1193" t="n">
        <v>12</v>
      </c>
      <c r="AE1193" t="n">
        <v>12</v>
      </c>
      <c r="AF1193" t="n">
        <v>3</v>
      </c>
      <c r="AG1193" t="n">
        <v>3</v>
      </c>
      <c r="AH1193" t="n">
        <v>2</v>
      </c>
      <c r="AI1193" t="n">
        <v>2</v>
      </c>
      <c r="AJ1193" t="n">
        <v>9</v>
      </c>
      <c r="AK1193" t="n">
        <v>9</v>
      </c>
      <c r="AL1193" t="n">
        <v>1</v>
      </c>
      <c r="AM1193" t="n">
        <v>1</v>
      </c>
      <c r="AN1193" t="n">
        <v>0</v>
      </c>
      <c r="AO1193" t="n">
        <v>0</v>
      </c>
      <c r="AP1193" t="inlineStr">
        <is>
          <t>Yes</t>
        </is>
      </c>
      <c r="AQ1193" t="inlineStr">
        <is>
          <t>No</t>
        </is>
      </c>
      <c r="AR1193">
        <f>HYPERLINK("http://catalog.hathitrust.org/Record/007708445","HathiTrust Record")</f>
        <v/>
      </c>
      <c r="AS1193">
        <f>HYPERLINK("https://creighton-primo.hosted.exlibrisgroup.com/primo-explore/search?tab=default_tab&amp;search_scope=EVERYTHING&amp;vid=01CRU&amp;lang=en_US&amp;offset=0&amp;query=any,contains,991004772419702656","Catalog Record")</f>
        <v/>
      </c>
      <c r="AT1193">
        <f>HYPERLINK("http://www.worldcat.org/oclc/5080433","WorldCat Record")</f>
        <v/>
      </c>
      <c r="AU1193" t="inlineStr">
        <is>
          <t>9593037701:eng</t>
        </is>
      </c>
      <c r="AV1193" t="inlineStr">
        <is>
          <t>5080433</t>
        </is>
      </c>
      <c r="AW1193" t="inlineStr">
        <is>
          <t>991004772419702656</t>
        </is>
      </c>
      <c r="AX1193" t="inlineStr">
        <is>
          <t>991004772419702656</t>
        </is>
      </c>
      <c r="AY1193" t="inlineStr">
        <is>
          <t>2255400740002656</t>
        </is>
      </c>
      <c r="AZ1193" t="inlineStr">
        <is>
          <t>BOOK</t>
        </is>
      </c>
      <c r="BC1193" t="inlineStr">
        <is>
          <t>32285002421633</t>
        </is>
      </c>
      <c r="BD1193" t="inlineStr">
        <is>
          <t>893882920</t>
        </is>
      </c>
    </row>
    <row r="1194">
      <c r="A1194" t="inlineStr">
        <is>
          <t>No</t>
        </is>
      </c>
      <c r="B1194" t="inlineStr">
        <is>
          <t>DG504 .S58 1998</t>
        </is>
      </c>
      <c r="C1194" t="inlineStr">
        <is>
          <t>0                      DG 0504000S  58          1998</t>
        </is>
      </c>
      <c r="D1194" t="inlineStr">
        <is>
          <t>The sixth century : production, distribution, and demand / edited by Richard Hodges and William Bowden.</t>
        </is>
      </c>
      <c r="F1194" t="inlineStr">
        <is>
          <t>No</t>
        </is>
      </c>
      <c r="G1194" t="inlineStr">
        <is>
          <t>1</t>
        </is>
      </c>
      <c r="H1194" t="inlineStr">
        <is>
          <t>No</t>
        </is>
      </c>
      <c r="I1194" t="inlineStr">
        <is>
          <t>No</t>
        </is>
      </c>
      <c r="J1194" t="inlineStr">
        <is>
          <t>0</t>
        </is>
      </c>
      <c r="L1194" t="inlineStr">
        <is>
          <t>Leiden ; Boston : Brill, 1998.</t>
        </is>
      </c>
      <c r="M1194" t="inlineStr">
        <is>
          <t>1998</t>
        </is>
      </c>
      <c r="O1194" t="inlineStr">
        <is>
          <t>eng</t>
        </is>
      </c>
      <c r="P1194" t="inlineStr">
        <is>
          <t xml:space="preserve">ne </t>
        </is>
      </c>
      <c r="Q1194" t="inlineStr">
        <is>
          <t>The transformation of the Roman world, 1386-4165 ; v. 3</t>
        </is>
      </c>
      <c r="R1194" t="inlineStr">
        <is>
          <t xml:space="preserve">DG </t>
        </is>
      </c>
      <c r="S1194" t="n">
        <v>3</v>
      </c>
      <c r="T1194" t="n">
        <v>3</v>
      </c>
      <c r="U1194" t="inlineStr">
        <is>
          <t>2001-05-19</t>
        </is>
      </c>
      <c r="V1194" t="inlineStr">
        <is>
          <t>2001-05-19</t>
        </is>
      </c>
      <c r="W1194" t="inlineStr">
        <is>
          <t>1999-09-01</t>
        </is>
      </c>
      <c r="X1194" t="inlineStr">
        <is>
          <t>1999-09-01</t>
        </is>
      </c>
      <c r="Y1194" t="n">
        <v>216</v>
      </c>
      <c r="Z1194" t="n">
        <v>128</v>
      </c>
      <c r="AA1194" t="n">
        <v>129</v>
      </c>
      <c r="AB1194" t="n">
        <v>1</v>
      </c>
      <c r="AC1194" t="n">
        <v>1</v>
      </c>
      <c r="AD1194" t="n">
        <v>9</v>
      </c>
      <c r="AE1194" t="n">
        <v>9</v>
      </c>
      <c r="AF1194" t="n">
        <v>1</v>
      </c>
      <c r="AG1194" t="n">
        <v>1</v>
      </c>
      <c r="AH1194" t="n">
        <v>3</v>
      </c>
      <c r="AI1194" t="n">
        <v>3</v>
      </c>
      <c r="AJ1194" t="n">
        <v>7</v>
      </c>
      <c r="AK1194" t="n">
        <v>7</v>
      </c>
      <c r="AL1194" t="n">
        <v>0</v>
      </c>
      <c r="AM1194" t="n">
        <v>0</v>
      </c>
      <c r="AN1194" t="n">
        <v>0</v>
      </c>
      <c r="AO1194" t="n">
        <v>0</v>
      </c>
      <c r="AP1194" t="inlineStr">
        <is>
          <t>No</t>
        </is>
      </c>
      <c r="AQ1194" t="inlineStr">
        <is>
          <t>Yes</t>
        </is>
      </c>
      <c r="AR1194">
        <f>HYPERLINK("http://catalog.hathitrust.org/Record/003998410","HathiTrust Record")</f>
        <v/>
      </c>
      <c r="AS1194">
        <f>HYPERLINK("https://creighton-primo.hosted.exlibrisgroup.com/primo-explore/search?tab=default_tab&amp;search_scope=EVERYTHING&amp;vid=01CRU&amp;lang=en_US&amp;offset=0&amp;query=any,contains,991002857749702656","Catalog Record")</f>
        <v/>
      </c>
      <c r="AT1194">
        <f>HYPERLINK("http://www.worldcat.org/oclc/37663367","WorldCat Record")</f>
        <v/>
      </c>
      <c r="AU1194" t="inlineStr">
        <is>
          <t>890249254:eng</t>
        </is>
      </c>
      <c r="AV1194" t="inlineStr">
        <is>
          <t>37663367</t>
        </is>
      </c>
      <c r="AW1194" t="inlineStr">
        <is>
          <t>991002857749702656</t>
        </is>
      </c>
      <c r="AX1194" t="inlineStr">
        <is>
          <t>991002857749702656</t>
        </is>
      </c>
      <c r="AY1194" t="inlineStr">
        <is>
          <t>2268923150002656</t>
        </is>
      </c>
      <c r="AZ1194" t="inlineStr">
        <is>
          <t>BOOK</t>
        </is>
      </c>
      <c r="BB1194" t="inlineStr">
        <is>
          <t>9789004109803</t>
        </is>
      </c>
      <c r="BC1194" t="inlineStr">
        <is>
          <t>32285003585642</t>
        </is>
      </c>
      <c r="BD1194" t="inlineStr">
        <is>
          <t>893498630</t>
        </is>
      </c>
    </row>
    <row r="1195">
      <c r="A1195" t="inlineStr">
        <is>
          <t>No</t>
        </is>
      </c>
      <c r="B1195" t="inlineStr">
        <is>
          <t>DG507 .M66 1992</t>
        </is>
      </c>
      <c r="C1195" t="inlineStr">
        <is>
          <t>0                      DG 0507000M  66          1992</t>
        </is>
      </c>
      <c r="D1195" t="inlineStr">
        <is>
          <t>Theoderic in Italy / John Moorhead.</t>
        </is>
      </c>
      <c r="F1195" t="inlineStr">
        <is>
          <t>No</t>
        </is>
      </c>
      <c r="G1195" t="inlineStr">
        <is>
          <t>1</t>
        </is>
      </c>
      <c r="H1195" t="inlineStr">
        <is>
          <t>No</t>
        </is>
      </c>
      <c r="I1195" t="inlineStr">
        <is>
          <t>No</t>
        </is>
      </c>
      <c r="J1195" t="inlineStr">
        <is>
          <t>0</t>
        </is>
      </c>
      <c r="K1195" t="inlineStr">
        <is>
          <t>Moorhead, John, 1948-</t>
        </is>
      </c>
      <c r="L1195" t="inlineStr">
        <is>
          <t>Oxford : Clarendon Press ; New York : Oxford University Press, 1992.</t>
        </is>
      </c>
      <c r="M1195" t="inlineStr">
        <is>
          <t>1992</t>
        </is>
      </c>
      <c r="O1195" t="inlineStr">
        <is>
          <t>eng</t>
        </is>
      </c>
      <c r="P1195" t="inlineStr">
        <is>
          <t>enk</t>
        </is>
      </c>
      <c r="R1195" t="inlineStr">
        <is>
          <t xml:space="preserve">DG </t>
        </is>
      </c>
      <c r="S1195" t="n">
        <v>1</v>
      </c>
      <c r="T1195" t="n">
        <v>1</v>
      </c>
      <c r="U1195" t="inlineStr">
        <is>
          <t>2001-05-29</t>
        </is>
      </c>
      <c r="V1195" t="inlineStr">
        <is>
          <t>2001-05-29</t>
        </is>
      </c>
      <c r="W1195" t="inlineStr">
        <is>
          <t>1995-12-15</t>
        </is>
      </c>
      <c r="X1195" t="inlineStr">
        <is>
          <t>1995-12-15</t>
        </is>
      </c>
      <c r="Y1195" t="n">
        <v>432</v>
      </c>
      <c r="Z1195" t="n">
        <v>312</v>
      </c>
      <c r="AA1195" t="n">
        <v>697</v>
      </c>
      <c r="AB1195" t="n">
        <v>3</v>
      </c>
      <c r="AC1195" t="n">
        <v>4</v>
      </c>
      <c r="AD1195" t="n">
        <v>26</v>
      </c>
      <c r="AE1195" t="n">
        <v>33</v>
      </c>
      <c r="AF1195" t="n">
        <v>9</v>
      </c>
      <c r="AG1195" t="n">
        <v>15</v>
      </c>
      <c r="AH1195" t="n">
        <v>6</v>
      </c>
      <c r="AI1195" t="n">
        <v>7</v>
      </c>
      <c r="AJ1195" t="n">
        <v>16</v>
      </c>
      <c r="AK1195" t="n">
        <v>17</v>
      </c>
      <c r="AL1195" t="n">
        <v>2</v>
      </c>
      <c r="AM1195" t="n">
        <v>3</v>
      </c>
      <c r="AN1195" t="n">
        <v>0</v>
      </c>
      <c r="AO1195" t="n">
        <v>0</v>
      </c>
      <c r="AP1195" t="inlineStr">
        <is>
          <t>No</t>
        </is>
      </c>
      <c r="AQ1195" t="inlineStr">
        <is>
          <t>Yes</t>
        </is>
      </c>
      <c r="AR1195">
        <f>HYPERLINK("http://catalog.hathitrust.org/Record/002619683","HathiTrust Record")</f>
        <v/>
      </c>
      <c r="AS1195">
        <f>HYPERLINK("https://creighton-primo.hosted.exlibrisgroup.com/primo-explore/search?tab=default_tab&amp;search_scope=EVERYTHING&amp;vid=01CRU&amp;lang=en_US&amp;offset=0&amp;query=any,contains,991002009489702656","Catalog Record")</f>
        <v/>
      </c>
      <c r="AT1195">
        <f>HYPERLINK("http://www.worldcat.org/oclc/25547805","WorldCat Record")</f>
        <v/>
      </c>
      <c r="AU1195" t="inlineStr">
        <is>
          <t>988094:eng</t>
        </is>
      </c>
      <c r="AV1195" t="inlineStr">
        <is>
          <t>25547805</t>
        </is>
      </c>
      <c r="AW1195" t="inlineStr">
        <is>
          <t>991002009489702656</t>
        </is>
      </c>
      <c r="AX1195" t="inlineStr">
        <is>
          <t>991002009489702656</t>
        </is>
      </c>
      <c r="AY1195" t="inlineStr">
        <is>
          <t>2261692090002656</t>
        </is>
      </c>
      <c r="AZ1195" t="inlineStr">
        <is>
          <t>BOOK</t>
        </is>
      </c>
      <c r="BB1195" t="inlineStr">
        <is>
          <t>9780198147817</t>
        </is>
      </c>
      <c r="BC1195" t="inlineStr">
        <is>
          <t>32285002111267</t>
        </is>
      </c>
      <c r="BD1195" t="inlineStr">
        <is>
          <t>893328581</t>
        </is>
      </c>
    </row>
    <row r="1196">
      <c r="A1196" t="inlineStr">
        <is>
          <t>No</t>
        </is>
      </c>
      <c r="B1196" t="inlineStr">
        <is>
          <t>DG532 .E37</t>
        </is>
      </c>
      <c r="C1196" t="inlineStr">
        <is>
          <t>0                      DG 0532000E  37</t>
        </is>
      </c>
      <c r="D1196" t="inlineStr">
        <is>
          <t>The Earthly republic : Italian humanists on government and society / edited [and translated] by Benjamin G. Kohl &amp; Ronald G. Witt, with Elizabeth B. Welles.</t>
        </is>
      </c>
      <c r="F1196" t="inlineStr">
        <is>
          <t>No</t>
        </is>
      </c>
      <c r="G1196" t="inlineStr">
        <is>
          <t>1</t>
        </is>
      </c>
      <c r="H1196" t="inlineStr">
        <is>
          <t>No</t>
        </is>
      </c>
      <c r="I1196" t="inlineStr">
        <is>
          <t>No</t>
        </is>
      </c>
      <c r="J1196" t="inlineStr">
        <is>
          <t>0</t>
        </is>
      </c>
      <c r="L1196" t="inlineStr">
        <is>
          <t>[Philadelphia] : University of Pennsylvania Press, 1978.</t>
        </is>
      </c>
      <c r="M1196" t="inlineStr">
        <is>
          <t>1978</t>
        </is>
      </c>
      <c r="O1196" t="inlineStr">
        <is>
          <t>eng</t>
        </is>
      </c>
      <c r="P1196" t="inlineStr">
        <is>
          <t>pau</t>
        </is>
      </c>
      <c r="R1196" t="inlineStr">
        <is>
          <t xml:space="preserve">DG </t>
        </is>
      </c>
      <c r="S1196" t="n">
        <v>2</v>
      </c>
      <c r="T1196" t="n">
        <v>2</v>
      </c>
      <c r="U1196" t="inlineStr">
        <is>
          <t>1993-11-20</t>
        </is>
      </c>
      <c r="V1196" t="inlineStr">
        <is>
          <t>1993-11-20</t>
        </is>
      </c>
      <c r="W1196" t="inlineStr">
        <is>
          <t>1991-04-10</t>
        </is>
      </c>
      <c r="X1196" t="inlineStr">
        <is>
          <t>1991-04-10</t>
        </is>
      </c>
      <c r="Y1196" t="n">
        <v>649</v>
      </c>
      <c r="Z1196" t="n">
        <v>547</v>
      </c>
      <c r="AA1196" t="n">
        <v>847</v>
      </c>
      <c r="AB1196" t="n">
        <v>4</v>
      </c>
      <c r="AC1196" t="n">
        <v>27</v>
      </c>
      <c r="AD1196" t="n">
        <v>32</v>
      </c>
      <c r="AE1196" t="n">
        <v>46</v>
      </c>
      <c r="AF1196" t="n">
        <v>8</v>
      </c>
      <c r="AG1196" t="n">
        <v>13</v>
      </c>
      <c r="AH1196" t="n">
        <v>11</v>
      </c>
      <c r="AI1196" t="n">
        <v>11</v>
      </c>
      <c r="AJ1196" t="n">
        <v>19</v>
      </c>
      <c r="AK1196" t="n">
        <v>20</v>
      </c>
      <c r="AL1196" t="n">
        <v>3</v>
      </c>
      <c r="AM1196" t="n">
        <v>12</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HYPERLINK("https://creighton-primo.hosted.exlibrisgroup.com/primo-explore/search?tab=default_tab&amp;search_scope=EVERYTHING&amp;vid=01CRU&amp;lang=en_US&amp;offset=0&amp;query=any,contains,991004549599702656","Catalog Record")</f>
        <v/>
      </c>
      <c r="AT1196">
        <f>HYPERLINK("http://www.worldcat.org/oclc/3932929","WorldCat Record")</f>
        <v/>
      </c>
      <c r="AU1196" t="inlineStr">
        <is>
          <t>867875374:eng</t>
        </is>
      </c>
      <c r="AV1196" t="inlineStr">
        <is>
          <t>3932929</t>
        </is>
      </c>
      <c r="AW1196" t="inlineStr">
        <is>
          <t>991004549599702656</t>
        </is>
      </c>
      <c r="AX1196" t="inlineStr">
        <is>
          <t>991004549599702656</t>
        </is>
      </c>
      <c r="AY1196" t="inlineStr">
        <is>
          <t>2267825000002656</t>
        </is>
      </c>
      <c r="AZ1196" t="inlineStr">
        <is>
          <t>BOOK</t>
        </is>
      </c>
      <c r="BB1196" t="inlineStr">
        <is>
          <t>9780812277524</t>
        </is>
      </c>
      <c r="BC1196" t="inlineStr">
        <is>
          <t>32285000522051</t>
        </is>
      </c>
      <c r="BD1196" t="inlineStr">
        <is>
          <t>893263319</t>
        </is>
      </c>
    </row>
    <row r="1197">
      <c r="A1197" t="inlineStr">
        <is>
          <t>No</t>
        </is>
      </c>
      <c r="B1197" t="inlineStr">
        <is>
          <t>DG533 .D8</t>
        </is>
      </c>
      <c r="C1197" t="inlineStr">
        <is>
          <t>0                      DG 0533000D  8</t>
        </is>
      </c>
      <c r="D1197" t="inlineStr">
        <is>
          <t>The end of the middle ages; essays and questions in history by A. Mary F. Robinson (Madame James Darmesteter)</t>
        </is>
      </c>
      <c r="F1197" t="inlineStr">
        <is>
          <t>No</t>
        </is>
      </c>
      <c r="G1197" t="inlineStr">
        <is>
          <t>1</t>
        </is>
      </c>
      <c r="H1197" t="inlineStr">
        <is>
          <t>No</t>
        </is>
      </c>
      <c r="I1197" t="inlineStr">
        <is>
          <t>No</t>
        </is>
      </c>
      <c r="J1197" t="inlineStr">
        <is>
          <t>0</t>
        </is>
      </c>
      <c r="K1197" t="inlineStr">
        <is>
          <t>Robinson, A. Mary F. (Agnes Mary Frances), 1857-1944.</t>
        </is>
      </c>
      <c r="L1197" t="inlineStr">
        <is>
          <t>London, T. F. Unwin, 1889.</t>
        </is>
      </c>
      <c r="M1197" t="inlineStr">
        <is>
          <t>1889</t>
        </is>
      </c>
      <c r="O1197" t="inlineStr">
        <is>
          <t>eng</t>
        </is>
      </c>
      <c r="P1197" t="inlineStr">
        <is>
          <t xml:space="preserve">en </t>
        </is>
      </c>
      <c r="R1197" t="inlineStr">
        <is>
          <t xml:space="preserve">DG </t>
        </is>
      </c>
      <c r="S1197" t="n">
        <v>10</v>
      </c>
      <c r="T1197" t="n">
        <v>10</v>
      </c>
      <c r="U1197" t="inlineStr">
        <is>
          <t>2008-12-03</t>
        </is>
      </c>
      <c r="V1197" t="inlineStr">
        <is>
          <t>2008-12-03</t>
        </is>
      </c>
      <c r="W1197" t="inlineStr">
        <is>
          <t>1996-05-29</t>
        </is>
      </c>
      <c r="X1197" t="inlineStr">
        <is>
          <t>1996-05-29</t>
        </is>
      </c>
      <c r="Y1197" t="n">
        <v>96</v>
      </c>
      <c r="Z1197" t="n">
        <v>69</v>
      </c>
      <c r="AA1197" t="n">
        <v>85</v>
      </c>
      <c r="AB1197" t="n">
        <v>1</v>
      </c>
      <c r="AC1197" t="n">
        <v>2</v>
      </c>
      <c r="AD1197" t="n">
        <v>4</v>
      </c>
      <c r="AE1197" t="n">
        <v>6</v>
      </c>
      <c r="AF1197" t="n">
        <v>2</v>
      </c>
      <c r="AG1197" t="n">
        <v>2</v>
      </c>
      <c r="AH1197" t="n">
        <v>0</v>
      </c>
      <c r="AI1197" t="n">
        <v>1</v>
      </c>
      <c r="AJ1197" t="n">
        <v>2</v>
      </c>
      <c r="AK1197" t="n">
        <v>2</v>
      </c>
      <c r="AL1197" t="n">
        <v>0</v>
      </c>
      <c r="AM1197" t="n">
        <v>1</v>
      </c>
      <c r="AN1197" t="n">
        <v>0</v>
      </c>
      <c r="AO1197" t="n">
        <v>0</v>
      </c>
      <c r="AP1197" t="inlineStr">
        <is>
          <t>Yes</t>
        </is>
      </c>
      <c r="AQ1197" t="inlineStr">
        <is>
          <t>No</t>
        </is>
      </c>
      <c r="AR1197">
        <f>HYPERLINK("http://catalog.hathitrust.org/Record/000352760","HathiTrust Record")</f>
        <v/>
      </c>
      <c r="AS1197">
        <f>HYPERLINK("https://creighton-primo.hosted.exlibrisgroup.com/primo-explore/search?tab=default_tab&amp;search_scope=EVERYTHING&amp;vid=01CRU&amp;lang=en_US&amp;offset=0&amp;query=any,contains,991004542329702656","Catalog Record")</f>
        <v/>
      </c>
      <c r="AT1197">
        <f>HYPERLINK("http://www.worldcat.org/oclc/3901203","WorldCat Record")</f>
        <v/>
      </c>
      <c r="AU1197" t="inlineStr">
        <is>
          <t>128950:eng</t>
        </is>
      </c>
      <c r="AV1197" t="inlineStr">
        <is>
          <t>3901203</t>
        </is>
      </c>
      <c r="AW1197" t="inlineStr">
        <is>
          <t>991004542329702656</t>
        </is>
      </c>
      <c r="AX1197" t="inlineStr">
        <is>
          <t>991004542329702656</t>
        </is>
      </c>
      <c r="AY1197" t="inlineStr">
        <is>
          <t>2260754510002656</t>
        </is>
      </c>
      <c r="AZ1197" t="inlineStr">
        <is>
          <t>BOOK</t>
        </is>
      </c>
      <c r="BC1197" t="inlineStr">
        <is>
          <t>32285002164662</t>
        </is>
      </c>
      <c r="BD1197" t="inlineStr">
        <is>
          <t>893500714</t>
        </is>
      </c>
    </row>
    <row r="1198">
      <c r="A1198" t="inlineStr">
        <is>
          <t>No</t>
        </is>
      </c>
      <c r="B1198" t="inlineStr">
        <is>
          <t>DG533 .G323</t>
        </is>
      </c>
      <c r="C1198" t="inlineStr">
        <is>
          <t>0                      DG 0533000G  323</t>
        </is>
      </c>
      <c r="D1198" t="inlineStr">
        <is>
          <t>Italian humanism; philosophy and civic life in the Renaissance. Translated by Peter Munz.</t>
        </is>
      </c>
      <c r="F1198" t="inlineStr">
        <is>
          <t>No</t>
        </is>
      </c>
      <c r="G1198" t="inlineStr">
        <is>
          <t>1</t>
        </is>
      </c>
      <c r="H1198" t="inlineStr">
        <is>
          <t>No</t>
        </is>
      </c>
      <c r="I1198" t="inlineStr">
        <is>
          <t>No</t>
        </is>
      </c>
      <c r="J1198" t="inlineStr">
        <is>
          <t>0</t>
        </is>
      </c>
      <c r="K1198" t="inlineStr">
        <is>
          <t>Garin, Eugenio, 1909-2004.</t>
        </is>
      </c>
      <c r="L1198" t="inlineStr">
        <is>
          <t>New York, Harper &amp; Row [1965]</t>
        </is>
      </c>
      <c r="M1198" t="inlineStr">
        <is>
          <t>1965</t>
        </is>
      </c>
      <c r="O1198" t="inlineStr">
        <is>
          <t>eng</t>
        </is>
      </c>
      <c r="P1198" t="inlineStr">
        <is>
          <t>nyu</t>
        </is>
      </c>
      <c r="R1198" t="inlineStr">
        <is>
          <t xml:space="preserve">DG </t>
        </is>
      </c>
      <c r="S1198" t="n">
        <v>7</v>
      </c>
      <c r="T1198" t="n">
        <v>7</v>
      </c>
      <c r="U1198" t="inlineStr">
        <is>
          <t>2007-09-14</t>
        </is>
      </c>
      <c r="V1198" t="inlineStr">
        <is>
          <t>2007-09-14</t>
        </is>
      </c>
      <c r="W1198" t="inlineStr">
        <is>
          <t>1997-02-04</t>
        </is>
      </c>
      <c r="X1198" t="inlineStr">
        <is>
          <t>1997-02-04</t>
        </is>
      </c>
      <c r="Y1198" t="n">
        <v>639</v>
      </c>
      <c r="Z1198" t="n">
        <v>589</v>
      </c>
      <c r="AA1198" t="n">
        <v>779</v>
      </c>
      <c r="AB1198" t="n">
        <v>4</v>
      </c>
      <c r="AC1198" t="n">
        <v>5</v>
      </c>
      <c r="AD1198" t="n">
        <v>35</v>
      </c>
      <c r="AE1198" t="n">
        <v>46</v>
      </c>
      <c r="AF1198" t="n">
        <v>17</v>
      </c>
      <c r="AG1198" t="n">
        <v>22</v>
      </c>
      <c r="AH1198" t="n">
        <v>4</v>
      </c>
      <c r="AI1198" t="n">
        <v>9</v>
      </c>
      <c r="AJ1198" t="n">
        <v>18</v>
      </c>
      <c r="AK1198" t="n">
        <v>24</v>
      </c>
      <c r="AL1198" t="n">
        <v>3</v>
      </c>
      <c r="AM1198" t="n">
        <v>4</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HYPERLINK("https://creighton-primo.hosted.exlibrisgroup.com/primo-explore/search?tab=default_tab&amp;search_scope=EVERYTHING&amp;vid=01CRU&amp;lang=en_US&amp;offset=0&amp;query=any,contains,991005356589702656","Catalog Record")</f>
        <v/>
      </c>
      <c r="AT1198">
        <f>HYPERLINK("http://www.worldcat.org/oclc/711725","WorldCat Record")</f>
        <v/>
      </c>
      <c r="AU1198" t="inlineStr">
        <is>
          <t>2843347122:eng</t>
        </is>
      </c>
      <c r="AV1198" t="inlineStr">
        <is>
          <t>711725</t>
        </is>
      </c>
      <c r="AW1198" t="inlineStr">
        <is>
          <t>991005356589702656</t>
        </is>
      </c>
      <c r="AX1198" t="inlineStr">
        <is>
          <t>991005356589702656</t>
        </is>
      </c>
      <c r="AY1198" t="inlineStr">
        <is>
          <t>2261845740002656</t>
        </is>
      </c>
      <c r="AZ1198" t="inlineStr">
        <is>
          <t>BOOK</t>
        </is>
      </c>
      <c r="BC1198" t="inlineStr">
        <is>
          <t>32285002421757</t>
        </is>
      </c>
      <c r="BD1198" t="inlineStr">
        <is>
          <t>893332826</t>
        </is>
      </c>
    </row>
    <row r="1199">
      <c r="A1199" t="inlineStr">
        <is>
          <t>No</t>
        </is>
      </c>
      <c r="B1199" t="inlineStr">
        <is>
          <t>DG533 .G653 1968</t>
        </is>
      </c>
      <c r="C1199" t="inlineStr">
        <is>
          <t>0                      DG 0533000G  653         1968</t>
        </is>
      </c>
      <c r="D1199" t="inlineStr">
        <is>
          <t>The golden flower. Translated from the French, and with an introd. by Ben Ray Redman.</t>
        </is>
      </c>
      <c r="F1199" t="inlineStr">
        <is>
          <t>No</t>
        </is>
      </c>
      <c r="G1199" t="inlineStr">
        <is>
          <t>1</t>
        </is>
      </c>
      <c r="H1199" t="inlineStr">
        <is>
          <t>No</t>
        </is>
      </c>
      <c r="I1199" t="inlineStr">
        <is>
          <t>No</t>
        </is>
      </c>
      <c r="J1199" t="inlineStr">
        <is>
          <t>0</t>
        </is>
      </c>
      <c r="K1199" t="inlineStr">
        <is>
          <t>Gobineau, Arthur, comte de, 1816-1882.</t>
        </is>
      </c>
      <c r="L1199" t="inlineStr">
        <is>
          <t>Freeport, N.Y., Books for Libraries Press [1968]</t>
        </is>
      </c>
      <c r="M1199" t="inlineStr">
        <is>
          <t>1968</t>
        </is>
      </c>
      <c r="O1199" t="inlineStr">
        <is>
          <t>eng</t>
        </is>
      </c>
      <c r="P1199" t="inlineStr">
        <is>
          <t>nyu</t>
        </is>
      </c>
      <c r="Q1199" t="inlineStr">
        <is>
          <t>Essay index reprint series</t>
        </is>
      </c>
      <c r="R1199" t="inlineStr">
        <is>
          <t xml:space="preserve">DG </t>
        </is>
      </c>
      <c r="S1199" t="n">
        <v>1</v>
      </c>
      <c r="T1199" t="n">
        <v>1</v>
      </c>
      <c r="U1199" t="inlineStr">
        <is>
          <t>2010-03-04</t>
        </is>
      </c>
      <c r="V1199" t="inlineStr">
        <is>
          <t>2010-03-04</t>
        </is>
      </c>
      <c r="W1199" t="inlineStr">
        <is>
          <t>1997-02-04</t>
        </is>
      </c>
      <c r="X1199" t="inlineStr">
        <is>
          <t>1997-02-04</t>
        </is>
      </c>
      <c r="Y1199" t="n">
        <v>256</v>
      </c>
      <c r="Z1199" t="n">
        <v>237</v>
      </c>
      <c r="AA1199" t="n">
        <v>376</v>
      </c>
      <c r="AB1199" t="n">
        <v>1</v>
      </c>
      <c r="AC1199" t="n">
        <v>2</v>
      </c>
      <c r="AD1199" t="n">
        <v>12</v>
      </c>
      <c r="AE1199" t="n">
        <v>18</v>
      </c>
      <c r="AF1199" t="n">
        <v>6</v>
      </c>
      <c r="AG1199" t="n">
        <v>8</v>
      </c>
      <c r="AH1199" t="n">
        <v>1</v>
      </c>
      <c r="AI1199" t="n">
        <v>3</v>
      </c>
      <c r="AJ1199" t="n">
        <v>8</v>
      </c>
      <c r="AK1199" t="n">
        <v>12</v>
      </c>
      <c r="AL1199" t="n">
        <v>0</v>
      </c>
      <c r="AM1199" t="n">
        <v>1</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HYPERLINK("https://creighton-primo.hosted.exlibrisgroup.com/primo-explore/search?tab=default_tab&amp;search_scope=EVERYTHING&amp;vid=01CRU&amp;lang=en_US&amp;offset=0&amp;query=any,contains,991005434049702656","Catalog Record")</f>
        <v/>
      </c>
      <c r="AT1199">
        <f>HYPERLINK("http://www.worldcat.org/oclc/2255","WorldCat Record")</f>
        <v/>
      </c>
      <c r="AU1199" t="inlineStr">
        <is>
          <t>1125528:eng</t>
        </is>
      </c>
      <c r="AV1199" t="inlineStr">
        <is>
          <t>2255</t>
        </is>
      </c>
      <c r="AW1199" t="inlineStr">
        <is>
          <t>991005434049702656</t>
        </is>
      </c>
      <c r="AX1199" t="inlineStr">
        <is>
          <t>991005434049702656</t>
        </is>
      </c>
      <c r="AY1199" t="inlineStr">
        <is>
          <t>2262780120002656</t>
        </is>
      </c>
      <c r="AZ1199" t="inlineStr">
        <is>
          <t>BOOK</t>
        </is>
      </c>
      <c r="BC1199" t="inlineStr">
        <is>
          <t>32285002421765</t>
        </is>
      </c>
      <c r="BD1199" t="inlineStr">
        <is>
          <t>893783690</t>
        </is>
      </c>
    </row>
    <row r="1200">
      <c r="A1200" t="inlineStr">
        <is>
          <t>No</t>
        </is>
      </c>
      <c r="B1200" t="inlineStr">
        <is>
          <t>DG533 .H39</t>
        </is>
      </c>
      <c r="C1200" t="inlineStr">
        <is>
          <t>0                      DG 0533000H  39</t>
        </is>
      </c>
      <c r="D1200" t="inlineStr">
        <is>
          <t>The Italian Renaissance in its historical background.</t>
        </is>
      </c>
      <c r="F1200" t="inlineStr">
        <is>
          <t>No</t>
        </is>
      </c>
      <c r="G1200" t="inlineStr">
        <is>
          <t>1</t>
        </is>
      </c>
      <c r="H1200" t="inlineStr">
        <is>
          <t>No</t>
        </is>
      </c>
      <c r="I1200" t="inlineStr">
        <is>
          <t>No</t>
        </is>
      </c>
      <c r="J1200" t="inlineStr">
        <is>
          <t>0</t>
        </is>
      </c>
      <c r="K1200" t="inlineStr">
        <is>
          <t>Hay, Denys.</t>
        </is>
      </c>
      <c r="L1200" t="inlineStr">
        <is>
          <t>Cambridge [Eng.] University Press, 1966 [c1961]</t>
        </is>
      </c>
      <c r="M1200" t="inlineStr">
        <is>
          <t>1966</t>
        </is>
      </c>
      <c r="O1200" t="inlineStr">
        <is>
          <t>eng</t>
        </is>
      </c>
      <c r="P1200" t="inlineStr">
        <is>
          <t xml:space="preserve">xx </t>
        </is>
      </c>
      <c r="Q1200" t="inlineStr">
        <is>
          <t>The Wiles lectures, 1960</t>
        </is>
      </c>
      <c r="R1200" t="inlineStr">
        <is>
          <t xml:space="preserve">DG </t>
        </is>
      </c>
      <c r="S1200" t="n">
        <v>3</v>
      </c>
      <c r="T1200" t="n">
        <v>3</v>
      </c>
      <c r="U1200" t="inlineStr">
        <is>
          <t>2006-03-28</t>
        </is>
      </c>
      <c r="V1200" t="inlineStr">
        <is>
          <t>2006-03-28</t>
        </is>
      </c>
      <c r="W1200" t="inlineStr">
        <is>
          <t>1996-05-29</t>
        </is>
      </c>
      <c r="X1200" t="inlineStr">
        <is>
          <t>1996-05-29</t>
        </is>
      </c>
      <c r="Y1200" t="n">
        <v>145</v>
      </c>
      <c r="Z1200" t="n">
        <v>110</v>
      </c>
      <c r="AA1200" t="n">
        <v>1331</v>
      </c>
      <c r="AB1200" t="n">
        <v>2</v>
      </c>
      <c r="AC1200" t="n">
        <v>11</v>
      </c>
      <c r="AD1200" t="n">
        <v>4</v>
      </c>
      <c r="AE1200" t="n">
        <v>53</v>
      </c>
      <c r="AF1200" t="n">
        <v>1</v>
      </c>
      <c r="AG1200" t="n">
        <v>22</v>
      </c>
      <c r="AH1200" t="n">
        <v>1</v>
      </c>
      <c r="AI1200" t="n">
        <v>9</v>
      </c>
      <c r="AJ1200" t="n">
        <v>2</v>
      </c>
      <c r="AK1200" t="n">
        <v>23</v>
      </c>
      <c r="AL1200" t="n">
        <v>1</v>
      </c>
      <c r="AM1200" t="n">
        <v>10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HYPERLINK("https://creighton-primo.hosted.exlibrisgroup.com/primo-explore/search?tab=default_tab&amp;search_scope=EVERYTHING&amp;vid=01CRU&amp;lang=en_US&amp;offset=0&amp;query=any,contains,991004570649702656","Catalog Record")</f>
        <v/>
      </c>
      <c r="AT1200">
        <f>HYPERLINK("http://www.worldcat.org/oclc/4025529","WorldCat Record")</f>
        <v/>
      </c>
      <c r="AU1200" t="inlineStr">
        <is>
          <t>96726:eng</t>
        </is>
      </c>
      <c r="AV1200" t="inlineStr">
        <is>
          <t>4025529</t>
        </is>
      </c>
      <c r="AW1200" t="inlineStr">
        <is>
          <t>991004570649702656</t>
        </is>
      </c>
      <c r="AX1200" t="inlineStr">
        <is>
          <t>991004570649702656</t>
        </is>
      </c>
      <c r="AY1200" t="inlineStr">
        <is>
          <t>2270932600002656</t>
        </is>
      </c>
      <c r="AZ1200" t="inlineStr">
        <is>
          <t>BOOK</t>
        </is>
      </c>
      <c r="BC1200" t="inlineStr">
        <is>
          <t>32285002164670</t>
        </is>
      </c>
      <c r="BD1200" t="inlineStr">
        <is>
          <t>893500743</t>
        </is>
      </c>
    </row>
    <row r="1201">
      <c r="A1201" t="inlineStr">
        <is>
          <t>No</t>
        </is>
      </c>
      <c r="B1201" t="inlineStr">
        <is>
          <t>DG533 .H6</t>
        </is>
      </c>
      <c r="C1201" t="inlineStr">
        <is>
          <t>0                      DG 0533000H  6</t>
        </is>
      </c>
      <c r="D1201" t="inlineStr">
        <is>
          <t>Horizon book of the Renaissance / by the editors of Horizon magazine. Editor in charge: Richard M. Ketchum. Author: J. H. Plumb. With biographical essays by Morris Bishop [and others]</t>
        </is>
      </c>
      <c r="F1201" t="inlineStr">
        <is>
          <t>No</t>
        </is>
      </c>
      <c r="G1201" t="inlineStr">
        <is>
          <t>3</t>
        </is>
      </c>
      <c r="H1201" t="inlineStr">
        <is>
          <t>No</t>
        </is>
      </c>
      <c r="I1201" t="inlineStr">
        <is>
          <t>No</t>
        </is>
      </c>
      <c r="J1201" t="inlineStr">
        <is>
          <t>0</t>
        </is>
      </c>
      <c r="K1201" t="inlineStr">
        <is>
          <t>Horizon (New York, N.Y.)</t>
        </is>
      </c>
      <c r="L1201" t="inlineStr">
        <is>
          <t>New York : American Heritage Pub. Co. ; book trade distribution by Doubleday, [1961]</t>
        </is>
      </c>
      <c r="M1201" t="inlineStr">
        <is>
          <t>1961</t>
        </is>
      </c>
      <c r="O1201" t="inlineStr">
        <is>
          <t>eng</t>
        </is>
      </c>
      <c r="P1201" t="inlineStr">
        <is>
          <t>nyu</t>
        </is>
      </c>
      <c r="R1201" t="inlineStr">
        <is>
          <t xml:space="preserve">DG </t>
        </is>
      </c>
      <c r="S1201" t="n">
        <v>2</v>
      </c>
      <c r="T1201" t="n">
        <v>2</v>
      </c>
      <c r="U1201" t="inlineStr">
        <is>
          <t>2001-07-17</t>
        </is>
      </c>
      <c r="V1201" t="inlineStr">
        <is>
          <t>2001-07-17</t>
        </is>
      </c>
      <c r="W1201" t="inlineStr">
        <is>
          <t>2001-07-17</t>
        </is>
      </c>
      <c r="X1201" t="inlineStr">
        <is>
          <t>2001-07-17</t>
        </is>
      </c>
      <c r="Y1201" t="n">
        <v>2172</v>
      </c>
      <c r="Z1201" t="n">
        <v>2061</v>
      </c>
      <c r="AA1201" t="n">
        <v>2106</v>
      </c>
      <c r="AB1201" t="n">
        <v>14</v>
      </c>
      <c r="AC1201" t="n">
        <v>14</v>
      </c>
      <c r="AD1201" t="n">
        <v>49</v>
      </c>
      <c r="AE1201" t="n">
        <v>50</v>
      </c>
      <c r="AF1201" t="n">
        <v>20</v>
      </c>
      <c r="AG1201" t="n">
        <v>21</v>
      </c>
      <c r="AH1201" t="n">
        <v>9</v>
      </c>
      <c r="AI1201" t="n">
        <v>9</v>
      </c>
      <c r="AJ1201" t="n">
        <v>21</v>
      </c>
      <c r="AK1201" t="n">
        <v>22</v>
      </c>
      <c r="AL1201" t="n">
        <v>9</v>
      </c>
      <c r="AM1201" t="n">
        <v>9</v>
      </c>
      <c r="AN1201" t="n">
        <v>0</v>
      </c>
      <c r="AO1201" t="n">
        <v>0</v>
      </c>
      <c r="AP1201" t="inlineStr">
        <is>
          <t>No</t>
        </is>
      </c>
      <c r="AQ1201" t="inlineStr">
        <is>
          <t>No</t>
        </is>
      </c>
      <c r="AR1201">
        <f>HYPERLINK("http://catalog.hathitrust.org/Record/000115343","HathiTrust Record")</f>
        <v/>
      </c>
      <c r="AS1201">
        <f>HYPERLINK("https://creighton-primo.hosted.exlibrisgroup.com/primo-explore/search?tab=default_tab&amp;search_scope=EVERYTHING&amp;vid=01CRU&amp;lang=en_US&amp;offset=0&amp;query=any,contains,991002197049702656","Catalog Record")</f>
        <v/>
      </c>
      <c r="AT1201">
        <f>HYPERLINK("http://www.worldcat.org/oclc/283425","WorldCat Record")</f>
        <v/>
      </c>
      <c r="AU1201" t="inlineStr">
        <is>
          <t>1150989981:eng</t>
        </is>
      </c>
      <c r="AV1201" t="inlineStr">
        <is>
          <t>283425</t>
        </is>
      </c>
      <c r="AW1201" t="inlineStr">
        <is>
          <t>991002197049702656</t>
        </is>
      </c>
      <c r="AX1201" t="inlineStr">
        <is>
          <t>991002197049702656</t>
        </is>
      </c>
      <c r="AY1201" t="inlineStr">
        <is>
          <t>2265709660002656</t>
        </is>
      </c>
      <c r="AZ1201" t="inlineStr">
        <is>
          <t>BOOK</t>
        </is>
      </c>
      <c r="BC1201" t="inlineStr">
        <is>
          <t>32285004332101</t>
        </is>
      </c>
      <c r="BD1201" t="inlineStr">
        <is>
          <t>893322665</t>
        </is>
      </c>
    </row>
    <row r="1202">
      <c r="A1202" t="inlineStr">
        <is>
          <t>No</t>
        </is>
      </c>
      <c r="B1202" t="inlineStr">
        <is>
          <t>DG533 .R6</t>
        </is>
      </c>
      <c r="C1202" t="inlineStr">
        <is>
          <t>0                      DG 0533000R  6</t>
        </is>
      </c>
      <c r="D1202" t="inlineStr">
        <is>
          <t>The man of the renaissance; four lawgivers: Savonarola, Machiavelli, Castiglione, Aretino, by Ralph Roeder.</t>
        </is>
      </c>
      <c r="F1202" t="inlineStr">
        <is>
          <t>No</t>
        </is>
      </c>
      <c r="G1202" t="inlineStr">
        <is>
          <t>1</t>
        </is>
      </c>
      <c r="H1202" t="inlineStr">
        <is>
          <t>No</t>
        </is>
      </c>
      <c r="I1202" t="inlineStr">
        <is>
          <t>No</t>
        </is>
      </c>
      <c r="J1202" t="inlineStr">
        <is>
          <t>0</t>
        </is>
      </c>
      <c r="K1202" t="inlineStr">
        <is>
          <t>Roeder, Ralph, 1890-1969.</t>
        </is>
      </c>
      <c r="L1202" t="inlineStr">
        <is>
          <t>New York, The Viking press, 1933.</t>
        </is>
      </c>
      <c r="M1202" t="inlineStr">
        <is>
          <t>1933</t>
        </is>
      </c>
      <c r="O1202" t="inlineStr">
        <is>
          <t>eng</t>
        </is>
      </c>
      <c r="P1202" t="inlineStr">
        <is>
          <t>nyu</t>
        </is>
      </c>
      <c r="R1202" t="inlineStr">
        <is>
          <t xml:space="preserve">DG </t>
        </is>
      </c>
      <c r="S1202" t="n">
        <v>6</v>
      </c>
      <c r="T1202" t="n">
        <v>6</v>
      </c>
      <c r="U1202" t="inlineStr">
        <is>
          <t>2001-08-01</t>
        </is>
      </c>
      <c r="V1202" t="inlineStr">
        <is>
          <t>2001-08-01</t>
        </is>
      </c>
      <c r="W1202" t="inlineStr">
        <is>
          <t>1997-02-04</t>
        </is>
      </c>
      <c r="X1202" t="inlineStr">
        <is>
          <t>1997-02-04</t>
        </is>
      </c>
      <c r="Y1202" t="n">
        <v>1245</v>
      </c>
      <c r="Z1202" t="n">
        <v>1158</v>
      </c>
      <c r="AA1202" t="n">
        <v>1444</v>
      </c>
      <c r="AB1202" t="n">
        <v>13</v>
      </c>
      <c r="AC1202" t="n">
        <v>14</v>
      </c>
      <c r="AD1202" t="n">
        <v>50</v>
      </c>
      <c r="AE1202" t="n">
        <v>56</v>
      </c>
      <c r="AF1202" t="n">
        <v>17</v>
      </c>
      <c r="AG1202" t="n">
        <v>20</v>
      </c>
      <c r="AH1202" t="n">
        <v>10</v>
      </c>
      <c r="AI1202" t="n">
        <v>10</v>
      </c>
      <c r="AJ1202" t="n">
        <v>22</v>
      </c>
      <c r="AK1202" t="n">
        <v>24</v>
      </c>
      <c r="AL1202" t="n">
        <v>8</v>
      </c>
      <c r="AM1202" t="n">
        <v>9</v>
      </c>
      <c r="AN1202" t="n">
        <v>6</v>
      </c>
      <c r="AO1202" t="n">
        <v>6</v>
      </c>
      <c r="AP1202" t="inlineStr">
        <is>
          <t>No</t>
        </is>
      </c>
      <c r="AQ1202" t="inlineStr">
        <is>
          <t>Yes</t>
        </is>
      </c>
      <c r="AR1202">
        <f>HYPERLINK("http://catalog.hathitrust.org/Record/000352565","HathiTrust Record")</f>
        <v/>
      </c>
      <c r="AS1202">
        <f>HYPERLINK("https://creighton-primo.hosted.exlibrisgroup.com/primo-explore/search?tab=default_tab&amp;search_scope=EVERYTHING&amp;vid=01CRU&amp;lang=en_US&amp;offset=0&amp;query=any,contains,991002291639702656","Catalog Record")</f>
        <v/>
      </c>
      <c r="AT1202">
        <f>HYPERLINK("http://www.worldcat.org/oclc/313321","WorldCat Record")</f>
        <v/>
      </c>
      <c r="AU1202" t="inlineStr">
        <is>
          <t>196170953:eng</t>
        </is>
      </c>
      <c r="AV1202" t="inlineStr">
        <is>
          <t>313321</t>
        </is>
      </c>
      <c r="AW1202" t="inlineStr">
        <is>
          <t>991002291639702656</t>
        </is>
      </c>
      <c r="AX1202" t="inlineStr">
        <is>
          <t>991002291639702656</t>
        </is>
      </c>
      <c r="AY1202" t="inlineStr">
        <is>
          <t>2269618880002656</t>
        </is>
      </c>
      <c r="AZ1202" t="inlineStr">
        <is>
          <t>BOOK</t>
        </is>
      </c>
      <c r="BC1202" t="inlineStr">
        <is>
          <t>32285002421781</t>
        </is>
      </c>
      <c r="BD1202" t="inlineStr">
        <is>
          <t>893703916</t>
        </is>
      </c>
    </row>
    <row r="1203">
      <c r="A1203" t="inlineStr">
        <is>
          <t>No</t>
        </is>
      </c>
      <c r="B1203" t="inlineStr">
        <is>
          <t>DG537.8.A1 V6 1963</t>
        </is>
      </c>
      <c r="C1203" t="inlineStr">
        <is>
          <t>0                      DG 0537800A  1                  V  6           1963</t>
        </is>
      </c>
      <c r="D1203" t="inlineStr">
        <is>
          <t>Renaissance princes, popes, and prelates : the Vespasiano memoirs, lives of illustrious men of the xvth century / Vespasiano ; translated by William George and Emily Waters. Introd. to the Torchbook ed. by Myron P. Gilmore.</t>
        </is>
      </c>
      <c r="F1203" t="inlineStr">
        <is>
          <t>No</t>
        </is>
      </c>
      <c r="G1203" t="inlineStr">
        <is>
          <t>1</t>
        </is>
      </c>
      <c r="H1203" t="inlineStr">
        <is>
          <t>No</t>
        </is>
      </c>
      <c r="I1203" t="inlineStr">
        <is>
          <t>No</t>
        </is>
      </c>
      <c r="J1203" t="inlineStr">
        <is>
          <t>0</t>
        </is>
      </c>
      <c r="K1203" t="inlineStr">
        <is>
          <t>Vespasiano, da Bisticci, 1421-1498.</t>
        </is>
      </c>
      <c r="L1203" t="inlineStr">
        <is>
          <t>New York : Harper &amp; Row, [1963]</t>
        </is>
      </c>
      <c r="M1203" t="inlineStr">
        <is>
          <t>1963</t>
        </is>
      </c>
      <c r="N1203" t="inlineStr">
        <is>
          <t>1st Harper Torchbook ed.</t>
        </is>
      </c>
      <c r="O1203" t="inlineStr">
        <is>
          <t>eng</t>
        </is>
      </c>
      <c r="P1203" t="inlineStr">
        <is>
          <t>nyu</t>
        </is>
      </c>
      <c r="Q1203" t="inlineStr">
        <is>
          <t>Harper torchbooks. The Academy library</t>
        </is>
      </c>
      <c r="R1203" t="inlineStr">
        <is>
          <t xml:space="preserve">DG </t>
        </is>
      </c>
      <c r="S1203" t="n">
        <v>2</v>
      </c>
      <c r="T1203" t="n">
        <v>2</v>
      </c>
      <c r="U1203" t="inlineStr">
        <is>
          <t>2003-02-13</t>
        </is>
      </c>
      <c r="V1203" t="inlineStr">
        <is>
          <t>2003-02-13</t>
        </is>
      </c>
      <c r="W1203" t="inlineStr">
        <is>
          <t>2003-02-13</t>
        </is>
      </c>
      <c r="X1203" t="inlineStr">
        <is>
          <t>2003-02-13</t>
        </is>
      </c>
      <c r="Y1203" t="n">
        <v>671</v>
      </c>
      <c r="Z1203" t="n">
        <v>579</v>
      </c>
      <c r="AA1203" t="n">
        <v>591</v>
      </c>
      <c r="AB1203" t="n">
        <v>3</v>
      </c>
      <c r="AC1203" t="n">
        <v>3</v>
      </c>
      <c r="AD1203" t="n">
        <v>23</v>
      </c>
      <c r="AE1203" t="n">
        <v>23</v>
      </c>
      <c r="AF1203" t="n">
        <v>9</v>
      </c>
      <c r="AG1203" t="n">
        <v>9</v>
      </c>
      <c r="AH1203" t="n">
        <v>4</v>
      </c>
      <c r="AI1203" t="n">
        <v>4</v>
      </c>
      <c r="AJ1203" t="n">
        <v>12</v>
      </c>
      <c r="AK1203" t="n">
        <v>12</v>
      </c>
      <c r="AL1203" t="n">
        <v>2</v>
      </c>
      <c r="AM1203" t="n">
        <v>2</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HYPERLINK("https://creighton-primo.hosted.exlibrisgroup.com/primo-explore/search?tab=default_tab&amp;search_scope=EVERYTHING&amp;vid=01CRU&amp;lang=en_US&amp;offset=0&amp;query=any,contains,991003995719702656","Catalog Record")</f>
        <v/>
      </c>
      <c r="AT1203">
        <f>HYPERLINK("http://www.worldcat.org/oclc/476294","WorldCat Record")</f>
        <v/>
      </c>
      <c r="AU1203" t="inlineStr">
        <is>
          <t>4757648748:eng</t>
        </is>
      </c>
      <c r="AV1203" t="inlineStr">
        <is>
          <t>476294</t>
        </is>
      </c>
      <c r="AW1203" t="inlineStr">
        <is>
          <t>991003995719702656</t>
        </is>
      </c>
      <c r="AX1203" t="inlineStr">
        <is>
          <t>991003995719702656</t>
        </is>
      </c>
      <c r="AY1203" t="inlineStr">
        <is>
          <t>2262347680002656</t>
        </is>
      </c>
      <c r="AZ1203" t="inlineStr">
        <is>
          <t>BOOK</t>
        </is>
      </c>
      <c r="BC1203" t="inlineStr">
        <is>
          <t>32285004698998</t>
        </is>
      </c>
      <c r="BD1203" t="inlineStr">
        <is>
          <t>893800457</t>
        </is>
      </c>
    </row>
    <row r="1204">
      <c r="A1204" t="inlineStr">
        <is>
          <t>No</t>
        </is>
      </c>
      <c r="B1204" t="inlineStr">
        <is>
          <t>DG545 .W66 1986</t>
        </is>
      </c>
      <c r="C1204" t="inlineStr">
        <is>
          <t>0                      DG 0545000W  66          1986</t>
        </is>
      </c>
      <c r="D1204" t="inlineStr">
        <is>
          <t>A history of Italy, 1700-1860 : the social constraints of political change / Stuart Woolf.</t>
        </is>
      </c>
      <c r="F1204" t="inlineStr">
        <is>
          <t>No</t>
        </is>
      </c>
      <c r="G1204" t="inlineStr">
        <is>
          <t>1</t>
        </is>
      </c>
      <c r="H1204" t="inlineStr">
        <is>
          <t>No</t>
        </is>
      </c>
      <c r="I1204" t="inlineStr">
        <is>
          <t>No</t>
        </is>
      </c>
      <c r="J1204" t="inlineStr">
        <is>
          <t>0</t>
        </is>
      </c>
      <c r="K1204" t="inlineStr">
        <is>
          <t>Woolf, S. J. (Stuart Joseph)</t>
        </is>
      </c>
      <c r="L1204" t="inlineStr">
        <is>
          <t>London ; New York : Methuen, 1986, c1979.</t>
        </is>
      </c>
      <c r="M1204" t="inlineStr">
        <is>
          <t>1986</t>
        </is>
      </c>
      <c r="O1204" t="inlineStr">
        <is>
          <t>eng</t>
        </is>
      </c>
      <c r="P1204" t="inlineStr">
        <is>
          <t>enk</t>
        </is>
      </c>
      <c r="R1204" t="inlineStr">
        <is>
          <t xml:space="preserve">DG </t>
        </is>
      </c>
      <c r="S1204" t="n">
        <v>10</v>
      </c>
      <c r="T1204" t="n">
        <v>10</v>
      </c>
      <c r="U1204" t="inlineStr">
        <is>
          <t>2008-10-02</t>
        </is>
      </c>
      <c r="V1204" t="inlineStr">
        <is>
          <t>2008-10-02</t>
        </is>
      </c>
      <c r="W1204" t="inlineStr">
        <is>
          <t>1991-04-15</t>
        </is>
      </c>
      <c r="X1204" t="inlineStr">
        <is>
          <t>1991-04-15</t>
        </is>
      </c>
      <c r="Y1204" t="n">
        <v>75</v>
      </c>
      <c r="Z1204" t="n">
        <v>54</v>
      </c>
      <c r="AA1204" t="n">
        <v>291</v>
      </c>
      <c r="AB1204" t="n">
        <v>1</v>
      </c>
      <c r="AC1204" t="n">
        <v>3</v>
      </c>
      <c r="AD1204" t="n">
        <v>1</v>
      </c>
      <c r="AE1204" t="n">
        <v>16</v>
      </c>
      <c r="AF1204" t="n">
        <v>1</v>
      </c>
      <c r="AG1204" t="n">
        <v>4</v>
      </c>
      <c r="AH1204" t="n">
        <v>0</v>
      </c>
      <c r="AI1204" t="n">
        <v>3</v>
      </c>
      <c r="AJ1204" t="n">
        <v>1</v>
      </c>
      <c r="AK1204" t="n">
        <v>11</v>
      </c>
      <c r="AL1204" t="n">
        <v>0</v>
      </c>
      <c r="AM1204" t="n">
        <v>2</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HYPERLINK("https://creighton-primo.hosted.exlibrisgroup.com/primo-explore/search?tab=default_tab&amp;search_scope=EVERYTHING&amp;vid=01CRU&amp;lang=en_US&amp;offset=0&amp;query=any,contains,991000798299702656","Catalog Record")</f>
        <v/>
      </c>
      <c r="AT1204">
        <f>HYPERLINK("http://www.worldcat.org/oclc/13214623","WorldCat Record")</f>
        <v/>
      </c>
      <c r="AU1204" t="inlineStr">
        <is>
          <t>836621531:eng</t>
        </is>
      </c>
      <c r="AV1204" t="inlineStr">
        <is>
          <t>13214623</t>
        </is>
      </c>
      <c r="AW1204" t="inlineStr">
        <is>
          <t>991000798299702656</t>
        </is>
      </c>
      <c r="AX1204" t="inlineStr">
        <is>
          <t>991000798299702656</t>
        </is>
      </c>
      <c r="AY1204" t="inlineStr">
        <is>
          <t>2262032170002656</t>
        </is>
      </c>
      <c r="AZ1204" t="inlineStr">
        <is>
          <t>BOOK</t>
        </is>
      </c>
      <c r="BB1204" t="inlineStr">
        <is>
          <t>9780416808902</t>
        </is>
      </c>
      <c r="BC1204" t="inlineStr">
        <is>
          <t>32285000522085</t>
        </is>
      </c>
      <c r="BD1204" t="inlineStr">
        <is>
          <t>893509120</t>
        </is>
      </c>
    </row>
    <row r="1205">
      <c r="A1205" t="inlineStr">
        <is>
          <t>No</t>
        </is>
      </c>
      <c r="B1205" t="inlineStr">
        <is>
          <t>DG55.A27 C5 1978</t>
        </is>
      </c>
      <c r="C1205" t="inlineStr">
        <is>
          <t>0                      DG 0055000A  27                 C  5           1978</t>
        </is>
      </c>
      <c r="D1205" t="inlineStr">
        <is>
          <t>Culture adriatiche antiche d'Abruzzo e di Molise / Valerio Cianfarani.</t>
        </is>
      </c>
      <c r="E1205" t="inlineStr">
        <is>
          <t>V.1</t>
        </is>
      </c>
      <c r="F1205" t="inlineStr">
        <is>
          <t>Yes</t>
        </is>
      </c>
      <c r="G1205" t="inlineStr">
        <is>
          <t>1</t>
        </is>
      </c>
      <c r="H1205" t="inlineStr">
        <is>
          <t>No</t>
        </is>
      </c>
      <c r="I1205" t="inlineStr">
        <is>
          <t>No</t>
        </is>
      </c>
      <c r="J1205" t="inlineStr">
        <is>
          <t>0</t>
        </is>
      </c>
      <c r="K1205" t="inlineStr">
        <is>
          <t>Cianfarani, Valerio.</t>
        </is>
      </c>
      <c r="L1205" t="inlineStr">
        <is>
          <t>Roma : De Luca, 1978.</t>
        </is>
      </c>
      <c r="M1205" t="inlineStr">
        <is>
          <t>1978</t>
        </is>
      </c>
      <c r="O1205" t="inlineStr">
        <is>
          <t>ita</t>
        </is>
      </c>
      <c r="P1205" t="inlineStr">
        <is>
          <t xml:space="preserve">it </t>
        </is>
      </c>
      <c r="R1205" t="inlineStr">
        <is>
          <t xml:space="preserve">DG </t>
        </is>
      </c>
      <c r="S1205" t="n">
        <v>2</v>
      </c>
      <c r="T1205" t="n">
        <v>4</v>
      </c>
      <c r="U1205" t="inlineStr">
        <is>
          <t>1999-08-26</t>
        </is>
      </c>
      <c r="V1205" t="inlineStr">
        <is>
          <t>1999-08-26</t>
        </is>
      </c>
      <c r="W1205" t="inlineStr">
        <is>
          <t>1991-02-25</t>
        </is>
      </c>
      <c r="X1205" t="inlineStr">
        <is>
          <t>1991-02-25</t>
        </is>
      </c>
      <c r="Y1205" t="n">
        <v>32</v>
      </c>
      <c r="Z1205" t="n">
        <v>21</v>
      </c>
      <c r="AA1205" t="n">
        <v>22</v>
      </c>
      <c r="AB1205" t="n">
        <v>1</v>
      </c>
      <c r="AC1205" t="n">
        <v>1</v>
      </c>
      <c r="AD1205" t="n">
        <v>0</v>
      </c>
      <c r="AE1205" t="n">
        <v>0</v>
      </c>
      <c r="AF1205" t="n">
        <v>0</v>
      </c>
      <c r="AG1205" t="n">
        <v>0</v>
      </c>
      <c r="AH1205" t="n">
        <v>0</v>
      </c>
      <c r="AI1205" t="n">
        <v>0</v>
      </c>
      <c r="AJ1205" t="n">
        <v>0</v>
      </c>
      <c r="AK1205" t="n">
        <v>0</v>
      </c>
      <c r="AL1205" t="n">
        <v>0</v>
      </c>
      <c r="AM1205" t="n">
        <v>0</v>
      </c>
      <c r="AN1205" t="n">
        <v>0</v>
      </c>
      <c r="AO1205" t="n">
        <v>0</v>
      </c>
      <c r="AP1205" t="inlineStr">
        <is>
          <t>No</t>
        </is>
      </c>
      <c r="AQ1205" t="inlineStr">
        <is>
          <t>Yes</t>
        </is>
      </c>
      <c r="AR1205">
        <f>HYPERLINK("http://catalog.hathitrust.org/Record/101898106","HathiTrust Record")</f>
        <v/>
      </c>
      <c r="AS1205">
        <f>HYPERLINK("https://creighton-primo.hosted.exlibrisgroup.com/primo-explore/search?tab=default_tab&amp;search_scope=EVERYTHING&amp;vid=01CRU&amp;lang=en_US&amp;offset=0&amp;query=any,contains,991000094799702656","Catalog Record")</f>
        <v/>
      </c>
      <c r="AT1205">
        <f>HYPERLINK("http://www.worldcat.org/oclc/8928173","WorldCat Record")</f>
        <v/>
      </c>
      <c r="AU1205" t="inlineStr">
        <is>
          <t>3769220713:ita</t>
        </is>
      </c>
      <c r="AV1205" t="inlineStr">
        <is>
          <t>8928173</t>
        </is>
      </c>
      <c r="AW1205" t="inlineStr">
        <is>
          <t>991000094799702656</t>
        </is>
      </c>
      <c r="AX1205" t="inlineStr">
        <is>
          <t>991000094799702656</t>
        </is>
      </c>
      <c r="AY1205" t="inlineStr">
        <is>
          <t>2264387530002656</t>
        </is>
      </c>
      <c r="AZ1205" t="inlineStr">
        <is>
          <t>BOOK</t>
        </is>
      </c>
      <c r="BC1205" t="inlineStr">
        <is>
          <t>32285000520766</t>
        </is>
      </c>
      <c r="BD1205" t="inlineStr">
        <is>
          <t>893689416</t>
        </is>
      </c>
    </row>
    <row r="1206">
      <c r="A1206" t="inlineStr">
        <is>
          <t>No</t>
        </is>
      </c>
      <c r="B1206" t="inlineStr">
        <is>
          <t>DG55.A27 C5 1978</t>
        </is>
      </c>
      <c r="C1206" t="inlineStr">
        <is>
          <t>0                      DG 0055000A  27                 C  5           1978</t>
        </is>
      </c>
      <c r="D1206" t="inlineStr">
        <is>
          <t>Culture adriatiche antiche d'Abruzzo e di Molise / Valerio Cianfarani.</t>
        </is>
      </c>
      <c r="E1206" t="inlineStr">
        <is>
          <t>V.2</t>
        </is>
      </c>
      <c r="F1206" t="inlineStr">
        <is>
          <t>Yes</t>
        </is>
      </c>
      <c r="G1206" t="inlineStr">
        <is>
          <t>1</t>
        </is>
      </c>
      <c r="H1206" t="inlineStr">
        <is>
          <t>No</t>
        </is>
      </c>
      <c r="I1206" t="inlineStr">
        <is>
          <t>No</t>
        </is>
      </c>
      <c r="J1206" t="inlineStr">
        <is>
          <t>0</t>
        </is>
      </c>
      <c r="K1206" t="inlineStr">
        <is>
          <t>Cianfarani, Valerio.</t>
        </is>
      </c>
      <c r="L1206" t="inlineStr">
        <is>
          <t>Roma : De Luca, 1978.</t>
        </is>
      </c>
      <c r="M1206" t="inlineStr">
        <is>
          <t>1978</t>
        </is>
      </c>
      <c r="O1206" t="inlineStr">
        <is>
          <t>ita</t>
        </is>
      </c>
      <c r="P1206" t="inlineStr">
        <is>
          <t xml:space="preserve">it </t>
        </is>
      </c>
      <c r="R1206" t="inlineStr">
        <is>
          <t xml:space="preserve">DG </t>
        </is>
      </c>
      <c r="S1206" t="n">
        <v>2</v>
      </c>
      <c r="T1206" t="n">
        <v>4</v>
      </c>
      <c r="U1206" t="inlineStr">
        <is>
          <t>1999-08-26</t>
        </is>
      </c>
      <c r="V1206" t="inlineStr">
        <is>
          <t>1999-08-26</t>
        </is>
      </c>
      <c r="W1206" t="inlineStr">
        <is>
          <t>1991-02-25</t>
        </is>
      </c>
      <c r="X1206" t="inlineStr">
        <is>
          <t>1991-02-25</t>
        </is>
      </c>
      <c r="Y1206" t="n">
        <v>32</v>
      </c>
      <c r="Z1206" t="n">
        <v>21</v>
      </c>
      <c r="AA1206" t="n">
        <v>22</v>
      </c>
      <c r="AB1206" t="n">
        <v>1</v>
      </c>
      <c r="AC1206" t="n">
        <v>1</v>
      </c>
      <c r="AD1206" t="n">
        <v>0</v>
      </c>
      <c r="AE1206" t="n">
        <v>0</v>
      </c>
      <c r="AF1206" t="n">
        <v>0</v>
      </c>
      <c r="AG1206" t="n">
        <v>0</v>
      </c>
      <c r="AH1206" t="n">
        <v>0</v>
      </c>
      <c r="AI1206" t="n">
        <v>0</v>
      </c>
      <c r="AJ1206" t="n">
        <v>0</v>
      </c>
      <c r="AK1206" t="n">
        <v>0</v>
      </c>
      <c r="AL1206" t="n">
        <v>0</v>
      </c>
      <c r="AM1206" t="n">
        <v>0</v>
      </c>
      <c r="AN1206" t="n">
        <v>0</v>
      </c>
      <c r="AO1206" t="n">
        <v>0</v>
      </c>
      <c r="AP1206" t="inlineStr">
        <is>
          <t>No</t>
        </is>
      </c>
      <c r="AQ1206" t="inlineStr">
        <is>
          <t>Yes</t>
        </is>
      </c>
      <c r="AR1206">
        <f>HYPERLINK("http://catalog.hathitrust.org/Record/101898106","HathiTrust Record")</f>
        <v/>
      </c>
      <c r="AS1206">
        <f>HYPERLINK("https://creighton-primo.hosted.exlibrisgroup.com/primo-explore/search?tab=default_tab&amp;search_scope=EVERYTHING&amp;vid=01CRU&amp;lang=en_US&amp;offset=0&amp;query=any,contains,991000094799702656","Catalog Record")</f>
        <v/>
      </c>
      <c r="AT1206">
        <f>HYPERLINK("http://www.worldcat.org/oclc/8928173","WorldCat Record")</f>
        <v/>
      </c>
      <c r="AU1206" t="inlineStr">
        <is>
          <t>3769220713:ita</t>
        </is>
      </c>
      <c r="AV1206" t="inlineStr">
        <is>
          <t>8928173</t>
        </is>
      </c>
      <c r="AW1206" t="inlineStr">
        <is>
          <t>991000094799702656</t>
        </is>
      </c>
      <c r="AX1206" t="inlineStr">
        <is>
          <t>991000094799702656</t>
        </is>
      </c>
      <c r="AY1206" t="inlineStr">
        <is>
          <t>2264387530002656</t>
        </is>
      </c>
      <c r="AZ1206" t="inlineStr">
        <is>
          <t>BOOK</t>
        </is>
      </c>
      <c r="BC1206" t="inlineStr">
        <is>
          <t>32285000520774</t>
        </is>
      </c>
      <c r="BD1206" t="inlineStr">
        <is>
          <t>893689415</t>
        </is>
      </c>
    </row>
    <row r="1207">
      <c r="A1207" t="inlineStr">
        <is>
          <t>No</t>
        </is>
      </c>
      <c r="B1207" t="inlineStr">
        <is>
          <t>DG55.S9 C38 1990</t>
        </is>
      </c>
      <c r="C1207" t="inlineStr">
        <is>
          <t>0                      DG 0055000S  9                  C  38          1990</t>
        </is>
      </c>
      <c r="D1207" t="inlineStr">
        <is>
          <t>Dionysius I : war-lord of Sicily / Brian Caven.</t>
        </is>
      </c>
      <c r="F1207" t="inlineStr">
        <is>
          <t>No</t>
        </is>
      </c>
      <c r="G1207" t="inlineStr">
        <is>
          <t>1</t>
        </is>
      </c>
      <c r="H1207" t="inlineStr">
        <is>
          <t>No</t>
        </is>
      </c>
      <c r="I1207" t="inlineStr">
        <is>
          <t>No</t>
        </is>
      </c>
      <c r="J1207" t="inlineStr">
        <is>
          <t>0</t>
        </is>
      </c>
      <c r="K1207" t="inlineStr">
        <is>
          <t>Caven, Brian, 1921-</t>
        </is>
      </c>
      <c r="L1207" t="inlineStr">
        <is>
          <t>New Haven : Yale University Press, 1990.</t>
        </is>
      </c>
      <c r="M1207" t="inlineStr">
        <is>
          <t>1990</t>
        </is>
      </c>
      <c r="O1207" t="inlineStr">
        <is>
          <t>eng</t>
        </is>
      </c>
      <c r="P1207" t="inlineStr">
        <is>
          <t>ctu</t>
        </is>
      </c>
      <c r="R1207" t="inlineStr">
        <is>
          <t xml:space="preserve">DG </t>
        </is>
      </c>
      <c r="S1207" t="n">
        <v>3</v>
      </c>
      <c r="T1207" t="n">
        <v>3</v>
      </c>
      <c r="U1207" t="inlineStr">
        <is>
          <t>2000-05-02</t>
        </is>
      </c>
      <c r="V1207" t="inlineStr">
        <is>
          <t>2000-05-02</t>
        </is>
      </c>
      <c r="W1207" t="inlineStr">
        <is>
          <t>1991-01-17</t>
        </is>
      </c>
      <c r="X1207" t="inlineStr">
        <is>
          <t>1991-01-17</t>
        </is>
      </c>
      <c r="Y1207" t="n">
        <v>454</v>
      </c>
      <c r="Z1207" t="n">
        <v>354</v>
      </c>
      <c r="AA1207" t="n">
        <v>525</v>
      </c>
      <c r="AB1207" t="n">
        <v>3</v>
      </c>
      <c r="AC1207" t="n">
        <v>3</v>
      </c>
      <c r="AD1207" t="n">
        <v>16</v>
      </c>
      <c r="AE1207" t="n">
        <v>25</v>
      </c>
      <c r="AF1207" t="n">
        <v>4</v>
      </c>
      <c r="AG1207" t="n">
        <v>11</v>
      </c>
      <c r="AH1207" t="n">
        <v>4</v>
      </c>
      <c r="AI1207" t="n">
        <v>6</v>
      </c>
      <c r="AJ1207" t="n">
        <v>11</v>
      </c>
      <c r="AK1207" t="n">
        <v>15</v>
      </c>
      <c r="AL1207" t="n">
        <v>2</v>
      </c>
      <c r="AM1207" t="n">
        <v>2</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HYPERLINK("https://creighton-primo.hosted.exlibrisgroup.com/primo-explore/search?tab=default_tab&amp;search_scope=EVERYTHING&amp;vid=01CRU&amp;lang=en_US&amp;offset=0&amp;query=any,contains,991005412019702656","Catalog Record")</f>
        <v/>
      </c>
      <c r="AT1207">
        <f>HYPERLINK("http://www.worldcat.org/oclc/21296541","WorldCat Record")</f>
        <v/>
      </c>
      <c r="AU1207" t="inlineStr">
        <is>
          <t>347336817:eng</t>
        </is>
      </c>
      <c r="AV1207" t="inlineStr">
        <is>
          <t>21296541</t>
        </is>
      </c>
      <c r="AW1207" t="inlineStr">
        <is>
          <t>991005412019702656</t>
        </is>
      </c>
      <c r="AX1207" t="inlineStr">
        <is>
          <t>991005412019702656</t>
        </is>
      </c>
      <c r="AY1207" t="inlineStr">
        <is>
          <t>2268358050002656</t>
        </is>
      </c>
      <c r="AZ1207" t="inlineStr">
        <is>
          <t>BOOK</t>
        </is>
      </c>
      <c r="BB1207" t="inlineStr">
        <is>
          <t>9780300045079</t>
        </is>
      </c>
      <c r="BC1207" t="inlineStr">
        <is>
          <t>32285000408574</t>
        </is>
      </c>
      <c r="BD1207" t="inlineStr">
        <is>
          <t>893796188</t>
        </is>
      </c>
    </row>
    <row r="1208">
      <c r="A1208" t="inlineStr">
        <is>
          <t>No</t>
        </is>
      </c>
      <c r="B1208" t="inlineStr">
        <is>
          <t>DG55.S9 S26 1987</t>
        </is>
      </c>
      <c r="C1208" t="inlineStr">
        <is>
          <t>0                      DG 0055000S  9                  S  26          1987</t>
        </is>
      </c>
      <c r="D1208" t="inlineStr">
        <is>
          <t>Dionysius I of Syracuse and Greek tyranny / L.J. Sanders.</t>
        </is>
      </c>
      <c r="F1208" t="inlineStr">
        <is>
          <t>No</t>
        </is>
      </c>
      <c r="G1208" t="inlineStr">
        <is>
          <t>1</t>
        </is>
      </c>
      <c r="H1208" t="inlineStr">
        <is>
          <t>No</t>
        </is>
      </c>
      <c r="I1208" t="inlineStr">
        <is>
          <t>No</t>
        </is>
      </c>
      <c r="J1208" t="inlineStr">
        <is>
          <t>0</t>
        </is>
      </c>
      <c r="K1208" t="inlineStr">
        <is>
          <t>Sanders, L. J., 1942-</t>
        </is>
      </c>
      <c r="L1208" t="inlineStr">
        <is>
          <t>New York, NY : Published in the USA by Croom Helm in association with Methuen, c1987.</t>
        </is>
      </c>
      <c r="M1208" t="inlineStr">
        <is>
          <t>1987</t>
        </is>
      </c>
      <c r="O1208" t="inlineStr">
        <is>
          <t>eng</t>
        </is>
      </c>
      <c r="P1208" t="inlineStr">
        <is>
          <t>nyu</t>
        </is>
      </c>
      <c r="R1208" t="inlineStr">
        <is>
          <t xml:space="preserve">DG </t>
        </is>
      </c>
      <c r="S1208" t="n">
        <v>2</v>
      </c>
      <c r="T1208" t="n">
        <v>2</v>
      </c>
      <c r="U1208" t="inlineStr">
        <is>
          <t>2000-01-15</t>
        </is>
      </c>
      <c r="V1208" t="inlineStr">
        <is>
          <t>2000-01-15</t>
        </is>
      </c>
      <c r="W1208" t="inlineStr">
        <is>
          <t>1991-02-25</t>
        </is>
      </c>
      <c r="X1208" t="inlineStr">
        <is>
          <t>1991-02-25</t>
        </is>
      </c>
      <c r="Y1208" t="n">
        <v>316</v>
      </c>
      <c r="Z1208" t="n">
        <v>212</v>
      </c>
      <c r="AA1208" t="n">
        <v>240</v>
      </c>
      <c r="AB1208" t="n">
        <v>3</v>
      </c>
      <c r="AC1208" t="n">
        <v>3</v>
      </c>
      <c r="AD1208" t="n">
        <v>15</v>
      </c>
      <c r="AE1208" t="n">
        <v>15</v>
      </c>
      <c r="AF1208" t="n">
        <v>6</v>
      </c>
      <c r="AG1208" t="n">
        <v>6</v>
      </c>
      <c r="AH1208" t="n">
        <v>2</v>
      </c>
      <c r="AI1208" t="n">
        <v>2</v>
      </c>
      <c r="AJ1208" t="n">
        <v>11</v>
      </c>
      <c r="AK1208" t="n">
        <v>11</v>
      </c>
      <c r="AL1208" t="n">
        <v>2</v>
      </c>
      <c r="AM1208" t="n">
        <v>2</v>
      </c>
      <c r="AN1208" t="n">
        <v>0</v>
      </c>
      <c r="AO1208" t="n">
        <v>0</v>
      </c>
      <c r="AP1208" t="inlineStr">
        <is>
          <t>No</t>
        </is>
      </c>
      <c r="AQ1208" t="inlineStr">
        <is>
          <t>Yes</t>
        </is>
      </c>
      <c r="AR1208">
        <f>HYPERLINK("http://catalog.hathitrust.org/Record/000868143","HathiTrust Record")</f>
        <v/>
      </c>
      <c r="AS1208">
        <f>HYPERLINK("https://creighton-primo.hosted.exlibrisgroup.com/primo-explore/search?tab=default_tab&amp;search_scope=EVERYTHING&amp;vid=01CRU&amp;lang=en_US&amp;offset=0&amp;query=any,contains,991005407949702656","Catalog Record")</f>
        <v/>
      </c>
      <c r="AT1208">
        <f>HYPERLINK("http://www.worldcat.org/oclc/16088974","WorldCat Record")</f>
        <v/>
      </c>
      <c r="AU1208" t="inlineStr">
        <is>
          <t>11712966:eng</t>
        </is>
      </c>
      <c r="AV1208" t="inlineStr">
        <is>
          <t>16088974</t>
        </is>
      </c>
      <c r="AW1208" t="inlineStr">
        <is>
          <t>991005407949702656</t>
        </is>
      </c>
      <c r="AX1208" t="inlineStr">
        <is>
          <t>991005407949702656</t>
        </is>
      </c>
      <c r="AY1208" t="inlineStr">
        <is>
          <t>2255103970002656</t>
        </is>
      </c>
      <c r="AZ1208" t="inlineStr">
        <is>
          <t>BOOK</t>
        </is>
      </c>
      <c r="BB1208" t="inlineStr">
        <is>
          <t>9780709954033</t>
        </is>
      </c>
      <c r="BC1208" t="inlineStr">
        <is>
          <t>32285000520790</t>
        </is>
      </c>
      <c r="BD1208" t="inlineStr">
        <is>
          <t>893332915</t>
        </is>
      </c>
    </row>
    <row r="1209">
      <c r="A1209" t="inlineStr">
        <is>
          <t>No</t>
        </is>
      </c>
      <c r="B1209" t="inlineStr">
        <is>
          <t>DG551 .H43 1983</t>
        </is>
      </c>
      <c r="C1209" t="inlineStr">
        <is>
          <t>0                      DG 0551000H  43          1983</t>
        </is>
      </c>
      <c r="D1209" t="inlineStr">
        <is>
          <t>Italy in the age of the Risorgimento, 1790-1870 / Harry Hearder.</t>
        </is>
      </c>
      <c r="F1209" t="inlineStr">
        <is>
          <t>No</t>
        </is>
      </c>
      <c r="G1209" t="inlineStr">
        <is>
          <t>1</t>
        </is>
      </c>
      <c r="H1209" t="inlineStr">
        <is>
          <t>No</t>
        </is>
      </c>
      <c r="I1209" t="inlineStr">
        <is>
          <t>No</t>
        </is>
      </c>
      <c r="J1209" t="inlineStr">
        <is>
          <t>0</t>
        </is>
      </c>
      <c r="K1209" t="inlineStr">
        <is>
          <t>Hearder, Harry.</t>
        </is>
      </c>
      <c r="L1209" t="inlineStr">
        <is>
          <t>London ; New York : Longman, 1983.</t>
        </is>
      </c>
      <c r="M1209" t="inlineStr">
        <is>
          <t>1983</t>
        </is>
      </c>
      <c r="O1209" t="inlineStr">
        <is>
          <t>eng</t>
        </is>
      </c>
      <c r="P1209" t="inlineStr">
        <is>
          <t>enk</t>
        </is>
      </c>
      <c r="Q1209" t="inlineStr">
        <is>
          <t>Longman history of Italy ; v. 6</t>
        </is>
      </c>
      <c r="R1209" t="inlineStr">
        <is>
          <t xml:space="preserve">DG </t>
        </is>
      </c>
      <c r="S1209" t="n">
        <v>1</v>
      </c>
      <c r="T1209" t="n">
        <v>1</v>
      </c>
      <c r="U1209" t="inlineStr">
        <is>
          <t>1995-01-09</t>
        </is>
      </c>
      <c r="V1209" t="inlineStr">
        <is>
          <t>1995-01-09</t>
        </is>
      </c>
      <c r="W1209" t="inlineStr">
        <is>
          <t>1991-04-15</t>
        </is>
      </c>
      <c r="X1209" t="inlineStr">
        <is>
          <t>1991-04-15</t>
        </is>
      </c>
      <c r="Y1209" t="n">
        <v>655</v>
      </c>
      <c r="Z1209" t="n">
        <v>424</v>
      </c>
      <c r="AA1209" t="n">
        <v>427</v>
      </c>
      <c r="AB1209" t="n">
        <v>2</v>
      </c>
      <c r="AC1209" t="n">
        <v>2</v>
      </c>
      <c r="AD1209" t="n">
        <v>23</v>
      </c>
      <c r="AE1209" t="n">
        <v>24</v>
      </c>
      <c r="AF1209" t="n">
        <v>8</v>
      </c>
      <c r="AG1209" t="n">
        <v>9</v>
      </c>
      <c r="AH1209" t="n">
        <v>7</v>
      </c>
      <c r="AI1209" t="n">
        <v>7</v>
      </c>
      <c r="AJ1209" t="n">
        <v>13</v>
      </c>
      <c r="AK1209" t="n">
        <v>14</v>
      </c>
      <c r="AL1209" t="n">
        <v>1</v>
      </c>
      <c r="AM1209" t="n">
        <v>1</v>
      </c>
      <c r="AN1209" t="n">
        <v>0</v>
      </c>
      <c r="AO1209" t="n">
        <v>0</v>
      </c>
      <c r="AP1209" t="inlineStr">
        <is>
          <t>No</t>
        </is>
      </c>
      <c r="AQ1209" t="inlineStr">
        <is>
          <t>Yes</t>
        </is>
      </c>
      <c r="AR1209">
        <f>HYPERLINK("http://catalog.hathitrust.org/Record/000166618","HathiTrust Record")</f>
        <v/>
      </c>
      <c r="AS1209">
        <f>HYPERLINK("https://creighton-primo.hosted.exlibrisgroup.com/primo-explore/search?tab=default_tab&amp;search_scope=EVERYTHING&amp;vid=01CRU&amp;lang=en_US&amp;offset=0&amp;query=any,contains,991000126419702656","Catalog Record")</f>
        <v/>
      </c>
      <c r="AT1209">
        <f>HYPERLINK("http://www.worldcat.org/oclc/9083372","WorldCat Record")</f>
        <v/>
      </c>
      <c r="AU1209" t="inlineStr">
        <is>
          <t>43559400:eng</t>
        </is>
      </c>
      <c r="AV1209" t="inlineStr">
        <is>
          <t>9083372</t>
        </is>
      </c>
      <c r="AW1209" t="inlineStr">
        <is>
          <t>991000126419702656</t>
        </is>
      </c>
      <c r="AX1209" t="inlineStr">
        <is>
          <t>991000126419702656</t>
        </is>
      </c>
      <c r="AY1209" t="inlineStr">
        <is>
          <t>2254942980002656</t>
        </is>
      </c>
      <c r="AZ1209" t="inlineStr">
        <is>
          <t>BOOK</t>
        </is>
      </c>
      <c r="BB1209" t="inlineStr">
        <is>
          <t>9780582491465</t>
        </is>
      </c>
      <c r="BC1209" t="inlineStr">
        <is>
          <t>32285000522093</t>
        </is>
      </c>
      <c r="BD1209" t="inlineStr">
        <is>
          <t>893890440</t>
        </is>
      </c>
    </row>
    <row r="1210">
      <c r="A1210" t="inlineStr">
        <is>
          <t>No</t>
        </is>
      </c>
      <c r="B1210" t="inlineStr">
        <is>
          <t>DG552.5 .L68</t>
        </is>
      </c>
      <c r="C1210" t="inlineStr">
        <is>
          <t>0                      DG 0552500L  68</t>
        </is>
      </c>
      <c r="D1210" t="inlineStr">
        <is>
          <t>The democratic movement in Italy, 1830-1876 / Clara M. Lovett.</t>
        </is>
      </c>
      <c r="F1210" t="inlineStr">
        <is>
          <t>No</t>
        </is>
      </c>
      <c r="G1210" t="inlineStr">
        <is>
          <t>1</t>
        </is>
      </c>
      <c r="H1210" t="inlineStr">
        <is>
          <t>No</t>
        </is>
      </c>
      <c r="I1210" t="inlineStr">
        <is>
          <t>No</t>
        </is>
      </c>
      <c r="J1210" t="inlineStr">
        <is>
          <t>0</t>
        </is>
      </c>
      <c r="K1210" t="inlineStr">
        <is>
          <t>Lovett, Clara Maria, 1939-</t>
        </is>
      </c>
      <c r="L1210" t="inlineStr">
        <is>
          <t>Cambridge, Mass. : Harvard University Press, 1982.</t>
        </is>
      </c>
      <c r="M1210" t="inlineStr">
        <is>
          <t>1982</t>
        </is>
      </c>
      <c r="O1210" t="inlineStr">
        <is>
          <t>eng</t>
        </is>
      </c>
      <c r="P1210" t="inlineStr">
        <is>
          <t>mau</t>
        </is>
      </c>
      <c r="R1210" t="inlineStr">
        <is>
          <t xml:space="preserve">DG </t>
        </is>
      </c>
      <c r="S1210" t="n">
        <v>1</v>
      </c>
      <c r="T1210" t="n">
        <v>1</v>
      </c>
      <c r="U1210" t="inlineStr">
        <is>
          <t>1992-03-10</t>
        </is>
      </c>
      <c r="V1210" t="inlineStr">
        <is>
          <t>1992-03-10</t>
        </is>
      </c>
      <c r="W1210" t="inlineStr">
        <is>
          <t>1991-04-15</t>
        </is>
      </c>
      <c r="X1210" t="inlineStr">
        <is>
          <t>1991-04-15</t>
        </is>
      </c>
      <c r="Y1210" t="n">
        <v>511</v>
      </c>
      <c r="Z1210" t="n">
        <v>393</v>
      </c>
      <c r="AA1210" t="n">
        <v>403</v>
      </c>
      <c r="AB1210" t="n">
        <v>2</v>
      </c>
      <c r="AC1210" t="n">
        <v>2</v>
      </c>
      <c r="AD1210" t="n">
        <v>30</v>
      </c>
      <c r="AE1210" t="n">
        <v>30</v>
      </c>
      <c r="AF1210" t="n">
        <v>12</v>
      </c>
      <c r="AG1210" t="n">
        <v>12</v>
      </c>
      <c r="AH1210" t="n">
        <v>8</v>
      </c>
      <c r="AI1210" t="n">
        <v>8</v>
      </c>
      <c r="AJ1210" t="n">
        <v>21</v>
      </c>
      <c r="AK1210" t="n">
        <v>21</v>
      </c>
      <c r="AL1210" t="n">
        <v>1</v>
      </c>
      <c r="AM1210" t="n">
        <v>1</v>
      </c>
      <c r="AN1210" t="n">
        <v>0</v>
      </c>
      <c r="AO1210" t="n">
        <v>0</v>
      </c>
      <c r="AP1210" t="inlineStr">
        <is>
          <t>No</t>
        </is>
      </c>
      <c r="AQ1210" t="inlineStr">
        <is>
          <t>Yes</t>
        </is>
      </c>
      <c r="AR1210">
        <f>HYPERLINK("http://catalog.hathitrust.org/Record/000224731","HathiTrust Record")</f>
        <v/>
      </c>
      <c r="AS1210">
        <f>HYPERLINK("https://creighton-primo.hosted.exlibrisgroup.com/primo-explore/search?tab=default_tab&amp;search_scope=EVERYTHING&amp;vid=01CRU&amp;lang=en_US&amp;offset=0&amp;query=any,contains,991005134379702656","Catalog Record")</f>
        <v/>
      </c>
      <c r="AT1210">
        <f>HYPERLINK("http://www.worldcat.org/oclc/7575482","WorldCat Record")</f>
        <v/>
      </c>
      <c r="AU1210" t="inlineStr">
        <is>
          <t>521094:eng</t>
        </is>
      </c>
      <c r="AV1210" t="inlineStr">
        <is>
          <t>7575482</t>
        </is>
      </c>
      <c r="AW1210" t="inlineStr">
        <is>
          <t>991005134379702656</t>
        </is>
      </c>
      <c r="AX1210" t="inlineStr">
        <is>
          <t>991005134379702656</t>
        </is>
      </c>
      <c r="AY1210" t="inlineStr">
        <is>
          <t>2265563720002656</t>
        </is>
      </c>
      <c r="AZ1210" t="inlineStr">
        <is>
          <t>BOOK</t>
        </is>
      </c>
      <c r="BB1210" t="inlineStr">
        <is>
          <t>9780674196452</t>
        </is>
      </c>
      <c r="BC1210" t="inlineStr">
        <is>
          <t>32285000522101</t>
        </is>
      </c>
      <c r="BD1210" t="inlineStr">
        <is>
          <t>893719834</t>
        </is>
      </c>
    </row>
    <row r="1211">
      <c r="A1211" t="inlineStr">
        <is>
          <t>No</t>
        </is>
      </c>
      <c r="B1211" t="inlineStr">
        <is>
          <t>DG552.7 .R8 1966</t>
        </is>
      </c>
      <c r="C1211" t="inlineStr">
        <is>
          <t>0                      DG 0552700R  8           1966</t>
        </is>
      </c>
      <c r="D1211" t="inlineStr">
        <is>
          <t>Italian nationalism and English letters; figures of the risorgimento and Victorian men of letters, by Harry W. Rudman.</t>
        </is>
      </c>
      <c r="F1211" t="inlineStr">
        <is>
          <t>No</t>
        </is>
      </c>
      <c r="G1211" t="inlineStr">
        <is>
          <t>1</t>
        </is>
      </c>
      <c r="H1211" t="inlineStr">
        <is>
          <t>No</t>
        </is>
      </c>
      <c r="I1211" t="inlineStr">
        <is>
          <t>No</t>
        </is>
      </c>
      <c r="J1211" t="inlineStr">
        <is>
          <t>0</t>
        </is>
      </c>
      <c r="K1211" t="inlineStr">
        <is>
          <t>Rudman, Harry W. (Harry William), 1908-2002.</t>
        </is>
      </c>
      <c r="L1211" t="inlineStr">
        <is>
          <t>New York, AMS Press, 1966 [c1940]</t>
        </is>
      </c>
      <c r="M1211" t="inlineStr">
        <is>
          <t>1966</t>
        </is>
      </c>
      <c r="O1211" t="inlineStr">
        <is>
          <t>eng</t>
        </is>
      </c>
      <c r="P1211" t="inlineStr">
        <is>
          <t>nyu</t>
        </is>
      </c>
      <c r="R1211" t="inlineStr">
        <is>
          <t xml:space="preserve">DG </t>
        </is>
      </c>
      <c r="S1211" t="n">
        <v>2</v>
      </c>
      <c r="T1211" t="n">
        <v>2</v>
      </c>
      <c r="U1211" t="inlineStr">
        <is>
          <t>2009-03-20</t>
        </is>
      </c>
      <c r="V1211" t="inlineStr">
        <is>
          <t>2009-03-20</t>
        </is>
      </c>
      <c r="W1211" t="inlineStr">
        <is>
          <t>1997-02-05</t>
        </is>
      </c>
      <c r="X1211" t="inlineStr">
        <is>
          <t>1997-02-05</t>
        </is>
      </c>
      <c r="Y1211" t="n">
        <v>203</v>
      </c>
      <c r="Z1211" t="n">
        <v>180</v>
      </c>
      <c r="AA1211" t="n">
        <v>429</v>
      </c>
      <c r="AB1211" t="n">
        <v>1</v>
      </c>
      <c r="AC1211" t="n">
        <v>2</v>
      </c>
      <c r="AD1211" t="n">
        <v>10</v>
      </c>
      <c r="AE1211" t="n">
        <v>24</v>
      </c>
      <c r="AF1211" t="n">
        <v>5</v>
      </c>
      <c r="AG1211" t="n">
        <v>8</v>
      </c>
      <c r="AH1211" t="n">
        <v>2</v>
      </c>
      <c r="AI1211" t="n">
        <v>6</v>
      </c>
      <c r="AJ1211" t="n">
        <v>6</v>
      </c>
      <c r="AK1211" t="n">
        <v>15</v>
      </c>
      <c r="AL1211" t="n">
        <v>0</v>
      </c>
      <c r="AM1211" t="n">
        <v>1</v>
      </c>
      <c r="AN1211" t="n">
        <v>0</v>
      </c>
      <c r="AO1211" t="n">
        <v>0</v>
      </c>
      <c r="AP1211" t="inlineStr">
        <is>
          <t>No</t>
        </is>
      </c>
      <c r="AQ1211" t="inlineStr">
        <is>
          <t>Yes</t>
        </is>
      </c>
      <c r="AR1211">
        <f>HYPERLINK("http://catalog.hathitrust.org/Record/004407570","HathiTrust Record")</f>
        <v/>
      </c>
      <c r="AS1211">
        <f>HYPERLINK("https://creighton-primo.hosted.exlibrisgroup.com/primo-explore/search?tab=default_tab&amp;search_scope=EVERYTHING&amp;vid=01CRU&amp;lang=en_US&amp;offset=0&amp;query=any,contains,991002384089702656","Catalog Record")</f>
        <v/>
      </c>
      <c r="AT1211">
        <f>HYPERLINK("http://www.worldcat.org/oclc/329262","WorldCat Record")</f>
        <v/>
      </c>
      <c r="AU1211" t="inlineStr">
        <is>
          <t>474777:eng</t>
        </is>
      </c>
      <c r="AV1211" t="inlineStr">
        <is>
          <t>329262</t>
        </is>
      </c>
      <c r="AW1211" t="inlineStr">
        <is>
          <t>991002384089702656</t>
        </is>
      </c>
      <c r="AX1211" t="inlineStr">
        <is>
          <t>991002384089702656</t>
        </is>
      </c>
      <c r="AY1211" t="inlineStr">
        <is>
          <t>2267316290002656</t>
        </is>
      </c>
      <c r="AZ1211" t="inlineStr">
        <is>
          <t>BOOK</t>
        </is>
      </c>
      <c r="BC1211" t="inlineStr">
        <is>
          <t>32285002422110</t>
        </is>
      </c>
      <c r="BD1211" t="inlineStr">
        <is>
          <t>893341367</t>
        </is>
      </c>
    </row>
    <row r="1212">
      <c r="A1212" t="inlineStr">
        <is>
          <t>No</t>
        </is>
      </c>
      <c r="B1212" t="inlineStr">
        <is>
          <t>DG552.8 .G2 A2 1971 V.2</t>
        </is>
      </c>
      <c r="C1212" t="inlineStr">
        <is>
          <t>0                      DG 0552800G  2                  A  2           1971                  V.2</t>
        </is>
      </c>
      <c r="D1212" t="inlineStr">
        <is>
          <t>Autobiography of Giuseppe Garibaldi. Translated by A. Werner. With an introd. by A. William Salomone. Supplement by Jessie White Mario.</t>
        </is>
      </c>
      <c r="E1212" t="inlineStr">
        <is>
          <t>V.2*</t>
        </is>
      </c>
      <c r="F1212" t="inlineStr">
        <is>
          <t>Yes</t>
        </is>
      </c>
      <c r="G1212" t="inlineStr">
        <is>
          <t>1</t>
        </is>
      </c>
      <c r="H1212" t="inlineStr">
        <is>
          <t>No</t>
        </is>
      </c>
      <c r="I1212" t="inlineStr">
        <is>
          <t>No</t>
        </is>
      </c>
      <c r="J1212" t="inlineStr">
        <is>
          <t>0</t>
        </is>
      </c>
      <c r="K1212" t="inlineStr">
        <is>
          <t>Garibaldi, Giuseppe, 1807-1882.</t>
        </is>
      </c>
      <c r="L1212" t="inlineStr">
        <is>
          <t>New York, H. Fertig, 1971.</t>
        </is>
      </c>
      <c r="M1212" t="inlineStr">
        <is>
          <t>1971</t>
        </is>
      </c>
      <c r="O1212" t="inlineStr">
        <is>
          <t>eng</t>
        </is>
      </c>
      <c r="P1212" t="inlineStr">
        <is>
          <t>nyu</t>
        </is>
      </c>
      <c r="R1212" t="inlineStr">
        <is>
          <t xml:space="preserve">DG </t>
        </is>
      </c>
      <c r="S1212" t="n">
        <v>0</v>
      </c>
      <c r="T1212" t="n">
        <v>3</v>
      </c>
      <c r="V1212" t="inlineStr">
        <is>
          <t>2009-04-15</t>
        </is>
      </c>
      <c r="W1212" t="inlineStr">
        <is>
          <t>1997-02-05</t>
        </is>
      </c>
      <c r="X1212" t="inlineStr">
        <is>
          <t>1997-02-05</t>
        </is>
      </c>
      <c r="Y1212" t="n">
        <v>304</v>
      </c>
      <c r="Z1212" t="n">
        <v>271</v>
      </c>
      <c r="AA1212" t="n">
        <v>362</v>
      </c>
      <c r="AB1212" t="n">
        <v>3</v>
      </c>
      <c r="AC1212" t="n">
        <v>4</v>
      </c>
      <c r="AD1212" t="n">
        <v>19</v>
      </c>
      <c r="AE1212" t="n">
        <v>21</v>
      </c>
      <c r="AF1212" t="n">
        <v>5</v>
      </c>
      <c r="AG1212" t="n">
        <v>5</v>
      </c>
      <c r="AH1212" t="n">
        <v>7</v>
      </c>
      <c r="AI1212" t="n">
        <v>7</v>
      </c>
      <c r="AJ1212" t="n">
        <v>12</v>
      </c>
      <c r="AK1212" t="n">
        <v>13</v>
      </c>
      <c r="AL1212" t="n">
        <v>2</v>
      </c>
      <c r="AM1212" t="n">
        <v>3</v>
      </c>
      <c r="AN1212" t="n">
        <v>0</v>
      </c>
      <c r="AO1212" t="n">
        <v>0</v>
      </c>
      <c r="AP1212" t="inlineStr">
        <is>
          <t>No</t>
        </is>
      </c>
      <c r="AQ1212" t="inlineStr">
        <is>
          <t>Yes</t>
        </is>
      </c>
      <c r="AR1212">
        <f>HYPERLINK("http://catalog.hathitrust.org/Record/007972294","HathiTrust Record")</f>
        <v/>
      </c>
      <c r="AS1212">
        <f>HYPERLINK("https://creighton-primo.hosted.exlibrisgroup.com/primo-explore/search?tab=default_tab&amp;search_scope=EVERYTHING&amp;vid=01CRU&amp;lang=en_US&amp;offset=0&amp;query=any,contains,991000777729702656","Catalog Record")</f>
        <v/>
      </c>
      <c r="AT1212">
        <f>HYPERLINK("http://www.worldcat.org/oclc/133808","WorldCat Record")</f>
        <v/>
      </c>
      <c r="AU1212" t="inlineStr">
        <is>
          <t>1277126:eng</t>
        </is>
      </c>
      <c r="AV1212" t="inlineStr">
        <is>
          <t>133808</t>
        </is>
      </c>
      <c r="AW1212" t="inlineStr">
        <is>
          <t>991000777729702656</t>
        </is>
      </c>
      <c r="AX1212" t="inlineStr">
        <is>
          <t>991000777729702656</t>
        </is>
      </c>
      <c r="AY1212" t="inlineStr">
        <is>
          <t>2255755030002656</t>
        </is>
      </c>
      <c r="AZ1212" t="inlineStr">
        <is>
          <t>BOOK</t>
        </is>
      </c>
      <c r="BC1212" t="inlineStr">
        <is>
          <t>32285002422169</t>
        </is>
      </c>
      <c r="BD1212" t="inlineStr">
        <is>
          <t>893602059</t>
        </is>
      </c>
    </row>
    <row r="1213">
      <c r="A1213" t="inlineStr">
        <is>
          <t>No</t>
        </is>
      </c>
      <c r="B1213" t="inlineStr">
        <is>
          <t>DG552.8 .G2 A2 1971 V.3</t>
        </is>
      </c>
      <c r="C1213" t="inlineStr">
        <is>
          <t>0                      DG 0552800G  2                  A  2           1971                  V.3</t>
        </is>
      </c>
      <c r="D1213" t="inlineStr">
        <is>
          <t>Autobiography of Giuseppe Garibaldi. Translated by A. Werner. With an introd. by A. William Salomone. Supplement by Jessie White Mario.</t>
        </is>
      </c>
      <c r="E1213" t="inlineStr">
        <is>
          <t>V.3*</t>
        </is>
      </c>
      <c r="F1213" t="inlineStr">
        <is>
          <t>Yes</t>
        </is>
      </c>
      <c r="G1213" t="inlineStr">
        <is>
          <t>1</t>
        </is>
      </c>
      <c r="H1213" t="inlineStr">
        <is>
          <t>No</t>
        </is>
      </c>
      <c r="I1213" t="inlineStr">
        <is>
          <t>No</t>
        </is>
      </c>
      <c r="J1213" t="inlineStr">
        <is>
          <t>0</t>
        </is>
      </c>
      <c r="K1213" t="inlineStr">
        <is>
          <t>Garibaldi, Giuseppe, 1807-1882.</t>
        </is>
      </c>
      <c r="L1213" t="inlineStr">
        <is>
          <t>New York, H. Fertig, 1971.</t>
        </is>
      </c>
      <c r="M1213" t="inlineStr">
        <is>
          <t>1971</t>
        </is>
      </c>
      <c r="O1213" t="inlineStr">
        <is>
          <t>eng</t>
        </is>
      </c>
      <c r="P1213" t="inlineStr">
        <is>
          <t>nyu</t>
        </is>
      </c>
      <c r="R1213" t="inlineStr">
        <is>
          <t xml:space="preserve">DG </t>
        </is>
      </c>
      <c r="S1213" t="n">
        <v>3</v>
      </c>
      <c r="T1213" t="n">
        <v>3</v>
      </c>
      <c r="U1213" t="inlineStr">
        <is>
          <t>2009-04-15</t>
        </is>
      </c>
      <c r="V1213" t="inlineStr">
        <is>
          <t>2009-04-15</t>
        </is>
      </c>
      <c r="W1213" t="inlineStr">
        <is>
          <t>1997-02-05</t>
        </is>
      </c>
      <c r="X1213" t="inlineStr">
        <is>
          <t>1997-02-05</t>
        </is>
      </c>
      <c r="Y1213" t="n">
        <v>304</v>
      </c>
      <c r="Z1213" t="n">
        <v>271</v>
      </c>
      <c r="AA1213" t="n">
        <v>362</v>
      </c>
      <c r="AB1213" t="n">
        <v>3</v>
      </c>
      <c r="AC1213" t="n">
        <v>4</v>
      </c>
      <c r="AD1213" t="n">
        <v>19</v>
      </c>
      <c r="AE1213" t="n">
        <v>21</v>
      </c>
      <c r="AF1213" t="n">
        <v>5</v>
      </c>
      <c r="AG1213" t="n">
        <v>5</v>
      </c>
      <c r="AH1213" t="n">
        <v>7</v>
      </c>
      <c r="AI1213" t="n">
        <v>7</v>
      </c>
      <c r="AJ1213" t="n">
        <v>12</v>
      </c>
      <c r="AK1213" t="n">
        <v>13</v>
      </c>
      <c r="AL1213" t="n">
        <v>2</v>
      </c>
      <c r="AM1213" t="n">
        <v>3</v>
      </c>
      <c r="AN1213" t="n">
        <v>0</v>
      </c>
      <c r="AO1213" t="n">
        <v>0</v>
      </c>
      <c r="AP1213" t="inlineStr">
        <is>
          <t>No</t>
        </is>
      </c>
      <c r="AQ1213" t="inlineStr">
        <is>
          <t>Yes</t>
        </is>
      </c>
      <c r="AR1213">
        <f>HYPERLINK("http://catalog.hathitrust.org/Record/007972294","HathiTrust Record")</f>
        <v/>
      </c>
      <c r="AS1213">
        <f>HYPERLINK("https://creighton-primo.hosted.exlibrisgroup.com/primo-explore/search?tab=default_tab&amp;search_scope=EVERYTHING&amp;vid=01CRU&amp;lang=en_US&amp;offset=0&amp;query=any,contains,991000777729702656","Catalog Record")</f>
        <v/>
      </c>
      <c r="AT1213">
        <f>HYPERLINK("http://www.worldcat.org/oclc/133808","WorldCat Record")</f>
        <v/>
      </c>
      <c r="AU1213" t="inlineStr">
        <is>
          <t>1277126:eng</t>
        </is>
      </c>
      <c r="AV1213" t="inlineStr">
        <is>
          <t>133808</t>
        </is>
      </c>
      <c r="AW1213" t="inlineStr">
        <is>
          <t>991000777729702656</t>
        </is>
      </c>
      <c r="AX1213" t="inlineStr">
        <is>
          <t>991000777729702656</t>
        </is>
      </c>
      <c r="AY1213" t="inlineStr">
        <is>
          <t>2255755030002656</t>
        </is>
      </c>
      <c r="AZ1213" t="inlineStr">
        <is>
          <t>BOOK</t>
        </is>
      </c>
      <c r="BC1213" t="inlineStr">
        <is>
          <t>32285002422177</t>
        </is>
      </c>
      <c r="BD1213" t="inlineStr">
        <is>
          <t>893620783</t>
        </is>
      </c>
    </row>
    <row r="1214">
      <c r="A1214" t="inlineStr">
        <is>
          <t>No</t>
        </is>
      </c>
      <c r="B1214" t="inlineStr">
        <is>
          <t>DG552.8.C3 H42 1994</t>
        </is>
      </c>
      <c r="C1214" t="inlineStr">
        <is>
          <t>0                      DG 0552800C  3                  H  42          1994</t>
        </is>
      </c>
      <c r="D1214" t="inlineStr">
        <is>
          <t>Cavour / Harry Hearder.</t>
        </is>
      </c>
      <c r="F1214" t="inlineStr">
        <is>
          <t>No</t>
        </is>
      </c>
      <c r="G1214" t="inlineStr">
        <is>
          <t>1</t>
        </is>
      </c>
      <c r="H1214" t="inlineStr">
        <is>
          <t>No</t>
        </is>
      </c>
      <c r="I1214" t="inlineStr">
        <is>
          <t>No</t>
        </is>
      </c>
      <c r="J1214" t="inlineStr">
        <is>
          <t>0</t>
        </is>
      </c>
      <c r="K1214" t="inlineStr">
        <is>
          <t>Hearder, Harry.</t>
        </is>
      </c>
      <c r="L1214" t="inlineStr">
        <is>
          <t>London ; New York : Longman, 1994.</t>
        </is>
      </c>
      <c r="M1214" t="inlineStr">
        <is>
          <t>1994</t>
        </is>
      </c>
      <c r="O1214" t="inlineStr">
        <is>
          <t>eng</t>
        </is>
      </c>
      <c r="P1214" t="inlineStr">
        <is>
          <t>enk</t>
        </is>
      </c>
      <c r="Q1214" t="inlineStr">
        <is>
          <t>Profiles in power</t>
        </is>
      </c>
      <c r="R1214" t="inlineStr">
        <is>
          <t xml:space="preserve">DG </t>
        </is>
      </c>
      <c r="S1214" t="n">
        <v>2</v>
      </c>
      <c r="T1214" t="n">
        <v>2</v>
      </c>
      <c r="U1214" t="inlineStr">
        <is>
          <t>2003-07-23</t>
        </is>
      </c>
      <c r="V1214" t="inlineStr">
        <is>
          <t>2003-07-23</t>
        </is>
      </c>
      <c r="W1214" t="inlineStr">
        <is>
          <t>2003-06-17</t>
        </is>
      </c>
      <c r="X1214" t="inlineStr">
        <is>
          <t>2003-06-17</t>
        </is>
      </c>
      <c r="Y1214" t="n">
        <v>420</v>
      </c>
      <c r="Z1214" t="n">
        <v>308</v>
      </c>
      <c r="AA1214" t="n">
        <v>550</v>
      </c>
      <c r="AB1214" t="n">
        <v>2</v>
      </c>
      <c r="AC1214" t="n">
        <v>3</v>
      </c>
      <c r="AD1214" t="n">
        <v>21</v>
      </c>
      <c r="AE1214" t="n">
        <v>29</v>
      </c>
      <c r="AF1214" t="n">
        <v>8</v>
      </c>
      <c r="AG1214" t="n">
        <v>14</v>
      </c>
      <c r="AH1214" t="n">
        <v>5</v>
      </c>
      <c r="AI1214" t="n">
        <v>7</v>
      </c>
      <c r="AJ1214" t="n">
        <v>14</v>
      </c>
      <c r="AK1214" t="n">
        <v>15</v>
      </c>
      <c r="AL1214" t="n">
        <v>1</v>
      </c>
      <c r="AM1214" t="n">
        <v>2</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HYPERLINK("https://creighton-primo.hosted.exlibrisgroup.com/primo-explore/search?tab=default_tab&amp;search_scope=EVERYTHING&amp;vid=01CRU&amp;lang=en_US&amp;offset=0&amp;query=any,contains,991003987809702656","Catalog Record")</f>
        <v/>
      </c>
      <c r="AT1214">
        <f>HYPERLINK("http://www.worldcat.org/oclc/29183131","WorldCat Record")</f>
        <v/>
      </c>
      <c r="AU1214" t="inlineStr">
        <is>
          <t>3759311077:eng</t>
        </is>
      </c>
      <c r="AV1214" t="inlineStr">
        <is>
          <t>29183131</t>
        </is>
      </c>
      <c r="AW1214" t="inlineStr">
        <is>
          <t>991003987809702656</t>
        </is>
      </c>
      <c r="AX1214" t="inlineStr">
        <is>
          <t>991003987809702656</t>
        </is>
      </c>
      <c r="AY1214" t="inlineStr">
        <is>
          <t>2263943010002656</t>
        </is>
      </c>
      <c r="AZ1214" t="inlineStr">
        <is>
          <t>BOOK</t>
        </is>
      </c>
      <c r="BB1214" t="inlineStr">
        <is>
          <t>9780582018990</t>
        </is>
      </c>
      <c r="BC1214" t="inlineStr">
        <is>
          <t>32285004753470</t>
        </is>
      </c>
      <c r="BD1214" t="inlineStr">
        <is>
          <t>893506238</t>
        </is>
      </c>
    </row>
    <row r="1215">
      <c r="A1215" t="inlineStr">
        <is>
          <t>No</t>
        </is>
      </c>
      <c r="B1215" t="inlineStr">
        <is>
          <t>DG552.8.C3 M17 1985</t>
        </is>
      </c>
      <c r="C1215" t="inlineStr">
        <is>
          <t>0                      DG 0552800C  3                  M  17          1985</t>
        </is>
      </c>
      <c r="D1215" t="inlineStr">
        <is>
          <t>Cavour / by Denis Mack Smith.</t>
        </is>
      </c>
      <c r="F1215" t="inlineStr">
        <is>
          <t>No</t>
        </is>
      </c>
      <c r="G1215" t="inlineStr">
        <is>
          <t>1</t>
        </is>
      </c>
      <c r="H1215" t="inlineStr">
        <is>
          <t>No</t>
        </is>
      </c>
      <c r="I1215" t="inlineStr">
        <is>
          <t>No</t>
        </is>
      </c>
      <c r="J1215" t="inlineStr">
        <is>
          <t>0</t>
        </is>
      </c>
      <c r="K1215" t="inlineStr">
        <is>
          <t>Mack Smith, Denis, 1920-2017.</t>
        </is>
      </c>
      <c r="L1215" t="inlineStr">
        <is>
          <t>New York : Knopf, 1985.</t>
        </is>
      </c>
      <c r="M1215" t="inlineStr">
        <is>
          <t>1985</t>
        </is>
      </c>
      <c r="O1215" t="inlineStr">
        <is>
          <t>eng</t>
        </is>
      </c>
      <c r="P1215" t="inlineStr">
        <is>
          <t>nyu</t>
        </is>
      </c>
      <c r="R1215" t="inlineStr">
        <is>
          <t xml:space="preserve">DG </t>
        </is>
      </c>
      <c r="S1215" t="n">
        <v>2</v>
      </c>
      <c r="T1215" t="n">
        <v>2</v>
      </c>
      <c r="U1215" t="inlineStr">
        <is>
          <t>1993-06-03</t>
        </is>
      </c>
      <c r="V1215" t="inlineStr">
        <is>
          <t>1993-06-03</t>
        </is>
      </c>
      <c r="W1215" t="inlineStr">
        <is>
          <t>1991-04-15</t>
        </is>
      </c>
      <c r="X1215" t="inlineStr">
        <is>
          <t>1991-04-15</t>
        </is>
      </c>
      <c r="Y1215" t="n">
        <v>834</v>
      </c>
      <c r="Z1215" t="n">
        <v>771</v>
      </c>
      <c r="AA1215" t="n">
        <v>872</v>
      </c>
      <c r="AB1215" t="n">
        <v>1</v>
      </c>
      <c r="AC1215" t="n">
        <v>4</v>
      </c>
      <c r="AD1215" t="n">
        <v>31</v>
      </c>
      <c r="AE1215" t="n">
        <v>35</v>
      </c>
      <c r="AF1215" t="n">
        <v>15</v>
      </c>
      <c r="AG1215" t="n">
        <v>15</v>
      </c>
      <c r="AH1215" t="n">
        <v>10</v>
      </c>
      <c r="AI1215" t="n">
        <v>10</v>
      </c>
      <c r="AJ1215" t="n">
        <v>17</v>
      </c>
      <c r="AK1215" t="n">
        <v>18</v>
      </c>
      <c r="AL1215" t="n">
        <v>0</v>
      </c>
      <c r="AM1215" t="n">
        <v>3</v>
      </c>
      <c r="AN1215" t="n">
        <v>0</v>
      </c>
      <c r="AO1215" t="n">
        <v>0</v>
      </c>
      <c r="AP1215" t="inlineStr">
        <is>
          <t>No</t>
        </is>
      </c>
      <c r="AQ1215" t="inlineStr">
        <is>
          <t>Yes</t>
        </is>
      </c>
      <c r="AR1215">
        <f>HYPERLINK("http://catalog.hathitrust.org/Record/004407571","HathiTrust Record")</f>
        <v/>
      </c>
      <c r="AS1215">
        <f>HYPERLINK("https://creighton-primo.hosted.exlibrisgroup.com/primo-explore/search?tab=default_tab&amp;search_scope=EVERYTHING&amp;vid=01CRU&amp;lang=en_US&amp;offset=0&amp;query=any,contains,991000542049702656","Catalog Record")</f>
        <v/>
      </c>
      <c r="AT1215">
        <f>HYPERLINK("http://www.worldcat.org/oclc/11495979","WorldCat Record")</f>
        <v/>
      </c>
      <c r="AU1215" t="inlineStr">
        <is>
          <t>4232204:eng</t>
        </is>
      </c>
      <c r="AV1215" t="inlineStr">
        <is>
          <t>11495979</t>
        </is>
      </c>
      <c r="AW1215" t="inlineStr">
        <is>
          <t>991000542049702656</t>
        </is>
      </c>
      <c r="AX1215" t="inlineStr">
        <is>
          <t>991000542049702656</t>
        </is>
      </c>
      <c r="AY1215" t="inlineStr">
        <is>
          <t>2263841830002656</t>
        </is>
      </c>
      <c r="AZ1215" t="inlineStr">
        <is>
          <t>BOOK</t>
        </is>
      </c>
      <c r="BB1215" t="inlineStr">
        <is>
          <t>9780394538853</t>
        </is>
      </c>
      <c r="BC1215" t="inlineStr">
        <is>
          <t>32285000522119</t>
        </is>
      </c>
      <c r="BD1215" t="inlineStr">
        <is>
          <t>893225084</t>
        </is>
      </c>
    </row>
    <row r="1216">
      <c r="A1216" t="inlineStr">
        <is>
          <t>No</t>
        </is>
      </c>
      <c r="B1216" t="inlineStr">
        <is>
          <t>DG552.8.C3 M5</t>
        </is>
      </c>
      <c r="C1216" t="inlineStr">
        <is>
          <t>0                      DG 0552800C  3                  M  5</t>
        </is>
      </c>
      <c r="D1216" t="inlineStr">
        <is>
          <t>The life of Count Cavour, from the French of M. Charles de Mazade.</t>
        </is>
      </c>
      <c r="F1216" t="inlineStr">
        <is>
          <t>No</t>
        </is>
      </c>
      <c r="G1216" t="inlineStr">
        <is>
          <t>1</t>
        </is>
      </c>
      <c r="H1216" t="inlineStr">
        <is>
          <t>No</t>
        </is>
      </c>
      <c r="I1216" t="inlineStr">
        <is>
          <t>No</t>
        </is>
      </c>
      <c r="J1216" t="inlineStr">
        <is>
          <t>0</t>
        </is>
      </c>
      <c r="K1216" t="inlineStr">
        <is>
          <t>Mazade, Charles de, 1820-1893.</t>
        </is>
      </c>
      <c r="L1216" t="inlineStr">
        <is>
          <t>London, Chapman &amp; Hall, 1877.</t>
        </is>
      </c>
      <c r="M1216" t="inlineStr">
        <is>
          <t>1877</t>
        </is>
      </c>
      <c r="O1216" t="inlineStr">
        <is>
          <t>eng</t>
        </is>
      </c>
      <c r="P1216" t="inlineStr">
        <is>
          <t xml:space="preserve">xx </t>
        </is>
      </c>
      <c r="R1216" t="inlineStr">
        <is>
          <t xml:space="preserve">DG </t>
        </is>
      </c>
      <c r="S1216" t="n">
        <v>1</v>
      </c>
      <c r="T1216" t="n">
        <v>1</v>
      </c>
      <c r="U1216" t="inlineStr">
        <is>
          <t>1992-05-04</t>
        </is>
      </c>
      <c r="V1216" t="inlineStr">
        <is>
          <t>1992-05-04</t>
        </is>
      </c>
      <c r="W1216" t="inlineStr">
        <is>
          <t>1992-04-22</t>
        </is>
      </c>
      <c r="X1216" t="inlineStr">
        <is>
          <t>1992-04-22</t>
        </is>
      </c>
      <c r="Y1216" t="n">
        <v>54</v>
      </c>
      <c r="Z1216" t="n">
        <v>34</v>
      </c>
      <c r="AA1216" t="n">
        <v>80</v>
      </c>
      <c r="AB1216" t="n">
        <v>2</v>
      </c>
      <c r="AC1216" t="n">
        <v>2</v>
      </c>
      <c r="AD1216" t="n">
        <v>2</v>
      </c>
      <c r="AE1216" t="n">
        <v>3</v>
      </c>
      <c r="AF1216" t="n">
        <v>0</v>
      </c>
      <c r="AG1216" t="n">
        <v>0</v>
      </c>
      <c r="AH1216" t="n">
        <v>0</v>
      </c>
      <c r="AI1216" t="n">
        <v>1</v>
      </c>
      <c r="AJ1216" t="n">
        <v>1</v>
      </c>
      <c r="AK1216" t="n">
        <v>1</v>
      </c>
      <c r="AL1216" t="n">
        <v>1</v>
      </c>
      <c r="AM1216" t="n">
        <v>1</v>
      </c>
      <c r="AN1216" t="n">
        <v>0</v>
      </c>
      <c r="AO1216" t="n">
        <v>0</v>
      </c>
      <c r="AP1216" t="inlineStr">
        <is>
          <t>Yes</t>
        </is>
      </c>
      <c r="AQ1216" t="inlineStr">
        <is>
          <t>No</t>
        </is>
      </c>
      <c r="AR1216">
        <f>HYPERLINK("http://catalog.hathitrust.org/Record/000354043","HathiTrust Record")</f>
        <v/>
      </c>
      <c r="AS1216">
        <f>HYPERLINK("https://creighton-primo.hosted.exlibrisgroup.com/primo-explore/search?tab=default_tab&amp;search_scope=EVERYTHING&amp;vid=01CRU&amp;lang=en_US&amp;offset=0&amp;query=any,contains,991004491409702656","Catalog Record")</f>
        <v/>
      </c>
      <c r="AT1216">
        <f>HYPERLINK("http://www.worldcat.org/oclc/3663355","WorldCat Record")</f>
        <v/>
      </c>
      <c r="AU1216" t="inlineStr">
        <is>
          <t>496458253:eng</t>
        </is>
      </c>
      <c r="AV1216" t="inlineStr">
        <is>
          <t>3663355</t>
        </is>
      </c>
      <c r="AW1216" t="inlineStr">
        <is>
          <t>991004491409702656</t>
        </is>
      </c>
      <c r="AX1216" t="inlineStr">
        <is>
          <t>991004491409702656</t>
        </is>
      </c>
      <c r="AY1216" t="inlineStr">
        <is>
          <t>2261773940002656</t>
        </is>
      </c>
      <c r="AZ1216" t="inlineStr">
        <is>
          <t>BOOK</t>
        </is>
      </c>
      <c r="BC1216" t="inlineStr">
        <is>
          <t>32285001054021</t>
        </is>
      </c>
      <c r="BD1216" t="inlineStr">
        <is>
          <t>893500637</t>
        </is>
      </c>
    </row>
    <row r="1217">
      <c r="A1217" t="inlineStr">
        <is>
          <t>No</t>
        </is>
      </c>
      <c r="B1217" t="inlineStr">
        <is>
          <t>DG552.8.C3 W52 1975</t>
        </is>
      </c>
      <c r="C1217" t="inlineStr">
        <is>
          <t>0                      DG 0552800C  3                  W  52          1975</t>
        </is>
      </c>
      <c r="D1217" t="inlineStr">
        <is>
          <t>The political life and letters of Cavour, 1848-1861 / by A. J. Whyte.</t>
        </is>
      </c>
      <c r="F1217" t="inlineStr">
        <is>
          <t>No</t>
        </is>
      </c>
      <c r="G1217" t="inlineStr">
        <is>
          <t>1</t>
        </is>
      </c>
      <c r="H1217" t="inlineStr">
        <is>
          <t>No</t>
        </is>
      </c>
      <c r="I1217" t="inlineStr">
        <is>
          <t>No</t>
        </is>
      </c>
      <c r="J1217" t="inlineStr">
        <is>
          <t>0</t>
        </is>
      </c>
      <c r="K1217" t="inlineStr">
        <is>
          <t>Whyte, A. J. (Arthur James Beresford)</t>
        </is>
      </c>
      <c r="L1217" t="inlineStr">
        <is>
          <t>Westport, Conn. : Greenwood Press, 1975.</t>
        </is>
      </c>
      <c r="M1217" t="inlineStr">
        <is>
          <t>1975</t>
        </is>
      </c>
      <c r="O1217" t="inlineStr">
        <is>
          <t>eng</t>
        </is>
      </c>
      <c r="P1217" t="inlineStr">
        <is>
          <t>ctu</t>
        </is>
      </c>
      <c r="R1217" t="inlineStr">
        <is>
          <t xml:space="preserve">DG </t>
        </is>
      </c>
      <c r="S1217" t="n">
        <v>3</v>
      </c>
      <c r="T1217" t="n">
        <v>3</v>
      </c>
      <c r="U1217" t="inlineStr">
        <is>
          <t>2009-04-15</t>
        </is>
      </c>
      <c r="V1217" t="inlineStr">
        <is>
          <t>2009-04-15</t>
        </is>
      </c>
      <c r="W1217" t="inlineStr">
        <is>
          <t>1992-04-22</t>
        </is>
      </c>
      <c r="X1217" t="inlineStr">
        <is>
          <t>1992-04-22</t>
        </is>
      </c>
      <c r="Y1217" t="n">
        <v>107</v>
      </c>
      <c r="Z1217" t="n">
        <v>101</v>
      </c>
      <c r="AA1217" t="n">
        <v>352</v>
      </c>
      <c r="AB1217" t="n">
        <v>1</v>
      </c>
      <c r="AC1217" t="n">
        <v>3</v>
      </c>
      <c r="AD1217" t="n">
        <v>7</v>
      </c>
      <c r="AE1217" t="n">
        <v>21</v>
      </c>
      <c r="AF1217" t="n">
        <v>2</v>
      </c>
      <c r="AG1217" t="n">
        <v>6</v>
      </c>
      <c r="AH1217" t="n">
        <v>2</v>
      </c>
      <c r="AI1217" t="n">
        <v>5</v>
      </c>
      <c r="AJ1217" t="n">
        <v>5</v>
      </c>
      <c r="AK1217" t="n">
        <v>11</v>
      </c>
      <c r="AL1217" t="n">
        <v>0</v>
      </c>
      <c r="AM1217" t="n">
        <v>2</v>
      </c>
      <c r="AN1217" t="n">
        <v>0</v>
      </c>
      <c r="AO1217" t="n">
        <v>0</v>
      </c>
      <c r="AP1217" t="inlineStr">
        <is>
          <t>No</t>
        </is>
      </c>
      <c r="AQ1217" t="inlineStr">
        <is>
          <t>Yes</t>
        </is>
      </c>
      <c r="AR1217">
        <f>HYPERLINK("http://catalog.hathitrust.org/Record/004407579","HathiTrust Record")</f>
        <v/>
      </c>
      <c r="AS1217">
        <f>HYPERLINK("https://creighton-primo.hosted.exlibrisgroup.com/primo-explore/search?tab=default_tab&amp;search_scope=EVERYTHING&amp;vid=01CRU&amp;lang=en_US&amp;offset=0&amp;query=any,contains,991003597739702656","Catalog Record")</f>
        <v/>
      </c>
      <c r="AT1217">
        <f>HYPERLINK("http://www.worldcat.org/oclc/1175995","WorldCat Record")</f>
        <v/>
      </c>
      <c r="AU1217" t="inlineStr">
        <is>
          <t>2121657:eng</t>
        </is>
      </c>
      <c r="AV1217" t="inlineStr">
        <is>
          <t>1175995</t>
        </is>
      </c>
      <c r="AW1217" t="inlineStr">
        <is>
          <t>991003597739702656</t>
        </is>
      </c>
      <c r="AX1217" t="inlineStr">
        <is>
          <t>991003597739702656</t>
        </is>
      </c>
      <c r="AY1217" t="inlineStr">
        <is>
          <t>2271931230002656</t>
        </is>
      </c>
      <c r="AZ1217" t="inlineStr">
        <is>
          <t>BOOK</t>
        </is>
      </c>
      <c r="BB1217" t="inlineStr">
        <is>
          <t>9780837179391</t>
        </is>
      </c>
      <c r="BC1217" t="inlineStr">
        <is>
          <t>32285001054039</t>
        </is>
      </c>
      <c r="BD1217" t="inlineStr">
        <is>
          <t>893692880</t>
        </is>
      </c>
    </row>
    <row r="1218">
      <c r="A1218" t="inlineStr">
        <is>
          <t>No</t>
        </is>
      </c>
      <c r="B1218" t="inlineStr">
        <is>
          <t>DG552.8.G18 V35 2001</t>
        </is>
      </c>
      <c r="C1218" t="inlineStr">
        <is>
          <t>0                      DG 0552800G  18                 V  35          2001</t>
        </is>
      </c>
      <c r="D1218" t="inlineStr">
        <is>
          <t>Anita Garibaldi : a biography / Anthony Valerio ; foreword by Philip V. Cannistraro.</t>
        </is>
      </c>
      <c r="F1218" t="inlineStr">
        <is>
          <t>No</t>
        </is>
      </c>
      <c r="G1218" t="inlineStr">
        <is>
          <t>1</t>
        </is>
      </c>
      <c r="H1218" t="inlineStr">
        <is>
          <t>No</t>
        </is>
      </c>
      <c r="I1218" t="inlineStr">
        <is>
          <t>No</t>
        </is>
      </c>
      <c r="J1218" t="inlineStr">
        <is>
          <t>0</t>
        </is>
      </c>
      <c r="K1218" t="inlineStr">
        <is>
          <t>Valerio, Anthony, 1940-</t>
        </is>
      </c>
      <c r="L1218" t="inlineStr">
        <is>
          <t>Westport, Conn. : Praeger, c2001.</t>
        </is>
      </c>
      <c r="M1218" t="inlineStr">
        <is>
          <t>2001</t>
        </is>
      </c>
      <c r="O1218" t="inlineStr">
        <is>
          <t>eng</t>
        </is>
      </c>
      <c r="P1218" t="inlineStr">
        <is>
          <t>ctu</t>
        </is>
      </c>
      <c r="Q1218" t="inlineStr">
        <is>
          <t>Italian and Italian American studies, 1530-7263</t>
        </is>
      </c>
      <c r="R1218" t="inlineStr">
        <is>
          <t xml:space="preserve">DG </t>
        </is>
      </c>
      <c r="S1218" t="n">
        <v>1</v>
      </c>
      <c r="T1218" t="n">
        <v>1</v>
      </c>
      <c r="U1218" t="inlineStr">
        <is>
          <t>2001-08-21</t>
        </is>
      </c>
      <c r="V1218" t="inlineStr">
        <is>
          <t>2001-08-21</t>
        </is>
      </c>
      <c r="W1218" t="inlineStr">
        <is>
          <t>2001-08-21</t>
        </is>
      </c>
      <c r="X1218" t="inlineStr">
        <is>
          <t>2001-08-21</t>
        </is>
      </c>
      <c r="Y1218" t="n">
        <v>228</v>
      </c>
      <c r="Z1218" t="n">
        <v>196</v>
      </c>
      <c r="AA1218" t="n">
        <v>198</v>
      </c>
      <c r="AB1218" t="n">
        <v>2</v>
      </c>
      <c r="AC1218" t="n">
        <v>2</v>
      </c>
      <c r="AD1218" t="n">
        <v>11</v>
      </c>
      <c r="AE1218" t="n">
        <v>11</v>
      </c>
      <c r="AF1218" t="n">
        <v>3</v>
      </c>
      <c r="AG1218" t="n">
        <v>3</v>
      </c>
      <c r="AH1218" t="n">
        <v>5</v>
      </c>
      <c r="AI1218" t="n">
        <v>5</v>
      </c>
      <c r="AJ1218" t="n">
        <v>6</v>
      </c>
      <c r="AK1218" t="n">
        <v>6</v>
      </c>
      <c r="AL1218" t="n">
        <v>1</v>
      </c>
      <c r="AM1218" t="n">
        <v>1</v>
      </c>
      <c r="AN1218" t="n">
        <v>0</v>
      </c>
      <c r="AO1218" t="n">
        <v>0</v>
      </c>
      <c r="AP1218" t="inlineStr">
        <is>
          <t>No</t>
        </is>
      </c>
      <c r="AQ1218" t="inlineStr">
        <is>
          <t>Yes</t>
        </is>
      </c>
      <c r="AR1218">
        <f>HYPERLINK("http://catalog.hathitrust.org/Record/004141951","HathiTrust Record")</f>
        <v/>
      </c>
      <c r="AS1218">
        <f>HYPERLINK("https://creighton-primo.hosted.exlibrisgroup.com/primo-explore/search?tab=default_tab&amp;search_scope=EVERYTHING&amp;vid=01CRU&amp;lang=en_US&amp;offset=0&amp;query=any,contains,991003581609702656","Catalog Record")</f>
        <v/>
      </c>
      <c r="AT1218">
        <f>HYPERLINK("http://www.worldcat.org/oclc/44173045","WorldCat Record")</f>
        <v/>
      </c>
      <c r="AU1218" t="inlineStr">
        <is>
          <t>287426511:eng</t>
        </is>
      </c>
      <c r="AV1218" t="inlineStr">
        <is>
          <t>44173045</t>
        </is>
      </c>
      <c r="AW1218" t="inlineStr">
        <is>
          <t>991003581609702656</t>
        </is>
      </c>
      <c r="AX1218" t="inlineStr">
        <is>
          <t>991003581609702656</t>
        </is>
      </c>
      <c r="AY1218" t="inlineStr">
        <is>
          <t>2256735510002656</t>
        </is>
      </c>
      <c r="AZ1218" t="inlineStr">
        <is>
          <t>BOOK</t>
        </is>
      </c>
      <c r="BB1218" t="inlineStr">
        <is>
          <t>9780275969370</t>
        </is>
      </c>
      <c r="BC1218" t="inlineStr">
        <is>
          <t>32285004378690</t>
        </is>
      </c>
      <c r="BD1218" t="inlineStr">
        <is>
          <t>893711509</t>
        </is>
      </c>
    </row>
    <row r="1219">
      <c r="A1219" t="inlineStr">
        <is>
          <t>No</t>
        </is>
      </c>
      <c r="B1219" t="inlineStr">
        <is>
          <t>DG552.8.G2 A2 1971</t>
        </is>
      </c>
      <c r="C1219" t="inlineStr">
        <is>
          <t>0                      DG 0552800G  2                  A  2           1971</t>
        </is>
      </c>
      <c r="D1219" t="inlineStr">
        <is>
          <t>Autobiography of Giuseppe Garibaldi. Translated by A. Werner. With an introd. by A. William Salomone. Supplement by Jessie White Mario.</t>
        </is>
      </c>
      <c r="F1219" t="inlineStr">
        <is>
          <t>Yes</t>
        </is>
      </c>
      <c r="G1219" t="inlineStr">
        <is>
          <t>1</t>
        </is>
      </c>
      <c r="H1219" t="inlineStr">
        <is>
          <t>Yes</t>
        </is>
      </c>
      <c r="I1219" t="inlineStr">
        <is>
          <t>No</t>
        </is>
      </c>
      <c r="J1219" t="inlineStr">
        <is>
          <t>0</t>
        </is>
      </c>
      <c r="K1219" t="inlineStr">
        <is>
          <t>Garibaldi, Giuseppe, 1807-1882.</t>
        </is>
      </c>
      <c r="L1219" t="inlineStr">
        <is>
          <t>New York, H. Fertig, 1971.</t>
        </is>
      </c>
      <c r="M1219" t="inlineStr">
        <is>
          <t>1971</t>
        </is>
      </c>
      <c r="O1219" t="inlineStr">
        <is>
          <t>eng</t>
        </is>
      </c>
      <c r="P1219" t="inlineStr">
        <is>
          <t>nyu</t>
        </is>
      </c>
      <c r="R1219" t="inlineStr">
        <is>
          <t xml:space="preserve">DG </t>
        </is>
      </c>
      <c r="S1219" t="n">
        <v>0</v>
      </c>
      <c r="T1219" t="n">
        <v>3</v>
      </c>
      <c r="V1219" t="inlineStr">
        <is>
          <t>2009-04-15</t>
        </is>
      </c>
      <c r="W1219" t="inlineStr">
        <is>
          <t>1997-02-05</t>
        </is>
      </c>
      <c r="X1219" t="inlineStr">
        <is>
          <t>1997-02-05</t>
        </is>
      </c>
      <c r="Y1219" t="n">
        <v>304</v>
      </c>
      <c r="Z1219" t="n">
        <v>271</v>
      </c>
      <c r="AA1219" t="n">
        <v>362</v>
      </c>
      <c r="AB1219" t="n">
        <v>3</v>
      </c>
      <c r="AC1219" t="n">
        <v>4</v>
      </c>
      <c r="AD1219" t="n">
        <v>19</v>
      </c>
      <c r="AE1219" t="n">
        <v>21</v>
      </c>
      <c r="AF1219" t="n">
        <v>5</v>
      </c>
      <c r="AG1219" t="n">
        <v>5</v>
      </c>
      <c r="AH1219" t="n">
        <v>7</v>
      </c>
      <c r="AI1219" t="n">
        <v>7</v>
      </c>
      <c r="AJ1219" t="n">
        <v>12</v>
      </c>
      <c r="AK1219" t="n">
        <v>13</v>
      </c>
      <c r="AL1219" t="n">
        <v>2</v>
      </c>
      <c r="AM1219" t="n">
        <v>3</v>
      </c>
      <c r="AN1219" t="n">
        <v>0</v>
      </c>
      <c r="AO1219" t="n">
        <v>0</v>
      </c>
      <c r="AP1219" t="inlineStr">
        <is>
          <t>No</t>
        </is>
      </c>
      <c r="AQ1219" t="inlineStr">
        <is>
          <t>Yes</t>
        </is>
      </c>
      <c r="AR1219">
        <f>HYPERLINK("http://catalog.hathitrust.org/Record/007972294","HathiTrust Record")</f>
        <v/>
      </c>
      <c r="AS1219">
        <f>HYPERLINK("https://creighton-primo.hosted.exlibrisgroup.com/primo-explore/search?tab=default_tab&amp;search_scope=EVERYTHING&amp;vid=01CRU&amp;lang=en_US&amp;offset=0&amp;query=any,contains,991000777729702656","Catalog Record")</f>
        <v/>
      </c>
      <c r="AT1219">
        <f>HYPERLINK("http://www.worldcat.org/oclc/133808","WorldCat Record")</f>
        <v/>
      </c>
      <c r="AU1219" t="inlineStr">
        <is>
          <t>1277126:eng</t>
        </is>
      </c>
      <c r="AV1219" t="inlineStr">
        <is>
          <t>133808</t>
        </is>
      </c>
      <c r="AW1219" t="inlineStr">
        <is>
          <t>991000777729702656</t>
        </is>
      </c>
      <c r="AX1219" t="inlineStr">
        <is>
          <t>991000777729702656</t>
        </is>
      </c>
      <c r="AY1219" t="inlineStr">
        <is>
          <t>2255755030002656</t>
        </is>
      </c>
      <c r="AZ1219" t="inlineStr">
        <is>
          <t>BOOK</t>
        </is>
      </c>
      <c r="BC1219" t="inlineStr">
        <is>
          <t>32285002422151</t>
        </is>
      </c>
      <c r="BD1219" t="inlineStr">
        <is>
          <t>893602060</t>
        </is>
      </c>
    </row>
    <row r="1220">
      <c r="A1220" t="inlineStr">
        <is>
          <t>No</t>
        </is>
      </c>
      <c r="B1220" t="inlineStr">
        <is>
          <t>DG552.8.G2 H5</t>
        </is>
      </c>
      <c r="C1220" t="inlineStr">
        <is>
          <t>0                      DG 0552800G  2                  H  5</t>
        </is>
      </c>
      <c r="D1220" t="inlineStr">
        <is>
          <t>Garibaldi and his enemies: the clash of arms and personalities in the making of Italy.</t>
        </is>
      </c>
      <c r="F1220" t="inlineStr">
        <is>
          <t>No</t>
        </is>
      </c>
      <c r="G1220" t="inlineStr">
        <is>
          <t>1</t>
        </is>
      </c>
      <c r="H1220" t="inlineStr">
        <is>
          <t>No</t>
        </is>
      </c>
      <c r="I1220" t="inlineStr">
        <is>
          <t>No</t>
        </is>
      </c>
      <c r="J1220" t="inlineStr">
        <is>
          <t>0</t>
        </is>
      </c>
      <c r="K1220" t="inlineStr">
        <is>
          <t>Hibbert, Christopher, 1924-2008.</t>
        </is>
      </c>
      <c r="L1220" t="inlineStr">
        <is>
          <t>Boston, Little, Brown [1966]</t>
        </is>
      </c>
      <c r="M1220" t="inlineStr">
        <is>
          <t>1966</t>
        </is>
      </c>
      <c r="N1220" t="inlineStr">
        <is>
          <t>[1st American ed.]</t>
        </is>
      </c>
      <c r="O1220" t="inlineStr">
        <is>
          <t>eng</t>
        </is>
      </c>
      <c r="P1220" t="inlineStr">
        <is>
          <t>mau</t>
        </is>
      </c>
      <c r="R1220" t="inlineStr">
        <is>
          <t xml:space="preserve">DG </t>
        </is>
      </c>
      <c r="S1220" t="n">
        <v>2</v>
      </c>
      <c r="T1220" t="n">
        <v>2</v>
      </c>
      <c r="U1220" t="inlineStr">
        <is>
          <t>2009-03-20</t>
        </is>
      </c>
      <c r="V1220" t="inlineStr">
        <is>
          <t>2009-03-20</t>
        </is>
      </c>
      <c r="W1220" t="inlineStr">
        <is>
          <t>1997-02-05</t>
        </is>
      </c>
      <c r="X1220" t="inlineStr">
        <is>
          <t>1997-02-05</t>
        </is>
      </c>
      <c r="Y1220" t="n">
        <v>1000</v>
      </c>
      <c r="Z1220" t="n">
        <v>958</v>
      </c>
      <c r="AA1220" t="n">
        <v>1122</v>
      </c>
      <c r="AB1220" t="n">
        <v>9</v>
      </c>
      <c r="AC1220" t="n">
        <v>11</v>
      </c>
      <c r="AD1220" t="n">
        <v>46</v>
      </c>
      <c r="AE1220" t="n">
        <v>51</v>
      </c>
      <c r="AF1220" t="n">
        <v>19</v>
      </c>
      <c r="AG1220" t="n">
        <v>20</v>
      </c>
      <c r="AH1220" t="n">
        <v>10</v>
      </c>
      <c r="AI1220" t="n">
        <v>10</v>
      </c>
      <c r="AJ1220" t="n">
        <v>21</v>
      </c>
      <c r="AK1220" t="n">
        <v>23</v>
      </c>
      <c r="AL1220" t="n">
        <v>6</v>
      </c>
      <c r="AM1220" t="n">
        <v>8</v>
      </c>
      <c r="AN1220" t="n">
        <v>0</v>
      </c>
      <c r="AO1220" t="n">
        <v>0</v>
      </c>
      <c r="AP1220" t="inlineStr">
        <is>
          <t>No</t>
        </is>
      </c>
      <c r="AQ1220" t="inlineStr">
        <is>
          <t>Yes</t>
        </is>
      </c>
      <c r="AR1220">
        <f>HYPERLINK("http://catalog.hathitrust.org/Record/000353513","HathiTrust Record")</f>
        <v/>
      </c>
      <c r="AS1220">
        <f>HYPERLINK("https://creighton-primo.hosted.exlibrisgroup.com/primo-explore/search?tab=default_tab&amp;search_scope=EVERYTHING&amp;vid=01CRU&amp;lang=en_US&amp;offset=0&amp;query=any,contains,991003173339702656","Catalog Record")</f>
        <v/>
      </c>
      <c r="AT1220">
        <f>HYPERLINK("http://www.worldcat.org/oclc/708786","WorldCat Record")</f>
        <v/>
      </c>
      <c r="AU1220" t="inlineStr">
        <is>
          <t>173577303:eng</t>
        </is>
      </c>
      <c r="AV1220" t="inlineStr">
        <is>
          <t>708786</t>
        </is>
      </c>
      <c r="AW1220" t="inlineStr">
        <is>
          <t>991003173339702656</t>
        </is>
      </c>
      <c r="AX1220" t="inlineStr">
        <is>
          <t>991003173339702656</t>
        </is>
      </c>
      <c r="AY1220" t="inlineStr">
        <is>
          <t>2269325750002656</t>
        </is>
      </c>
      <c r="AZ1220" t="inlineStr">
        <is>
          <t>BOOK</t>
        </is>
      </c>
      <c r="BC1220" t="inlineStr">
        <is>
          <t>32285002423217</t>
        </is>
      </c>
      <c r="BD1220" t="inlineStr">
        <is>
          <t>893416114</t>
        </is>
      </c>
    </row>
    <row r="1221">
      <c r="A1221" t="inlineStr">
        <is>
          <t>No</t>
        </is>
      </c>
      <c r="B1221" t="inlineStr">
        <is>
          <t>DG552.8.G2 P25 1984</t>
        </is>
      </c>
      <c r="C1221" t="inlineStr">
        <is>
          <t>0                      DG 0552800G  2                  P  25          1984</t>
        </is>
      </c>
      <c r="D1221" t="inlineStr">
        <is>
          <t>Pages from the Garibaldian epic / edited by Anthony P. Campanella.</t>
        </is>
      </c>
      <c r="F1221" t="inlineStr">
        <is>
          <t>No</t>
        </is>
      </c>
      <c r="G1221" t="inlineStr">
        <is>
          <t>1</t>
        </is>
      </c>
      <c r="H1221" t="inlineStr">
        <is>
          <t>No</t>
        </is>
      </c>
      <c r="I1221" t="inlineStr">
        <is>
          <t>No</t>
        </is>
      </c>
      <c r="J1221" t="inlineStr">
        <is>
          <t>0</t>
        </is>
      </c>
      <c r="L1221" t="inlineStr">
        <is>
          <t>Sarasota, Fla., U.S.A. : International Institute of Garibaldian Studies, 1984.</t>
        </is>
      </c>
      <c r="M1221" t="inlineStr">
        <is>
          <t>1984</t>
        </is>
      </c>
      <c r="O1221" t="inlineStr">
        <is>
          <t>eng</t>
        </is>
      </c>
      <c r="P1221" t="inlineStr">
        <is>
          <t>flu</t>
        </is>
      </c>
      <c r="R1221" t="inlineStr">
        <is>
          <t xml:space="preserve">DG </t>
        </is>
      </c>
      <c r="S1221" t="n">
        <v>2</v>
      </c>
      <c r="T1221" t="n">
        <v>2</v>
      </c>
      <c r="U1221" t="inlineStr">
        <is>
          <t>1996-07-03</t>
        </is>
      </c>
      <c r="V1221" t="inlineStr">
        <is>
          <t>1996-07-03</t>
        </is>
      </c>
      <c r="W1221" t="inlineStr">
        <is>
          <t>1996-05-31</t>
        </is>
      </c>
      <c r="X1221" t="inlineStr">
        <is>
          <t>1996-05-31</t>
        </is>
      </c>
      <c r="Y1221" t="n">
        <v>144</v>
      </c>
      <c r="Z1221" t="n">
        <v>128</v>
      </c>
      <c r="AA1221" t="n">
        <v>130</v>
      </c>
      <c r="AB1221" t="n">
        <v>2</v>
      </c>
      <c r="AC1221" t="n">
        <v>2</v>
      </c>
      <c r="AD1221" t="n">
        <v>3</v>
      </c>
      <c r="AE1221" t="n">
        <v>3</v>
      </c>
      <c r="AF1221" t="n">
        <v>0</v>
      </c>
      <c r="AG1221" t="n">
        <v>0</v>
      </c>
      <c r="AH1221" t="n">
        <v>2</v>
      </c>
      <c r="AI1221" t="n">
        <v>2</v>
      </c>
      <c r="AJ1221" t="n">
        <v>1</v>
      </c>
      <c r="AK1221" t="n">
        <v>1</v>
      </c>
      <c r="AL1221" t="n">
        <v>1</v>
      </c>
      <c r="AM1221" t="n">
        <v>1</v>
      </c>
      <c r="AN1221" t="n">
        <v>0</v>
      </c>
      <c r="AO1221" t="n">
        <v>0</v>
      </c>
      <c r="AP1221" t="inlineStr">
        <is>
          <t>No</t>
        </is>
      </c>
      <c r="AQ1221" t="inlineStr">
        <is>
          <t>Yes</t>
        </is>
      </c>
      <c r="AR1221">
        <f>HYPERLINK("http://catalog.hathitrust.org/Record/003066536","HathiTrust Record")</f>
        <v/>
      </c>
      <c r="AS1221">
        <f>HYPERLINK("https://creighton-primo.hosted.exlibrisgroup.com/primo-explore/search?tab=default_tab&amp;search_scope=EVERYTHING&amp;vid=01CRU&amp;lang=en_US&amp;offset=0&amp;query=any,contains,991000728069702656","Catalog Record")</f>
        <v/>
      </c>
      <c r="AT1221">
        <f>HYPERLINK("http://www.worldcat.org/oclc/12716446","WorldCat Record")</f>
        <v/>
      </c>
      <c r="AU1221" t="inlineStr">
        <is>
          <t>5456155:eng</t>
        </is>
      </c>
      <c r="AV1221" t="inlineStr">
        <is>
          <t>12716446</t>
        </is>
      </c>
      <c r="AW1221" t="inlineStr">
        <is>
          <t>991000728069702656</t>
        </is>
      </c>
      <c r="AX1221" t="inlineStr">
        <is>
          <t>991000728069702656</t>
        </is>
      </c>
      <c r="AY1221" t="inlineStr">
        <is>
          <t>2264804160002656</t>
        </is>
      </c>
      <c r="AZ1221" t="inlineStr">
        <is>
          <t>BOOK</t>
        </is>
      </c>
      <c r="BB1221" t="inlineStr">
        <is>
          <t>9789290130048</t>
        </is>
      </c>
      <c r="BC1221" t="inlineStr">
        <is>
          <t>32285002186103</t>
        </is>
      </c>
      <c r="BD1221" t="inlineStr">
        <is>
          <t>893708651</t>
        </is>
      </c>
    </row>
    <row r="1222">
      <c r="A1222" t="inlineStr">
        <is>
          <t>No</t>
        </is>
      </c>
      <c r="B1222" t="inlineStr">
        <is>
          <t>DG554 .M3 1968</t>
        </is>
      </c>
      <c r="C1222" t="inlineStr">
        <is>
          <t>0                      DG 0554000M  3           1968</t>
        </is>
      </c>
      <c r="D1222" t="inlineStr">
        <is>
          <t>Cavour and Garibaldi, 1860 : a study in political conflict.</t>
        </is>
      </c>
      <c r="F1222" t="inlineStr">
        <is>
          <t>No</t>
        </is>
      </c>
      <c r="G1222" t="inlineStr">
        <is>
          <t>1</t>
        </is>
      </c>
      <c r="H1222" t="inlineStr">
        <is>
          <t>No</t>
        </is>
      </c>
      <c r="I1222" t="inlineStr">
        <is>
          <t>No</t>
        </is>
      </c>
      <c r="J1222" t="inlineStr">
        <is>
          <t>0</t>
        </is>
      </c>
      <c r="K1222" t="inlineStr">
        <is>
          <t>Mack Smith, Denis, 1920-2017.</t>
        </is>
      </c>
      <c r="L1222" t="inlineStr">
        <is>
          <t>New York : Kraus Reprint, 1968.</t>
        </is>
      </c>
      <c r="M1222" t="inlineStr">
        <is>
          <t>1968</t>
        </is>
      </c>
      <c r="O1222" t="inlineStr">
        <is>
          <t>eng</t>
        </is>
      </c>
      <c r="P1222" t="inlineStr">
        <is>
          <t>nyu</t>
        </is>
      </c>
      <c r="R1222" t="inlineStr">
        <is>
          <t xml:space="preserve">DG </t>
        </is>
      </c>
      <c r="S1222" t="n">
        <v>3</v>
      </c>
      <c r="T1222" t="n">
        <v>3</v>
      </c>
      <c r="U1222" t="inlineStr">
        <is>
          <t>2009-04-15</t>
        </is>
      </c>
      <c r="V1222" t="inlineStr">
        <is>
          <t>2009-04-15</t>
        </is>
      </c>
      <c r="W1222" t="inlineStr">
        <is>
          <t>1992-04-01</t>
        </is>
      </c>
      <c r="X1222" t="inlineStr">
        <is>
          <t>1992-04-01</t>
        </is>
      </c>
      <c r="Y1222" t="n">
        <v>222</v>
      </c>
      <c r="Z1222" t="n">
        <v>206</v>
      </c>
      <c r="AA1222" t="n">
        <v>767</v>
      </c>
      <c r="AB1222" t="n">
        <v>4</v>
      </c>
      <c r="AC1222" t="n">
        <v>7</v>
      </c>
      <c r="AD1222" t="n">
        <v>9</v>
      </c>
      <c r="AE1222" t="n">
        <v>42</v>
      </c>
      <c r="AF1222" t="n">
        <v>3</v>
      </c>
      <c r="AG1222" t="n">
        <v>17</v>
      </c>
      <c r="AH1222" t="n">
        <v>1</v>
      </c>
      <c r="AI1222" t="n">
        <v>10</v>
      </c>
      <c r="AJ1222" t="n">
        <v>3</v>
      </c>
      <c r="AK1222" t="n">
        <v>20</v>
      </c>
      <c r="AL1222" t="n">
        <v>3</v>
      </c>
      <c r="AM1222" t="n">
        <v>6</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HYPERLINK("https://creighton-primo.hosted.exlibrisgroup.com/primo-explore/search?tab=default_tab&amp;search_scope=EVERYTHING&amp;vid=01CRU&amp;lang=en_US&amp;offset=0&amp;query=any,contains,991002410639702656","Catalog Record")</f>
        <v/>
      </c>
      <c r="AT1222">
        <f>HYPERLINK("http://www.worldcat.org/oclc/339470","WorldCat Record")</f>
        <v/>
      </c>
      <c r="AU1222" t="inlineStr">
        <is>
          <t>1468511:eng</t>
        </is>
      </c>
      <c r="AV1222" t="inlineStr">
        <is>
          <t>339470</t>
        </is>
      </c>
      <c r="AW1222" t="inlineStr">
        <is>
          <t>991002410639702656</t>
        </is>
      </c>
      <c r="AX1222" t="inlineStr">
        <is>
          <t>991002410639702656</t>
        </is>
      </c>
      <c r="AY1222" t="inlineStr">
        <is>
          <t>2259053950002656</t>
        </is>
      </c>
      <c r="AZ1222" t="inlineStr">
        <is>
          <t>BOOK</t>
        </is>
      </c>
      <c r="BC1222" t="inlineStr">
        <is>
          <t>32285001032274</t>
        </is>
      </c>
      <c r="BD1222" t="inlineStr">
        <is>
          <t>893226811</t>
        </is>
      </c>
    </row>
    <row r="1223">
      <c r="A1223" t="inlineStr">
        <is>
          <t>No</t>
        </is>
      </c>
      <c r="B1223" t="inlineStr">
        <is>
          <t>DG555 .S4 1967</t>
        </is>
      </c>
      <c r="C1223" t="inlineStr">
        <is>
          <t>0                      DG 0555000S  4           1967</t>
        </is>
      </c>
      <c r="D1223" t="inlineStr">
        <is>
          <t>Italy from liberalism to fascism, 1870-1925.</t>
        </is>
      </c>
      <c r="F1223" t="inlineStr">
        <is>
          <t>No</t>
        </is>
      </c>
      <c r="G1223" t="inlineStr">
        <is>
          <t>1</t>
        </is>
      </c>
      <c r="H1223" t="inlineStr">
        <is>
          <t>No</t>
        </is>
      </c>
      <c r="I1223" t="inlineStr">
        <is>
          <t>No</t>
        </is>
      </c>
      <c r="J1223" t="inlineStr">
        <is>
          <t>0</t>
        </is>
      </c>
      <c r="K1223" t="inlineStr">
        <is>
          <t>Seton-Watson, Christopher.</t>
        </is>
      </c>
      <c r="L1223" t="inlineStr">
        <is>
          <t>London, Methuen; New York, Barnes &amp; Noble, 1967.</t>
        </is>
      </c>
      <c r="M1223" t="inlineStr">
        <is>
          <t>1967</t>
        </is>
      </c>
      <c r="O1223" t="inlineStr">
        <is>
          <t>eng</t>
        </is>
      </c>
      <c r="P1223" t="inlineStr">
        <is>
          <t>enk</t>
        </is>
      </c>
      <c r="R1223" t="inlineStr">
        <is>
          <t xml:space="preserve">DG </t>
        </is>
      </c>
      <c r="S1223" t="n">
        <v>2</v>
      </c>
      <c r="T1223" t="n">
        <v>2</v>
      </c>
      <c r="U1223" t="inlineStr">
        <is>
          <t>1999-02-09</t>
        </is>
      </c>
      <c r="V1223" t="inlineStr">
        <is>
          <t>1999-02-09</t>
        </is>
      </c>
      <c r="W1223" t="inlineStr">
        <is>
          <t>1997-02-05</t>
        </is>
      </c>
      <c r="X1223" t="inlineStr">
        <is>
          <t>1997-02-05</t>
        </is>
      </c>
      <c r="Y1223" t="n">
        <v>873</v>
      </c>
      <c r="Z1223" t="n">
        <v>644</v>
      </c>
      <c r="AA1223" t="n">
        <v>675</v>
      </c>
      <c r="AB1223" t="n">
        <v>7</v>
      </c>
      <c r="AC1223" t="n">
        <v>7</v>
      </c>
      <c r="AD1223" t="n">
        <v>32</v>
      </c>
      <c r="AE1223" t="n">
        <v>33</v>
      </c>
      <c r="AF1223" t="n">
        <v>11</v>
      </c>
      <c r="AG1223" t="n">
        <v>12</v>
      </c>
      <c r="AH1223" t="n">
        <v>8</v>
      </c>
      <c r="AI1223" t="n">
        <v>8</v>
      </c>
      <c r="AJ1223" t="n">
        <v>16</v>
      </c>
      <c r="AK1223" t="n">
        <v>17</v>
      </c>
      <c r="AL1223" t="n">
        <v>5</v>
      </c>
      <c r="AM1223" t="n">
        <v>5</v>
      </c>
      <c r="AN1223" t="n">
        <v>0</v>
      </c>
      <c r="AO1223" t="n">
        <v>0</v>
      </c>
      <c r="AP1223" t="inlineStr">
        <is>
          <t>No</t>
        </is>
      </c>
      <c r="AQ1223" t="inlineStr">
        <is>
          <t>Yes</t>
        </is>
      </c>
      <c r="AR1223">
        <f>HYPERLINK("http://catalog.hathitrust.org/Record/000420220","HathiTrust Record")</f>
        <v/>
      </c>
      <c r="AS1223">
        <f>HYPERLINK("https://creighton-primo.hosted.exlibrisgroup.com/primo-explore/search?tab=default_tab&amp;search_scope=EVERYTHING&amp;vid=01CRU&amp;lang=en_US&amp;offset=0&amp;query=any,contains,991002709539702656","Catalog Record")</f>
        <v/>
      </c>
      <c r="AT1223">
        <f>HYPERLINK("http://www.worldcat.org/oclc/408612","WorldCat Record")</f>
        <v/>
      </c>
      <c r="AU1223" t="inlineStr">
        <is>
          <t>4061391103:eng</t>
        </is>
      </c>
      <c r="AV1223" t="inlineStr">
        <is>
          <t>408612</t>
        </is>
      </c>
      <c r="AW1223" t="inlineStr">
        <is>
          <t>991002709539702656</t>
        </is>
      </c>
      <c r="AX1223" t="inlineStr">
        <is>
          <t>991002709539702656</t>
        </is>
      </c>
      <c r="AY1223" t="inlineStr">
        <is>
          <t>2264154290002656</t>
        </is>
      </c>
      <c r="AZ1223" t="inlineStr">
        <is>
          <t>BOOK</t>
        </is>
      </c>
      <c r="BC1223" t="inlineStr">
        <is>
          <t>32285002422318</t>
        </is>
      </c>
      <c r="BD1223" t="inlineStr">
        <is>
          <t>893517637</t>
        </is>
      </c>
    </row>
    <row r="1224">
      <c r="A1224" t="inlineStr">
        <is>
          <t>No</t>
        </is>
      </c>
      <c r="B1224" t="inlineStr">
        <is>
          <t>DG556.C7 A4</t>
        </is>
      </c>
      <c r="C1224" t="inlineStr">
        <is>
          <t>0                      DG 0556000C  7                  A  4</t>
        </is>
      </c>
      <c r="D1224" t="inlineStr">
        <is>
          <t>The memoirs of Francesco Crispi, tr. by Mary Prichard-Agnetti from the documents collected and ed. by Thomas Palamenghi-Crispi.</t>
        </is>
      </c>
      <c r="E1224" t="inlineStr">
        <is>
          <t>V.1</t>
        </is>
      </c>
      <c r="F1224" t="inlineStr">
        <is>
          <t>Yes</t>
        </is>
      </c>
      <c r="G1224" t="inlineStr">
        <is>
          <t>1</t>
        </is>
      </c>
      <c r="H1224" t="inlineStr">
        <is>
          <t>No</t>
        </is>
      </c>
      <c r="I1224" t="inlineStr">
        <is>
          <t>No</t>
        </is>
      </c>
      <c r="J1224" t="inlineStr">
        <is>
          <t>0</t>
        </is>
      </c>
      <c r="K1224" t="inlineStr">
        <is>
          <t>Crispi, Francesco, 1818-1901.</t>
        </is>
      </c>
      <c r="L1224" t="inlineStr">
        <is>
          <t>London, Hodder and Stoughton, 1912-14.</t>
        </is>
      </c>
      <c r="M1224" t="inlineStr">
        <is>
          <t>1912</t>
        </is>
      </c>
      <c r="O1224" t="inlineStr">
        <is>
          <t>eng</t>
        </is>
      </c>
      <c r="P1224" t="inlineStr">
        <is>
          <t>enk</t>
        </is>
      </c>
      <c r="R1224" t="inlineStr">
        <is>
          <t xml:space="preserve">DG </t>
        </is>
      </c>
      <c r="S1224" t="n">
        <v>0</v>
      </c>
      <c r="T1224" t="n">
        <v>4</v>
      </c>
      <c r="V1224" t="inlineStr">
        <is>
          <t>2003-04-22</t>
        </is>
      </c>
      <c r="W1224" t="inlineStr">
        <is>
          <t>1997-02-05</t>
        </is>
      </c>
      <c r="X1224" t="inlineStr">
        <is>
          <t>1997-02-05</t>
        </is>
      </c>
      <c r="Y1224" t="n">
        <v>277</v>
      </c>
      <c r="Z1224" t="n">
        <v>221</v>
      </c>
      <c r="AA1224" t="n">
        <v>238</v>
      </c>
      <c r="AB1224" t="n">
        <v>2</v>
      </c>
      <c r="AC1224" t="n">
        <v>2</v>
      </c>
      <c r="AD1224" t="n">
        <v>16</v>
      </c>
      <c r="AE1224" t="n">
        <v>16</v>
      </c>
      <c r="AF1224" t="n">
        <v>4</v>
      </c>
      <c r="AG1224" t="n">
        <v>4</v>
      </c>
      <c r="AH1224" t="n">
        <v>3</v>
      </c>
      <c r="AI1224" t="n">
        <v>3</v>
      </c>
      <c r="AJ1224" t="n">
        <v>11</v>
      </c>
      <c r="AK1224" t="n">
        <v>11</v>
      </c>
      <c r="AL1224" t="n">
        <v>1</v>
      </c>
      <c r="AM1224" t="n">
        <v>1</v>
      </c>
      <c r="AN1224" t="n">
        <v>1</v>
      </c>
      <c r="AO1224" t="n">
        <v>1</v>
      </c>
      <c r="AP1224" t="inlineStr">
        <is>
          <t>Yes</t>
        </is>
      </c>
      <c r="AQ1224" t="inlineStr">
        <is>
          <t>No</t>
        </is>
      </c>
      <c r="AR1224">
        <f>HYPERLINK("http://catalog.hathitrust.org/Record/000375070","HathiTrust Record")</f>
        <v/>
      </c>
      <c r="AS1224">
        <f>HYPERLINK("https://creighton-primo.hosted.exlibrisgroup.com/primo-explore/search?tab=default_tab&amp;search_scope=EVERYTHING&amp;vid=01CRU&amp;lang=en_US&amp;offset=0&amp;query=any,contains,991003146509702656","Catalog Record")</f>
        <v/>
      </c>
      <c r="AT1224">
        <f>HYPERLINK("http://www.worldcat.org/oclc/686892","WorldCat Record")</f>
        <v/>
      </c>
      <c r="AU1224" t="inlineStr">
        <is>
          <t>1771073:eng</t>
        </is>
      </c>
      <c r="AV1224" t="inlineStr">
        <is>
          <t>686892</t>
        </is>
      </c>
      <c r="AW1224" t="inlineStr">
        <is>
          <t>991003146509702656</t>
        </is>
      </c>
      <c r="AX1224" t="inlineStr">
        <is>
          <t>991003146509702656</t>
        </is>
      </c>
      <c r="AY1224" t="inlineStr">
        <is>
          <t>2265055180002656</t>
        </is>
      </c>
      <c r="AZ1224" t="inlineStr">
        <is>
          <t>BOOK</t>
        </is>
      </c>
      <c r="BC1224" t="inlineStr">
        <is>
          <t>32285002422334</t>
        </is>
      </c>
      <c r="BD1224" t="inlineStr">
        <is>
          <t>893805474</t>
        </is>
      </c>
    </row>
    <row r="1225">
      <c r="A1225" t="inlineStr">
        <is>
          <t>No</t>
        </is>
      </c>
      <c r="B1225" t="inlineStr">
        <is>
          <t>DG556.C7 A4</t>
        </is>
      </c>
      <c r="C1225" t="inlineStr">
        <is>
          <t>0                      DG 0556000C  7                  A  4</t>
        </is>
      </c>
      <c r="D1225" t="inlineStr">
        <is>
          <t>The memoirs of Francesco Crispi, tr. by Mary Prichard-Agnetti from the documents collected and ed. by Thomas Palamenghi-Crispi.</t>
        </is>
      </c>
      <c r="E1225" t="inlineStr">
        <is>
          <t>V.2</t>
        </is>
      </c>
      <c r="F1225" t="inlineStr">
        <is>
          <t>Yes</t>
        </is>
      </c>
      <c r="G1225" t="inlineStr">
        <is>
          <t>1</t>
        </is>
      </c>
      <c r="H1225" t="inlineStr">
        <is>
          <t>No</t>
        </is>
      </c>
      <c r="I1225" t="inlineStr">
        <is>
          <t>No</t>
        </is>
      </c>
      <c r="J1225" t="inlineStr">
        <is>
          <t>0</t>
        </is>
      </c>
      <c r="K1225" t="inlineStr">
        <is>
          <t>Crispi, Francesco, 1818-1901.</t>
        </is>
      </c>
      <c r="L1225" t="inlineStr">
        <is>
          <t>London, Hodder and Stoughton, 1912-14.</t>
        </is>
      </c>
      <c r="M1225" t="inlineStr">
        <is>
          <t>1912</t>
        </is>
      </c>
      <c r="O1225" t="inlineStr">
        <is>
          <t>eng</t>
        </is>
      </c>
      <c r="P1225" t="inlineStr">
        <is>
          <t>enk</t>
        </is>
      </c>
      <c r="R1225" t="inlineStr">
        <is>
          <t xml:space="preserve">DG </t>
        </is>
      </c>
      <c r="S1225" t="n">
        <v>4</v>
      </c>
      <c r="T1225" t="n">
        <v>4</v>
      </c>
      <c r="U1225" t="inlineStr">
        <is>
          <t>2003-04-22</t>
        </is>
      </c>
      <c r="V1225" t="inlineStr">
        <is>
          <t>2003-04-22</t>
        </is>
      </c>
      <c r="W1225" t="inlineStr">
        <is>
          <t>1997-02-05</t>
        </is>
      </c>
      <c r="X1225" t="inlineStr">
        <is>
          <t>1997-02-05</t>
        </is>
      </c>
      <c r="Y1225" t="n">
        <v>277</v>
      </c>
      <c r="Z1225" t="n">
        <v>221</v>
      </c>
      <c r="AA1225" t="n">
        <v>238</v>
      </c>
      <c r="AB1225" t="n">
        <v>2</v>
      </c>
      <c r="AC1225" t="n">
        <v>2</v>
      </c>
      <c r="AD1225" t="n">
        <v>16</v>
      </c>
      <c r="AE1225" t="n">
        <v>16</v>
      </c>
      <c r="AF1225" t="n">
        <v>4</v>
      </c>
      <c r="AG1225" t="n">
        <v>4</v>
      </c>
      <c r="AH1225" t="n">
        <v>3</v>
      </c>
      <c r="AI1225" t="n">
        <v>3</v>
      </c>
      <c r="AJ1225" t="n">
        <v>11</v>
      </c>
      <c r="AK1225" t="n">
        <v>11</v>
      </c>
      <c r="AL1225" t="n">
        <v>1</v>
      </c>
      <c r="AM1225" t="n">
        <v>1</v>
      </c>
      <c r="AN1225" t="n">
        <v>1</v>
      </c>
      <c r="AO1225" t="n">
        <v>1</v>
      </c>
      <c r="AP1225" t="inlineStr">
        <is>
          <t>Yes</t>
        </is>
      </c>
      <c r="AQ1225" t="inlineStr">
        <is>
          <t>No</t>
        </is>
      </c>
      <c r="AR1225">
        <f>HYPERLINK("http://catalog.hathitrust.org/Record/000375070","HathiTrust Record")</f>
        <v/>
      </c>
      <c r="AS1225">
        <f>HYPERLINK("https://creighton-primo.hosted.exlibrisgroup.com/primo-explore/search?tab=default_tab&amp;search_scope=EVERYTHING&amp;vid=01CRU&amp;lang=en_US&amp;offset=0&amp;query=any,contains,991003146509702656","Catalog Record")</f>
        <v/>
      </c>
      <c r="AT1225">
        <f>HYPERLINK("http://www.worldcat.org/oclc/686892","WorldCat Record")</f>
        <v/>
      </c>
      <c r="AU1225" t="inlineStr">
        <is>
          <t>1771073:eng</t>
        </is>
      </c>
      <c r="AV1225" t="inlineStr">
        <is>
          <t>686892</t>
        </is>
      </c>
      <c r="AW1225" t="inlineStr">
        <is>
          <t>991003146509702656</t>
        </is>
      </c>
      <c r="AX1225" t="inlineStr">
        <is>
          <t>991003146509702656</t>
        </is>
      </c>
      <c r="AY1225" t="inlineStr">
        <is>
          <t>2265055180002656</t>
        </is>
      </c>
      <c r="AZ1225" t="inlineStr">
        <is>
          <t>BOOK</t>
        </is>
      </c>
      <c r="BC1225" t="inlineStr">
        <is>
          <t>32285002422342</t>
        </is>
      </c>
      <c r="BD1225" t="inlineStr">
        <is>
          <t>893793362</t>
        </is>
      </c>
    </row>
    <row r="1226">
      <c r="A1226" t="inlineStr">
        <is>
          <t>No</t>
        </is>
      </c>
      <c r="B1226" t="inlineStr">
        <is>
          <t>DG557.5 .D43 2006</t>
        </is>
      </c>
      <c r="C1226" t="inlineStr">
        <is>
          <t>0                      DG 0557500D  43          2006</t>
        </is>
      </c>
      <c r="D1226" t="inlineStr">
        <is>
          <t>Gli anarchici : cronaca inedita dell'unità d'Italia / [a cura di] Aldo De Jaco.</t>
        </is>
      </c>
      <c r="F1226" t="inlineStr">
        <is>
          <t>No</t>
        </is>
      </c>
      <c r="G1226" t="inlineStr">
        <is>
          <t>1</t>
        </is>
      </c>
      <c r="H1226" t="inlineStr">
        <is>
          <t>No</t>
        </is>
      </c>
      <c r="I1226" t="inlineStr">
        <is>
          <t>No</t>
        </is>
      </c>
      <c r="J1226" t="inlineStr">
        <is>
          <t>0</t>
        </is>
      </c>
      <c r="L1226" t="inlineStr">
        <is>
          <t>Roma : Editori riuniti, 2006.</t>
        </is>
      </c>
      <c r="M1226" t="inlineStr">
        <is>
          <t>2006</t>
        </is>
      </c>
      <c r="N1226" t="inlineStr">
        <is>
          <t>2. ed.</t>
        </is>
      </c>
      <c r="O1226" t="inlineStr">
        <is>
          <t>ita</t>
        </is>
      </c>
      <c r="P1226" t="inlineStr">
        <is>
          <t xml:space="preserve">it </t>
        </is>
      </c>
      <c r="Q1226" t="inlineStr">
        <is>
          <t>Il milione</t>
        </is>
      </c>
      <c r="R1226" t="inlineStr">
        <is>
          <t xml:space="preserve">DG </t>
        </is>
      </c>
      <c r="S1226" t="n">
        <v>5</v>
      </c>
      <c r="T1226" t="n">
        <v>5</v>
      </c>
      <c r="U1226" t="inlineStr">
        <is>
          <t>2009-04-08</t>
        </is>
      </c>
      <c r="V1226" t="inlineStr">
        <is>
          <t>2009-04-08</t>
        </is>
      </c>
      <c r="W1226" t="inlineStr">
        <is>
          <t>2007-08-01</t>
        </is>
      </c>
      <c r="X1226" t="inlineStr">
        <is>
          <t>2007-08-01</t>
        </is>
      </c>
      <c r="Y1226" t="n">
        <v>11</v>
      </c>
      <c r="Z1226" t="n">
        <v>7</v>
      </c>
      <c r="AA1226" t="n">
        <v>27</v>
      </c>
      <c r="AB1226" t="n">
        <v>1</v>
      </c>
      <c r="AC1226" t="n">
        <v>1</v>
      </c>
      <c r="AD1226" t="n">
        <v>1</v>
      </c>
      <c r="AE1226" t="n">
        <v>3</v>
      </c>
      <c r="AF1226" t="n">
        <v>0</v>
      </c>
      <c r="AG1226" t="n">
        <v>0</v>
      </c>
      <c r="AH1226" t="n">
        <v>1</v>
      </c>
      <c r="AI1226" t="n">
        <v>2</v>
      </c>
      <c r="AJ1226" t="n">
        <v>1</v>
      </c>
      <c r="AK1226" t="n">
        <v>2</v>
      </c>
      <c r="AL1226" t="n">
        <v>0</v>
      </c>
      <c r="AM1226" t="n">
        <v>0</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HYPERLINK("https://creighton-primo.hosted.exlibrisgroup.com/primo-explore/search?tab=default_tab&amp;search_scope=EVERYTHING&amp;vid=01CRU&amp;lang=en_US&amp;offset=0&amp;query=any,contains,991005016759702656","Catalog Record")</f>
        <v/>
      </c>
      <c r="AT1226">
        <f>HYPERLINK("http://www.worldcat.org/oclc/150847978","WorldCat Record")</f>
        <v/>
      </c>
      <c r="AU1226" t="inlineStr">
        <is>
          <t>815013523:ita</t>
        </is>
      </c>
      <c r="AV1226" t="inlineStr">
        <is>
          <t>150847978</t>
        </is>
      </c>
      <c r="AW1226" t="inlineStr">
        <is>
          <t>991005016759702656</t>
        </is>
      </c>
      <c r="AX1226" t="inlineStr">
        <is>
          <t>991005016759702656</t>
        </is>
      </c>
      <c r="AY1226" t="inlineStr">
        <is>
          <t>2269535210002656</t>
        </is>
      </c>
      <c r="AZ1226" t="inlineStr">
        <is>
          <t>BOOK</t>
        </is>
      </c>
      <c r="BB1226" t="inlineStr">
        <is>
          <t>9788835958352</t>
        </is>
      </c>
      <c r="BC1226" t="inlineStr">
        <is>
          <t>32285005278402</t>
        </is>
      </c>
      <c r="BD1226" t="inlineStr">
        <is>
          <t>893513906</t>
        </is>
      </c>
    </row>
    <row r="1227">
      <c r="A1227" t="inlineStr">
        <is>
          <t>No</t>
        </is>
      </c>
      <c r="B1227" t="inlineStr">
        <is>
          <t>DG568.5 .D48 1978</t>
        </is>
      </c>
      <c r="C1227" t="inlineStr">
        <is>
          <t>0                      DG 0568500D  48          1978</t>
        </is>
      </c>
      <c r="D1227" t="inlineStr">
        <is>
          <t>The Italian Nationalist Association and the rise of fascism in Italy / Alexander J. De Grand.</t>
        </is>
      </c>
      <c r="F1227" t="inlineStr">
        <is>
          <t>No</t>
        </is>
      </c>
      <c r="G1227" t="inlineStr">
        <is>
          <t>1</t>
        </is>
      </c>
      <c r="H1227" t="inlineStr">
        <is>
          <t>No</t>
        </is>
      </c>
      <c r="I1227" t="inlineStr">
        <is>
          <t>No</t>
        </is>
      </c>
      <c r="J1227" t="inlineStr">
        <is>
          <t>0</t>
        </is>
      </c>
      <c r="K1227" t="inlineStr">
        <is>
          <t>De Grand, Alexander J., 1938-</t>
        </is>
      </c>
      <c r="L1227" t="inlineStr">
        <is>
          <t>Lincoln : University of Nebraska Press, c1978.</t>
        </is>
      </c>
      <c r="M1227" t="inlineStr">
        <is>
          <t>1978</t>
        </is>
      </c>
      <c r="O1227" t="inlineStr">
        <is>
          <t>eng</t>
        </is>
      </c>
      <c r="P1227" t="inlineStr">
        <is>
          <t>nbu</t>
        </is>
      </c>
      <c r="R1227" t="inlineStr">
        <is>
          <t xml:space="preserve">DG </t>
        </is>
      </c>
      <c r="S1227" t="n">
        <v>3</v>
      </c>
      <c r="T1227" t="n">
        <v>3</v>
      </c>
      <c r="U1227" t="inlineStr">
        <is>
          <t>2008-12-03</t>
        </is>
      </c>
      <c r="V1227" t="inlineStr">
        <is>
          <t>2008-12-03</t>
        </is>
      </c>
      <c r="W1227" t="inlineStr">
        <is>
          <t>1991-04-15</t>
        </is>
      </c>
      <c r="X1227" t="inlineStr">
        <is>
          <t>1991-04-15</t>
        </is>
      </c>
      <c r="Y1227" t="n">
        <v>571</v>
      </c>
      <c r="Z1227" t="n">
        <v>424</v>
      </c>
      <c r="AA1227" t="n">
        <v>426</v>
      </c>
      <c r="AB1227" t="n">
        <v>4</v>
      </c>
      <c r="AC1227" t="n">
        <v>4</v>
      </c>
      <c r="AD1227" t="n">
        <v>22</v>
      </c>
      <c r="AE1227" t="n">
        <v>22</v>
      </c>
      <c r="AF1227" t="n">
        <v>8</v>
      </c>
      <c r="AG1227" t="n">
        <v>8</v>
      </c>
      <c r="AH1227" t="n">
        <v>7</v>
      </c>
      <c r="AI1227" t="n">
        <v>7</v>
      </c>
      <c r="AJ1227" t="n">
        <v>14</v>
      </c>
      <c r="AK1227" t="n">
        <v>14</v>
      </c>
      <c r="AL1227" t="n">
        <v>2</v>
      </c>
      <c r="AM1227" t="n">
        <v>2</v>
      </c>
      <c r="AN1227" t="n">
        <v>0</v>
      </c>
      <c r="AO1227" t="n">
        <v>0</v>
      </c>
      <c r="AP1227" t="inlineStr">
        <is>
          <t>No</t>
        </is>
      </c>
      <c r="AQ1227" t="inlineStr">
        <is>
          <t>Yes</t>
        </is>
      </c>
      <c r="AR1227">
        <f>HYPERLINK("http://catalog.hathitrust.org/Record/000294233","HathiTrust Record")</f>
        <v/>
      </c>
      <c r="AS1227">
        <f>HYPERLINK("https://creighton-primo.hosted.exlibrisgroup.com/primo-explore/search?tab=default_tab&amp;search_scope=EVERYTHING&amp;vid=01CRU&amp;lang=en_US&amp;offset=0&amp;query=any,contains,991004369879702656","Catalog Record")</f>
        <v/>
      </c>
      <c r="AT1227">
        <f>HYPERLINK("http://www.worldcat.org/oclc/3186510","WorldCat Record")</f>
        <v/>
      </c>
      <c r="AU1227" t="inlineStr">
        <is>
          <t>8747515:eng</t>
        </is>
      </c>
      <c r="AV1227" t="inlineStr">
        <is>
          <t>3186510</t>
        </is>
      </c>
      <c r="AW1227" t="inlineStr">
        <is>
          <t>991004369879702656</t>
        </is>
      </c>
      <c r="AX1227" t="inlineStr">
        <is>
          <t>991004369879702656</t>
        </is>
      </c>
      <c r="AY1227" t="inlineStr">
        <is>
          <t>2259957190002656</t>
        </is>
      </c>
      <c r="AZ1227" t="inlineStr">
        <is>
          <t>BOOK</t>
        </is>
      </c>
      <c r="BB1227" t="inlineStr">
        <is>
          <t>9780803209497</t>
        </is>
      </c>
      <c r="BC1227" t="inlineStr">
        <is>
          <t>32285000522135</t>
        </is>
      </c>
      <c r="BD1227" t="inlineStr">
        <is>
          <t>893337645</t>
        </is>
      </c>
    </row>
    <row r="1228">
      <c r="A1228" t="inlineStr">
        <is>
          <t>No</t>
        </is>
      </c>
      <c r="B1228" t="inlineStr">
        <is>
          <t>DG571 .B715 2006</t>
        </is>
      </c>
      <c r="C1228" t="inlineStr">
        <is>
          <t>0                      DG 0571000B  715         2006</t>
        </is>
      </c>
      <c r="D1228" t="inlineStr">
        <is>
          <t>Mussolini's Italy : life under the dictatorship, 1915-1945 / R.J.B. Bosworth.</t>
        </is>
      </c>
      <c r="F1228" t="inlineStr">
        <is>
          <t>No</t>
        </is>
      </c>
      <c r="G1228" t="inlineStr">
        <is>
          <t>1</t>
        </is>
      </c>
      <c r="H1228" t="inlineStr">
        <is>
          <t>No</t>
        </is>
      </c>
      <c r="I1228" t="inlineStr">
        <is>
          <t>No</t>
        </is>
      </c>
      <c r="J1228" t="inlineStr">
        <is>
          <t>0</t>
        </is>
      </c>
      <c r="K1228" t="inlineStr">
        <is>
          <t>Bosworth, R. J. B.</t>
        </is>
      </c>
      <c r="L1228" t="inlineStr">
        <is>
          <t>New York : Penguin Books, 2006.</t>
        </is>
      </c>
      <c r="M1228" t="inlineStr">
        <is>
          <t>2006</t>
        </is>
      </c>
      <c r="N1228" t="inlineStr">
        <is>
          <t>1st American ed.</t>
        </is>
      </c>
      <c r="O1228" t="inlineStr">
        <is>
          <t>eng</t>
        </is>
      </c>
      <c r="P1228" t="inlineStr">
        <is>
          <t>nyu</t>
        </is>
      </c>
      <c r="R1228" t="inlineStr">
        <is>
          <t xml:space="preserve">DG </t>
        </is>
      </c>
      <c r="S1228" t="n">
        <v>3</v>
      </c>
      <c r="T1228" t="n">
        <v>3</v>
      </c>
      <c r="U1228" t="inlineStr">
        <is>
          <t>2008-12-15</t>
        </is>
      </c>
      <c r="V1228" t="inlineStr">
        <is>
          <t>2008-12-15</t>
        </is>
      </c>
      <c r="W1228" t="inlineStr">
        <is>
          <t>2006-02-14</t>
        </is>
      </c>
      <c r="X1228" t="inlineStr">
        <is>
          <t>2006-02-14</t>
        </is>
      </c>
      <c r="Y1228" t="n">
        <v>1050</v>
      </c>
      <c r="Z1228" t="n">
        <v>977</v>
      </c>
      <c r="AA1228" t="n">
        <v>1174</v>
      </c>
      <c r="AB1228" t="n">
        <v>9</v>
      </c>
      <c r="AC1228" t="n">
        <v>11</v>
      </c>
      <c r="AD1228" t="n">
        <v>31</v>
      </c>
      <c r="AE1228" t="n">
        <v>38</v>
      </c>
      <c r="AF1228" t="n">
        <v>10</v>
      </c>
      <c r="AG1228" t="n">
        <v>15</v>
      </c>
      <c r="AH1228" t="n">
        <v>9</v>
      </c>
      <c r="AI1228" t="n">
        <v>10</v>
      </c>
      <c r="AJ1228" t="n">
        <v>12</v>
      </c>
      <c r="AK1228" t="n">
        <v>16</v>
      </c>
      <c r="AL1228" t="n">
        <v>8</v>
      </c>
      <c r="AM1228" t="n">
        <v>8</v>
      </c>
      <c r="AN1228" t="n">
        <v>0</v>
      </c>
      <c r="AO1228" t="n">
        <v>0</v>
      </c>
      <c r="AP1228" t="inlineStr">
        <is>
          <t>No</t>
        </is>
      </c>
      <c r="AQ1228" t="inlineStr">
        <is>
          <t>Yes</t>
        </is>
      </c>
      <c r="AR1228">
        <f>HYPERLINK("http://catalog.hathitrust.org/Record/005118867","HathiTrust Record")</f>
        <v/>
      </c>
      <c r="AS1228">
        <f>HYPERLINK("https://creighton-primo.hosted.exlibrisgroup.com/primo-explore/search?tab=default_tab&amp;search_scope=EVERYTHING&amp;vid=01CRU&amp;lang=en_US&amp;offset=0&amp;query=any,contains,991004700689702656","Catalog Record")</f>
        <v/>
      </c>
      <c r="AT1228">
        <f>HYPERLINK("http://www.worldcat.org/oclc/61353131","WorldCat Record")</f>
        <v/>
      </c>
      <c r="AU1228" t="inlineStr">
        <is>
          <t>796425083:eng</t>
        </is>
      </c>
      <c r="AV1228" t="inlineStr">
        <is>
          <t>61353131</t>
        </is>
      </c>
      <c r="AW1228" t="inlineStr">
        <is>
          <t>991004700689702656</t>
        </is>
      </c>
      <c r="AX1228" t="inlineStr">
        <is>
          <t>991004700689702656</t>
        </is>
      </c>
      <c r="AY1228" t="inlineStr">
        <is>
          <t>2258699210002656</t>
        </is>
      </c>
      <c r="AZ1228" t="inlineStr">
        <is>
          <t>BOOK</t>
        </is>
      </c>
      <c r="BB1228" t="inlineStr">
        <is>
          <t>9781594200786</t>
        </is>
      </c>
      <c r="BC1228" t="inlineStr">
        <is>
          <t>32285005158786</t>
        </is>
      </c>
      <c r="BD1228" t="inlineStr">
        <is>
          <t>893712918</t>
        </is>
      </c>
    </row>
    <row r="1229">
      <c r="A1229" t="inlineStr">
        <is>
          <t>No</t>
        </is>
      </c>
      <c r="B1229" t="inlineStr">
        <is>
          <t>DG571 .C4443 1975</t>
        </is>
      </c>
      <c r="C1229" t="inlineStr">
        <is>
          <t>0                      DG 0571000C  4443        1975</t>
        </is>
      </c>
      <c r="D1229" t="inlineStr">
        <is>
          <t>A history of Italian fascism. Translated from the Italian by Muriel Grindrod.</t>
        </is>
      </c>
      <c r="F1229" t="inlineStr">
        <is>
          <t>No</t>
        </is>
      </c>
      <c r="G1229" t="inlineStr">
        <is>
          <t>1</t>
        </is>
      </c>
      <c r="H1229" t="inlineStr">
        <is>
          <t>No</t>
        </is>
      </c>
      <c r="I1229" t="inlineStr">
        <is>
          <t>No</t>
        </is>
      </c>
      <c r="J1229" t="inlineStr">
        <is>
          <t>0</t>
        </is>
      </c>
      <c r="K1229" t="inlineStr">
        <is>
          <t>Chabod, Federico.</t>
        </is>
      </c>
      <c r="L1229" t="inlineStr">
        <is>
          <t>New York, H. Fertig, 1975 [c1963]</t>
        </is>
      </c>
      <c r="M1229" t="inlineStr">
        <is>
          <t>1975</t>
        </is>
      </c>
      <c r="N1229" t="inlineStr">
        <is>
          <t>[1st American ed.]</t>
        </is>
      </c>
      <c r="O1229" t="inlineStr">
        <is>
          <t>eng</t>
        </is>
      </c>
      <c r="P1229" t="inlineStr">
        <is>
          <t>nyu</t>
        </is>
      </c>
      <c r="R1229" t="inlineStr">
        <is>
          <t xml:space="preserve">DG </t>
        </is>
      </c>
      <c r="S1229" t="n">
        <v>1</v>
      </c>
      <c r="T1229" t="n">
        <v>1</v>
      </c>
      <c r="U1229" t="inlineStr">
        <is>
          <t>2008-12-03</t>
        </is>
      </c>
      <c r="V1229" t="inlineStr">
        <is>
          <t>2008-12-03</t>
        </is>
      </c>
      <c r="W1229" t="inlineStr">
        <is>
          <t>1997-02-05</t>
        </is>
      </c>
      <c r="X1229" t="inlineStr">
        <is>
          <t>1997-02-05</t>
        </is>
      </c>
      <c r="Y1229" t="n">
        <v>343</v>
      </c>
      <c r="Z1229" t="n">
        <v>291</v>
      </c>
      <c r="AA1229" t="n">
        <v>480</v>
      </c>
      <c r="AB1229" t="n">
        <v>2</v>
      </c>
      <c r="AC1229" t="n">
        <v>4</v>
      </c>
      <c r="AD1229" t="n">
        <v>16</v>
      </c>
      <c r="AE1229" t="n">
        <v>28</v>
      </c>
      <c r="AF1229" t="n">
        <v>8</v>
      </c>
      <c r="AG1229" t="n">
        <v>10</v>
      </c>
      <c r="AH1229" t="n">
        <v>2</v>
      </c>
      <c r="AI1229" t="n">
        <v>6</v>
      </c>
      <c r="AJ1229" t="n">
        <v>7</v>
      </c>
      <c r="AK1229" t="n">
        <v>16</v>
      </c>
      <c r="AL1229" t="n">
        <v>1</v>
      </c>
      <c r="AM1229" t="n">
        <v>3</v>
      </c>
      <c r="AN1229" t="n">
        <v>0</v>
      </c>
      <c r="AO1229" t="n">
        <v>0</v>
      </c>
      <c r="AP1229" t="inlineStr">
        <is>
          <t>No</t>
        </is>
      </c>
      <c r="AQ1229" t="inlineStr">
        <is>
          <t>Yes</t>
        </is>
      </c>
      <c r="AR1229">
        <f>HYPERLINK("http://catalog.hathitrust.org/Record/003051541","HathiTrust Record")</f>
        <v/>
      </c>
      <c r="AS1229">
        <f>HYPERLINK("https://creighton-primo.hosted.exlibrisgroup.com/primo-explore/search?tab=default_tab&amp;search_scope=EVERYTHING&amp;vid=01CRU&amp;lang=en_US&amp;offset=0&amp;query=any,contains,991003434909702656","Catalog Record")</f>
        <v/>
      </c>
      <c r="AT1229">
        <f>HYPERLINK("http://www.worldcat.org/oclc/969740","WorldCat Record")</f>
        <v/>
      </c>
      <c r="AU1229" t="inlineStr">
        <is>
          <t>356769396:eng</t>
        </is>
      </c>
      <c r="AV1229" t="inlineStr">
        <is>
          <t>969740</t>
        </is>
      </c>
      <c r="AW1229" t="inlineStr">
        <is>
          <t>991003434909702656</t>
        </is>
      </c>
      <c r="AX1229" t="inlineStr">
        <is>
          <t>991003434909702656</t>
        </is>
      </c>
      <c r="AY1229" t="inlineStr">
        <is>
          <t>2260833740002656</t>
        </is>
      </c>
      <c r="AZ1229" t="inlineStr">
        <is>
          <t>BOOK</t>
        </is>
      </c>
      <c r="BC1229" t="inlineStr">
        <is>
          <t>32285002422417</t>
        </is>
      </c>
      <c r="BD1229" t="inlineStr">
        <is>
          <t>893428787</t>
        </is>
      </c>
    </row>
    <row r="1230">
      <c r="A1230" t="inlineStr">
        <is>
          <t>No</t>
        </is>
      </c>
      <c r="B1230" t="inlineStr">
        <is>
          <t>DG571 .F5 1965</t>
        </is>
      </c>
      <c r="C1230" t="inlineStr">
        <is>
          <t>0                      DG 0571000F  5           1965</t>
        </is>
      </c>
      <c r="D1230" t="inlineStr">
        <is>
          <t>Mussolini's Italy.</t>
        </is>
      </c>
      <c r="F1230" t="inlineStr">
        <is>
          <t>No</t>
        </is>
      </c>
      <c r="G1230" t="inlineStr">
        <is>
          <t>1</t>
        </is>
      </c>
      <c r="H1230" t="inlineStr">
        <is>
          <t>No</t>
        </is>
      </c>
      <c r="I1230" t="inlineStr">
        <is>
          <t>No</t>
        </is>
      </c>
      <c r="J1230" t="inlineStr">
        <is>
          <t>0</t>
        </is>
      </c>
      <c r="K1230" t="inlineStr">
        <is>
          <t>Finer, Herman, 1898-1969.</t>
        </is>
      </c>
      <c r="L1230" t="inlineStr">
        <is>
          <t>New York : Grossett &amp; Dunlap , [1965]</t>
        </is>
      </c>
      <c r="M1230" t="inlineStr">
        <is>
          <t>1965</t>
        </is>
      </c>
      <c r="N1230" t="inlineStr">
        <is>
          <t>[Universal Library edition]</t>
        </is>
      </c>
      <c r="O1230" t="inlineStr">
        <is>
          <t>eng</t>
        </is>
      </c>
      <c r="P1230" t="inlineStr">
        <is>
          <t>nyu</t>
        </is>
      </c>
      <c r="R1230" t="inlineStr">
        <is>
          <t xml:space="preserve">DG </t>
        </is>
      </c>
      <c r="S1230" t="n">
        <v>5</v>
      </c>
      <c r="T1230" t="n">
        <v>5</v>
      </c>
      <c r="U1230" t="inlineStr">
        <is>
          <t>2007-09-10</t>
        </is>
      </c>
      <c r="V1230" t="inlineStr">
        <is>
          <t>2007-09-10</t>
        </is>
      </c>
      <c r="W1230" t="inlineStr">
        <is>
          <t>1993-03-31</t>
        </is>
      </c>
      <c r="X1230" t="inlineStr">
        <is>
          <t>1993-03-31</t>
        </is>
      </c>
      <c r="Y1230" t="n">
        <v>140</v>
      </c>
      <c r="Z1230" t="n">
        <v>137</v>
      </c>
      <c r="AA1230" t="n">
        <v>893</v>
      </c>
      <c r="AB1230" t="n">
        <v>2</v>
      </c>
      <c r="AC1230" t="n">
        <v>6</v>
      </c>
      <c r="AD1230" t="n">
        <v>11</v>
      </c>
      <c r="AE1230" t="n">
        <v>41</v>
      </c>
      <c r="AF1230" t="n">
        <v>4</v>
      </c>
      <c r="AG1230" t="n">
        <v>20</v>
      </c>
      <c r="AH1230" t="n">
        <v>3</v>
      </c>
      <c r="AI1230" t="n">
        <v>8</v>
      </c>
      <c r="AJ1230" t="n">
        <v>6</v>
      </c>
      <c r="AK1230" t="n">
        <v>18</v>
      </c>
      <c r="AL1230" t="n">
        <v>1</v>
      </c>
      <c r="AM1230" t="n">
        <v>5</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HYPERLINK("https://creighton-primo.hosted.exlibrisgroup.com/primo-explore/search?tab=default_tab&amp;search_scope=EVERYTHING&amp;vid=01CRU&amp;lang=en_US&amp;offset=0&amp;query=any,contains,991003900989702656","Catalog Record")</f>
        <v/>
      </c>
      <c r="AT1230">
        <f>HYPERLINK("http://www.worldcat.org/oclc/1824054","WorldCat Record")</f>
        <v/>
      </c>
      <c r="AU1230" t="inlineStr">
        <is>
          <t>1446183:eng</t>
        </is>
      </c>
      <c r="AV1230" t="inlineStr">
        <is>
          <t>1824054</t>
        </is>
      </c>
      <c r="AW1230" t="inlineStr">
        <is>
          <t>991003900989702656</t>
        </is>
      </c>
      <c r="AX1230" t="inlineStr">
        <is>
          <t>991003900989702656</t>
        </is>
      </c>
      <c r="AY1230" t="inlineStr">
        <is>
          <t>2257417930002656</t>
        </is>
      </c>
      <c r="AZ1230" t="inlineStr">
        <is>
          <t>BOOK</t>
        </is>
      </c>
      <c r="BC1230" t="inlineStr">
        <is>
          <t>32285001595700</t>
        </is>
      </c>
      <c r="BD1230" t="inlineStr">
        <is>
          <t>893781612</t>
        </is>
      </c>
    </row>
    <row r="1231">
      <c r="A1231" t="inlineStr">
        <is>
          <t>No</t>
        </is>
      </c>
      <c r="B1231" t="inlineStr">
        <is>
          <t>DG571 .G733</t>
        </is>
      </c>
      <c r="C1231" t="inlineStr">
        <is>
          <t>0                      DG 0571000G  733</t>
        </is>
      </c>
      <c r="D1231" t="inlineStr">
        <is>
          <t>Italian fascism and developmental dictatorship / A. James Gregor.</t>
        </is>
      </c>
      <c r="F1231" t="inlineStr">
        <is>
          <t>No</t>
        </is>
      </c>
      <c r="G1231" t="inlineStr">
        <is>
          <t>1</t>
        </is>
      </c>
      <c r="H1231" t="inlineStr">
        <is>
          <t>No</t>
        </is>
      </c>
      <c r="I1231" t="inlineStr">
        <is>
          <t>No</t>
        </is>
      </c>
      <c r="J1231" t="inlineStr">
        <is>
          <t>0</t>
        </is>
      </c>
      <c r="K1231" t="inlineStr">
        <is>
          <t>Gregor, A. James (Anthony James), 1929-</t>
        </is>
      </c>
      <c r="L1231" t="inlineStr">
        <is>
          <t>Princeton, N.J. : Princeton University Press, c1979.</t>
        </is>
      </c>
      <c r="M1231" t="inlineStr">
        <is>
          <t>1979</t>
        </is>
      </c>
      <c r="O1231" t="inlineStr">
        <is>
          <t>eng</t>
        </is>
      </c>
      <c r="P1231" t="inlineStr">
        <is>
          <t>nju</t>
        </is>
      </c>
      <c r="R1231" t="inlineStr">
        <is>
          <t xml:space="preserve">DG </t>
        </is>
      </c>
      <c r="S1231" t="n">
        <v>1</v>
      </c>
      <c r="T1231" t="n">
        <v>1</v>
      </c>
      <c r="U1231" t="inlineStr">
        <is>
          <t>2008-12-03</t>
        </is>
      </c>
      <c r="V1231" t="inlineStr">
        <is>
          <t>2008-12-03</t>
        </is>
      </c>
      <c r="W1231" t="inlineStr">
        <is>
          <t>1993-11-02</t>
        </is>
      </c>
      <c r="X1231" t="inlineStr">
        <is>
          <t>1993-11-02</t>
        </is>
      </c>
      <c r="Y1231" t="n">
        <v>571</v>
      </c>
      <c r="Z1231" t="n">
        <v>403</v>
      </c>
      <c r="AA1231" t="n">
        <v>629</v>
      </c>
      <c r="AB1231" t="n">
        <v>4</v>
      </c>
      <c r="AC1231" t="n">
        <v>6</v>
      </c>
      <c r="AD1231" t="n">
        <v>17</v>
      </c>
      <c r="AE1231" t="n">
        <v>27</v>
      </c>
      <c r="AF1231" t="n">
        <v>5</v>
      </c>
      <c r="AG1231" t="n">
        <v>10</v>
      </c>
      <c r="AH1231" t="n">
        <v>4</v>
      </c>
      <c r="AI1231" t="n">
        <v>8</v>
      </c>
      <c r="AJ1231" t="n">
        <v>10</v>
      </c>
      <c r="AK1231" t="n">
        <v>13</v>
      </c>
      <c r="AL1231" t="n">
        <v>3</v>
      </c>
      <c r="AM1231" t="n">
        <v>4</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HYPERLINK("https://creighton-primo.hosted.exlibrisgroup.com/primo-explore/search?tab=default_tab&amp;search_scope=EVERYTHING&amp;vid=01CRU&amp;lang=en_US&amp;offset=0&amp;query=any,contains,991004774799702656","Catalog Record")</f>
        <v/>
      </c>
      <c r="AT1231">
        <f>HYPERLINK("http://www.worldcat.org/oclc/5100789","WorldCat Record")</f>
        <v/>
      </c>
      <c r="AU1231" t="inlineStr">
        <is>
          <t>441461:eng</t>
        </is>
      </c>
      <c r="AV1231" t="inlineStr">
        <is>
          <t>5100789</t>
        </is>
      </c>
      <c r="AW1231" t="inlineStr">
        <is>
          <t>991004774799702656</t>
        </is>
      </c>
      <c r="AX1231" t="inlineStr">
        <is>
          <t>991004774799702656</t>
        </is>
      </c>
      <c r="AY1231" t="inlineStr">
        <is>
          <t>2258520110002656</t>
        </is>
      </c>
      <c r="AZ1231" t="inlineStr">
        <is>
          <t>BOOK</t>
        </is>
      </c>
      <c r="BB1231" t="inlineStr">
        <is>
          <t>9780691052861</t>
        </is>
      </c>
      <c r="BC1231" t="inlineStr">
        <is>
          <t>32285001796043</t>
        </is>
      </c>
      <c r="BD1231" t="inlineStr">
        <is>
          <t>893247967</t>
        </is>
      </c>
    </row>
    <row r="1232">
      <c r="A1232" t="inlineStr">
        <is>
          <t>No</t>
        </is>
      </c>
      <c r="B1232" t="inlineStr">
        <is>
          <t>DG571 .H23 1964</t>
        </is>
      </c>
      <c r="C1232" t="inlineStr">
        <is>
          <t>0                      DG 0571000H  23          1964</t>
        </is>
      </c>
      <c r="D1232" t="inlineStr">
        <is>
          <t>Mussolini and Italian fascism / S. William Halperin.</t>
        </is>
      </c>
      <c r="F1232" t="inlineStr">
        <is>
          <t>No</t>
        </is>
      </c>
      <c r="G1232" t="inlineStr">
        <is>
          <t>1</t>
        </is>
      </c>
      <c r="H1232" t="inlineStr">
        <is>
          <t>No</t>
        </is>
      </c>
      <c r="I1232" t="inlineStr">
        <is>
          <t>No</t>
        </is>
      </c>
      <c r="J1232" t="inlineStr">
        <is>
          <t>0</t>
        </is>
      </c>
      <c r="K1232" t="inlineStr">
        <is>
          <t>Halperin, Samuel William.</t>
        </is>
      </c>
      <c r="L1232" t="inlineStr">
        <is>
          <t>Princeton, N.J. : Van Nostrand, [1964]</t>
        </is>
      </c>
      <c r="M1232" t="inlineStr">
        <is>
          <t>1964</t>
        </is>
      </c>
      <c r="O1232" t="inlineStr">
        <is>
          <t>eng</t>
        </is>
      </c>
      <c r="P1232" t="inlineStr">
        <is>
          <t>nju</t>
        </is>
      </c>
      <c r="Q1232" t="inlineStr">
        <is>
          <t>An Anvil original</t>
        </is>
      </c>
      <c r="R1232" t="inlineStr">
        <is>
          <t xml:space="preserve">DG </t>
        </is>
      </c>
      <c r="S1232" t="n">
        <v>8</v>
      </c>
      <c r="T1232" t="n">
        <v>8</v>
      </c>
      <c r="U1232" t="inlineStr">
        <is>
          <t>2007-09-10</t>
        </is>
      </c>
      <c r="V1232" t="inlineStr">
        <is>
          <t>2007-09-10</t>
        </is>
      </c>
      <c r="W1232" t="inlineStr">
        <is>
          <t>2001-07-24</t>
        </is>
      </c>
      <c r="X1232" t="inlineStr">
        <is>
          <t>2001-07-24</t>
        </is>
      </c>
      <c r="Y1232" t="n">
        <v>588</v>
      </c>
      <c r="Z1232" t="n">
        <v>452</v>
      </c>
      <c r="AA1232" t="n">
        <v>473</v>
      </c>
      <c r="AB1232" t="n">
        <v>3</v>
      </c>
      <c r="AC1232" t="n">
        <v>3</v>
      </c>
      <c r="AD1232" t="n">
        <v>18</v>
      </c>
      <c r="AE1232" t="n">
        <v>20</v>
      </c>
      <c r="AF1232" t="n">
        <v>7</v>
      </c>
      <c r="AG1232" t="n">
        <v>8</v>
      </c>
      <c r="AH1232" t="n">
        <v>4</v>
      </c>
      <c r="AI1232" t="n">
        <v>5</v>
      </c>
      <c r="AJ1232" t="n">
        <v>10</v>
      </c>
      <c r="AK1232" t="n">
        <v>10</v>
      </c>
      <c r="AL1232" t="n">
        <v>2</v>
      </c>
      <c r="AM1232" t="n">
        <v>2</v>
      </c>
      <c r="AN1232" t="n">
        <v>0</v>
      </c>
      <c r="AO1232" t="n">
        <v>0</v>
      </c>
      <c r="AP1232" t="inlineStr">
        <is>
          <t>No</t>
        </is>
      </c>
      <c r="AQ1232" t="inlineStr">
        <is>
          <t>Yes</t>
        </is>
      </c>
      <c r="AR1232">
        <f>HYPERLINK("http://catalog.hathitrust.org/Record/000349547","HathiTrust Record")</f>
        <v/>
      </c>
      <c r="AS1232">
        <f>HYPERLINK("https://creighton-primo.hosted.exlibrisgroup.com/primo-explore/search?tab=default_tab&amp;search_scope=EVERYTHING&amp;vid=01CRU&amp;lang=en_US&amp;offset=0&amp;query=any,contains,991003591819702656","Catalog Record")</f>
        <v/>
      </c>
      <c r="AT1232">
        <f>HYPERLINK("http://www.worldcat.org/oclc/225174","WorldCat Record")</f>
        <v/>
      </c>
      <c r="AU1232" t="inlineStr">
        <is>
          <t>1335762:eng</t>
        </is>
      </c>
      <c r="AV1232" t="inlineStr">
        <is>
          <t>225174</t>
        </is>
      </c>
      <c r="AW1232" t="inlineStr">
        <is>
          <t>991003591819702656</t>
        </is>
      </c>
      <c r="AX1232" t="inlineStr">
        <is>
          <t>991003591819702656</t>
        </is>
      </c>
      <c r="AY1232" t="inlineStr">
        <is>
          <t>2263739420002656</t>
        </is>
      </c>
      <c r="AZ1232" t="inlineStr">
        <is>
          <t>BOOK</t>
        </is>
      </c>
      <c r="BC1232" t="inlineStr">
        <is>
          <t>32285004334974</t>
        </is>
      </c>
      <c r="BD1232" t="inlineStr">
        <is>
          <t>893435160</t>
        </is>
      </c>
    </row>
    <row r="1233">
      <c r="A1233" t="inlineStr">
        <is>
          <t>No</t>
        </is>
      </c>
      <c r="B1233" t="inlineStr">
        <is>
          <t>DG571 .M2 1972</t>
        </is>
      </c>
      <c r="C1233" t="inlineStr">
        <is>
          <t>0                      DG 0571000M  2           1972</t>
        </is>
      </c>
      <c r="D1233" t="inlineStr">
        <is>
          <t>Italy's foreign and colonial policy, 1914-1937, by Maxwell H. H. Macartney and Paul Cremona.</t>
        </is>
      </c>
      <c r="F1233" t="inlineStr">
        <is>
          <t>No</t>
        </is>
      </c>
      <c r="G1233" t="inlineStr">
        <is>
          <t>1</t>
        </is>
      </c>
      <c r="H1233" t="inlineStr">
        <is>
          <t>No</t>
        </is>
      </c>
      <c r="I1233" t="inlineStr">
        <is>
          <t>No</t>
        </is>
      </c>
      <c r="J1233" t="inlineStr">
        <is>
          <t>0</t>
        </is>
      </c>
      <c r="K1233" t="inlineStr">
        <is>
          <t>Macartney, Maxwell Henry Hayes.</t>
        </is>
      </c>
      <c r="L1233" t="inlineStr">
        <is>
          <t>New York, H. Fertig, 1972.</t>
        </is>
      </c>
      <c r="M1233" t="inlineStr">
        <is>
          <t>1972</t>
        </is>
      </c>
      <c r="O1233" t="inlineStr">
        <is>
          <t>eng</t>
        </is>
      </c>
      <c r="P1233" t="inlineStr">
        <is>
          <t>nyu</t>
        </is>
      </c>
      <c r="R1233" t="inlineStr">
        <is>
          <t xml:space="preserve">DG </t>
        </is>
      </c>
      <c r="S1233" t="n">
        <v>2</v>
      </c>
      <c r="T1233" t="n">
        <v>2</v>
      </c>
      <c r="U1233" t="inlineStr">
        <is>
          <t>1997-10-07</t>
        </is>
      </c>
      <c r="V1233" t="inlineStr">
        <is>
          <t>1997-10-07</t>
        </is>
      </c>
      <c r="W1233" t="inlineStr">
        <is>
          <t>1997-02-05</t>
        </is>
      </c>
      <c r="X1233" t="inlineStr">
        <is>
          <t>1997-02-05</t>
        </is>
      </c>
      <c r="Y1233" t="n">
        <v>208</v>
      </c>
      <c r="Z1233" t="n">
        <v>179</v>
      </c>
      <c r="AA1233" t="n">
        <v>408</v>
      </c>
      <c r="AB1233" t="n">
        <v>2</v>
      </c>
      <c r="AC1233" t="n">
        <v>2</v>
      </c>
      <c r="AD1233" t="n">
        <v>9</v>
      </c>
      <c r="AE1233" t="n">
        <v>21</v>
      </c>
      <c r="AF1233" t="n">
        <v>4</v>
      </c>
      <c r="AG1233" t="n">
        <v>6</v>
      </c>
      <c r="AH1233" t="n">
        <v>1</v>
      </c>
      <c r="AI1233" t="n">
        <v>7</v>
      </c>
      <c r="AJ1233" t="n">
        <v>5</v>
      </c>
      <c r="AK1233" t="n">
        <v>14</v>
      </c>
      <c r="AL1233" t="n">
        <v>1</v>
      </c>
      <c r="AM1233" t="n">
        <v>1</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HYPERLINK("https://creighton-primo.hosted.exlibrisgroup.com/primo-explore/search?tab=default_tab&amp;search_scope=EVERYTHING&amp;vid=01CRU&amp;lang=en_US&amp;offset=0&amp;query=any,contains,991002620899702656","Catalog Record")</f>
        <v/>
      </c>
      <c r="AT1233">
        <f>HYPERLINK("http://www.worldcat.org/oclc/380626","WorldCat Record")</f>
        <v/>
      </c>
      <c r="AU1233" t="inlineStr">
        <is>
          <t>1489241:eng</t>
        </is>
      </c>
      <c r="AV1233" t="inlineStr">
        <is>
          <t>380626</t>
        </is>
      </c>
      <c r="AW1233" t="inlineStr">
        <is>
          <t>991002620899702656</t>
        </is>
      </c>
      <c r="AX1233" t="inlineStr">
        <is>
          <t>991002620899702656</t>
        </is>
      </c>
      <c r="AY1233" t="inlineStr">
        <is>
          <t>2261465400002656</t>
        </is>
      </c>
      <c r="AZ1233" t="inlineStr">
        <is>
          <t>BOOK</t>
        </is>
      </c>
      <c r="BC1233" t="inlineStr">
        <is>
          <t>32285002422441</t>
        </is>
      </c>
      <c r="BD1233" t="inlineStr">
        <is>
          <t>893886501</t>
        </is>
      </c>
    </row>
    <row r="1234">
      <c r="A1234" t="inlineStr">
        <is>
          <t>No</t>
        </is>
      </c>
      <c r="B1234" t="inlineStr">
        <is>
          <t>DG571 .M22 1977</t>
        </is>
      </c>
      <c r="C1234" t="inlineStr">
        <is>
          <t>0                      DG 0571000M  22          1977</t>
        </is>
      </c>
      <c r="D1234" t="inlineStr">
        <is>
          <t>Mussolini's Roman Empire / Denis Mack Smith.</t>
        </is>
      </c>
      <c r="F1234" t="inlineStr">
        <is>
          <t>No</t>
        </is>
      </c>
      <c r="G1234" t="inlineStr">
        <is>
          <t>1</t>
        </is>
      </c>
      <c r="H1234" t="inlineStr">
        <is>
          <t>No</t>
        </is>
      </c>
      <c r="I1234" t="inlineStr">
        <is>
          <t>No</t>
        </is>
      </c>
      <c r="J1234" t="inlineStr">
        <is>
          <t>0</t>
        </is>
      </c>
      <c r="K1234" t="inlineStr">
        <is>
          <t>Mack Smith, Denis, 1920-2017.</t>
        </is>
      </c>
      <c r="L1234" t="inlineStr">
        <is>
          <t>New York : Penguin Books, 1977.</t>
        </is>
      </c>
      <c r="M1234" t="inlineStr">
        <is>
          <t>1977</t>
        </is>
      </c>
      <c r="O1234" t="inlineStr">
        <is>
          <t>eng</t>
        </is>
      </c>
      <c r="P1234" t="inlineStr">
        <is>
          <t>nyu</t>
        </is>
      </c>
      <c r="R1234" t="inlineStr">
        <is>
          <t xml:space="preserve">DG </t>
        </is>
      </c>
      <c r="S1234" t="n">
        <v>8</v>
      </c>
      <c r="T1234" t="n">
        <v>8</v>
      </c>
      <c r="U1234" t="inlineStr">
        <is>
          <t>2010-05-01</t>
        </is>
      </c>
      <c r="V1234" t="inlineStr">
        <is>
          <t>2010-05-01</t>
        </is>
      </c>
      <c r="W1234" t="inlineStr">
        <is>
          <t>2003-02-13</t>
        </is>
      </c>
      <c r="X1234" t="inlineStr">
        <is>
          <t>2003-02-13</t>
        </is>
      </c>
      <c r="Y1234" t="n">
        <v>143</v>
      </c>
      <c r="Z1234" t="n">
        <v>121</v>
      </c>
      <c r="AA1234" t="n">
        <v>966</v>
      </c>
      <c r="AB1234" t="n">
        <v>1</v>
      </c>
      <c r="AC1234" t="n">
        <v>5</v>
      </c>
      <c r="AD1234" t="n">
        <v>8</v>
      </c>
      <c r="AE1234" t="n">
        <v>36</v>
      </c>
      <c r="AF1234" t="n">
        <v>2</v>
      </c>
      <c r="AG1234" t="n">
        <v>13</v>
      </c>
      <c r="AH1234" t="n">
        <v>1</v>
      </c>
      <c r="AI1234" t="n">
        <v>8</v>
      </c>
      <c r="AJ1234" t="n">
        <v>7</v>
      </c>
      <c r="AK1234" t="n">
        <v>21</v>
      </c>
      <c r="AL1234" t="n">
        <v>0</v>
      </c>
      <c r="AM1234" t="n">
        <v>3</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HYPERLINK("https://creighton-primo.hosted.exlibrisgroup.com/primo-explore/search?tab=default_tab&amp;search_scope=EVERYTHING&amp;vid=01CRU&amp;lang=en_US&amp;offset=0&amp;query=any,contains,991003995949702656","Catalog Record")</f>
        <v/>
      </c>
      <c r="AT1234">
        <f>HYPERLINK("http://www.worldcat.org/oclc/2896105","WorldCat Record")</f>
        <v/>
      </c>
      <c r="AU1234" t="inlineStr">
        <is>
          <t>3370991:eng</t>
        </is>
      </c>
      <c r="AV1234" t="inlineStr">
        <is>
          <t>2896105</t>
        </is>
      </c>
      <c r="AW1234" t="inlineStr">
        <is>
          <t>991003995949702656</t>
        </is>
      </c>
      <c r="AX1234" t="inlineStr">
        <is>
          <t>991003995949702656</t>
        </is>
      </c>
      <c r="AY1234" t="inlineStr">
        <is>
          <t>2256384340002656</t>
        </is>
      </c>
      <c r="AZ1234" t="inlineStr">
        <is>
          <t>BOOK</t>
        </is>
      </c>
      <c r="BB1234" t="inlineStr">
        <is>
          <t>9780140038491</t>
        </is>
      </c>
      <c r="BC1234" t="inlineStr">
        <is>
          <t>32285004698956</t>
        </is>
      </c>
      <c r="BD1234" t="inlineStr">
        <is>
          <t>893794360</t>
        </is>
      </c>
    </row>
    <row r="1235">
      <c r="A1235" t="inlineStr">
        <is>
          <t>No</t>
        </is>
      </c>
      <c r="B1235" t="inlineStr">
        <is>
          <t>DG571 .M57 1977</t>
        </is>
      </c>
      <c r="C1235" t="inlineStr">
        <is>
          <t>0                      DG 0571000M  57          1977</t>
        </is>
      </c>
      <c r="D1235" t="inlineStr">
        <is>
          <t>The emergence of political catholicism in Italy : Partito popolare 1919-1926 / John N. Molony.</t>
        </is>
      </c>
      <c r="F1235" t="inlineStr">
        <is>
          <t>No</t>
        </is>
      </c>
      <c r="G1235" t="inlineStr">
        <is>
          <t>1</t>
        </is>
      </c>
      <c r="H1235" t="inlineStr">
        <is>
          <t>No</t>
        </is>
      </c>
      <c r="I1235" t="inlineStr">
        <is>
          <t>No</t>
        </is>
      </c>
      <c r="J1235" t="inlineStr">
        <is>
          <t>0</t>
        </is>
      </c>
      <c r="K1235" t="inlineStr">
        <is>
          <t>Molony, John N. (John Neylon), 1927-</t>
        </is>
      </c>
      <c r="L1235" t="inlineStr">
        <is>
          <t>London : C. Helm ; Totowa, N.J. : Rowman and Littlefield, 1977.</t>
        </is>
      </c>
      <c r="M1235" t="inlineStr">
        <is>
          <t>1977</t>
        </is>
      </c>
      <c r="O1235" t="inlineStr">
        <is>
          <t>eng</t>
        </is>
      </c>
      <c r="P1235" t="inlineStr">
        <is>
          <t>enk</t>
        </is>
      </c>
      <c r="R1235" t="inlineStr">
        <is>
          <t xml:space="preserve">DG </t>
        </is>
      </c>
      <c r="S1235" t="n">
        <v>2</v>
      </c>
      <c r="T1235" t="n">
        <v>2</v>
      </c>
      <c r="U1235" t="inlineStr">
        <is>
          <t>1997-10-07</t>
        </is>
      </c>
      <c r="V1235" t="inlineStr">
        <is>
          <t>1997-10-07</t>
        </is>
      </c>
      <c r="W1235" t="inlineStr">
        <is>
          <t>1997-02-05</t>
        </is>
      </c>
      <c r="X1235" t="inlineStr">
        <is>
          <t>1997-02-05</t>
        </is>
      </c>
      <c r="Y1235" t="n">
        <v>431</v>
      </c>
      <c r="Z1235" t="n">
        <v>305</v>
      </c>
      <c r="AA1235" t="n">
        <v>312</v>
      </c>
      <c r="AB1235" t="n">
        <v>1</v>
      </c>
      <c r="AC1235" t="n">
        <v>1</v>
      </c>
      <c r="AD1235" t="n">
        <v>20</v>
      </c>
      <c r="AE1235" t="n">
        <v>20</v>
      </c>
      <c r="AF1235" t="n">
        <v>6</v>
      </c>
      <c r="AG1235" t="n">
        <v>6</v>
      </c>
      <c r="AH1235" t="n">
        <v>6</v>
      </c>
      <c r="AI1235" t="n">
        <v>6</v>
      </c>
      <c r="AJ1235" t="n">
        <v>16</v>
      </c>
      <c r="AK1235" t="n">
        <v>16</v>
      </c>
      <c r="AL1235" t="n">
        <v>0</v>
      </c>
      <c r="AM1235" t="n">
        <v>0</v>
      </c>
      <c r="AN1235" t="n">
        <v>0</v>
      </c>
      <c r="AO1235" t="n">
        <v>0</v>
      </c>
      <c r="AP1235" t="inlineStr">
        <is>
          <t>No</t>
        </is>
      </c>
      <c r="AQ1235" t="inlineStr">
        <is>
          <t>Yes</t>
        </is>
      </c>
      <c r="AR1235">
        <f>HYPERLINK("http://catalog.hathitrust.org/Record/000086624","HathiTrust Record")</f>
        <v/>
      </c>
      <c r="AS1235">
        <f>HYPERLINK("https://creighton-primo.hosted.exlibrisgroup.com/primo-explore/search?tab=default_tab&amp;search_scope=EVERYTHING&amp;vid=01CRU&amp;lang=en_US&amp;offset=0&amp;query=any,contains,991004177089702656","Catalog Record")</f>
        <v/>
      </c>
      <c r="AT1235">
        <f>HYPERLINK("http://www.worldcat.org/oclc/2597354","WorldCat Record")</f>
        <v/>
      </c>
      <c r="AU1235" t="inlineStr">
        <is>
          <t>827461546:eng</t>
        </is>
      </c>
      <c r="AV1235" t="inlineStr">
        <is>
          <t>2597354</t>
        </is>
      </c>
      <c r="AW1235" t="inlineStr">
        <is>
          <t>991004177089702656</t>
        </is>
      </c>
      <c r="AX1235" t="inlineStr">
        <is>
          <t>991004177089702656</t>
        </is>
      </c>
      <c r="AY1235" t="inlineStr">
        <is>
          <t>2268780920002656</t>
        </is>
      </c>
      <c r="AZ1235" t="inlineStr">
        <is>
          <t>BOOK</t>
        </is>
      </c>
      <c r="BB1235" t="inlineStr">
        <is>
          <t>9780856644122</t>
        </is>
      </c>
      <c r="BC1235" t="inlineStr">
        <is>
          <t>32285002422458</t>
        </is>
      </c>
      <c r="BD1235" t="inlineStr">
        <is>
          <t>893235146</t>
        </is>
      </c>
    </row>
    <row r="1236">
      <c r="A1236" t="inlineStr">
        <is>
          <t>No</t>
        </is>
      </c>
      <c r="B1236" t="inlineStr">
        <is>
          <t>DG571 .M764 1968</t>
        </is>
      </c>
      <c r="C1236" t="inlineStr">
        <is>
          <t>0                      DG 0571000M  764         1968</t>
        </is>
      </c>
      <c r="D1236" t="inlineStr">
        <is>
          <t>Fascism : doctrine and institutions.</t>
        </is>
      </c>
      <c r="F1236" t="inlineStr">
        <is>
          <t>No</t>
        </is>
      </c>
      <c r="G1236" t="inlineStr">
        <is>
          <t>1</t>
        </is>
      </c>
      <c r="H1236" t="inlineStr">
        <is>
          <t>No</t>
        </is>
      </c>
      <c r="I1236" t="inlineStr">
        <is>
          <t>No</t>
        </is>
      </c>
      <c r="J1236" t="inlineStr">
        <is>
          <t>0</t>
        </is>
      </c>
      <c r="K1236" t="inlineStr">
        <is>
          <t>Mussolini, Benito, 1883-1945.</t>
        </is>
      </c>
      <c r="L1236" t="inlineStr">
        <is>
          <t>New York : H. Fertig, 1968.</t>
        </is>
      </c>
      <c r="M1236" t="inlineStr">
        <is>
          <t>1968</t>
        </is>
      </c>
      <c r="O1236" t="inlineStr">
        <is>
          <t>eng</t>
        </is>
      </c>
      <c r="P1236" t="inlineStr">
        <is>
          <t>nyu</t>
        </is>
      </c>
      <c r="R1236" t="inlineStr">
        <is>
          <t xml:space="preserve">DG </t>
        </is>
      </c>
      <c r="S1236" t="n">
        <v>13</v>
      </c>
      <c r="T1236" t="n">
        <v>13</v>
      </c>
      <c r="U1236" t="inlineStr">
        <is>
          <t>2010-04-15</t>
        </is>
      </c>
      <c r="V1236" t="inlineStr">
        <is>
          <t>2010-04-15</t>
        </is>
      </c>
      <c r="W1236" t="inlineStr">
        <is>
          <t>1993-03-31</t>
        </is>
      </c>
      <c r="X1236" t="inlineStr">
        <is>
          <t>1993-03-31</t>
        </is>
      </c>
      <c r="Y1236" t="n">
        <v>425</v>
      </c>
      <c r="Z1236" t="n">
        <v>376</v>
      </c>
      <c r="AA1236" t="n">
        <v>505</v>
      </c>
      <c r="AB1236" t="n">
        <v>4</v>
      </c>
      <c r="AC1236" t="n">
        <v>5</v>
      </c>
      <c r="AD1236" t="n">
        <v>21</v>
      </c>
      <c r="AE1236" t="n">
        <v>32</v>
      </c>
      <c r="AF1236" t="n">
        <v>9</v>
      </c>
      <c r="AG1236" t="n">
        <v>12</v>
      </c>
      <c r="AH1236" t="n">
        <v>3</v>
      </c>
      <c r="AI1236" t="n">
        <v>5</v>
      </c>
      <c r="AJ1236" t="n">
        <v>11</v>
      </c>
      <c r="AK1236" t="n">
        <v>19</v>
      </c>
      <c r="AL1236" t="n">
        <v>3</v>
      </c>
      <c r="AM1236" t="n">
        <v>4</v>
      </c>
      <c r="AN1236" t="n">
        <v>0</v>
      </c>
      <c r="AO1236" t="n">
        <v>0</v>
      </c>
      <c r="AP1236" t="inlineStr">
        <is>
          <t>No</t>
        </is>
      </c>
      <c r="AQ1236" t="inlineStr">
        <is>
          <t>Yes</t>
        </is>
      </c>
      <c r="AR1236">
        <f>HYPERLINK("http://catalog.hathitrust.org/Record/007125334","HathiTrust Record")</f>
        <v/>
      </c>
      <c r="AS1236">
        <f>HYPERLINK("https://creighton-primo.hosted.exlibrisgroup.com/primo-explore/search?tab=default_tab&amp;search_scope=EVERYTHING&amp;vid=01CRU&amp;lang=en_US&amp;offset=0&amp;query=any,contains,991005431809702656","Catalog Record")</f>
        <v/>
      </c>
      <c r="AT1236">
        <f>HYPERLINK("http://www.worldcat.org/oclc/759","WorldCat Record")</f>
        <v/>
      </c>
      <c r="AU1236" t="inlineStr">
        <is>
          <t>3856209093:eng</t>
        </is>
      </c>
      <c r="AV1236" t="inlineStr">
        <is>
          <t>759</t>
        </is>
      </c>
      <c r="AW1236" t="inlineStr">
        <is>
          <t>991005431809702656</t>
        </is>
      </c>
      <c r="AX1236" t="inlineStr">
        <is>
          <t>991005431809702656</t>
        </is>
      </c>
      <c r="AY1236" t="inlineStr">
        <is>
          <t>2272667540002656</t>
        </is>
      </c>
      <c r="AZ1236" t="inlineStr">
        <is>
          <t>BOOK</t>
        </is>
      </c>
      <c r="BC1236" t="inlineStr">
        <is>
          <t>32285001595676</t>
        </is>
      </c>
      <c r="BD1236" t="inlineStr">
        <is>
          <t>893255003</t>
        </is>
      </c>
    </row>
    <row r="1237">
      <c r="A1237" t="inlineStr">
        <is>
          <t>No</t>
        </is>
      </c>
      <c r="B1237" t="inlineStr">
        <is>
          <t>DG571 .S2 1967</t>
        </is>
      </c>
      <c r="C1237" t="inlineStr">
        <is>
          <t>0                      DG 0571000S  2           1967</t>
        </is>
      </c>
      <c r="D1237" t="inlineStr">
        <is>
          <t>The fascist dictatorship in Italy.</t>
        </is>
      </c>
      <c r="F1237" t="inlineStr">
        <is>
          <t>No</t>
        </is>
      </c>
      <c r="G1237" t="inlineStr">
        <is>
          <t>1</t>
        </is>
      </c>
      <c r="H1237" t="inlineStr">
        <is>
          <t>No</t>
        </is>
      </c>
      <c r="I1237" t="inlineStr">
        <is>
          <t>No</t>
        </is>
      </c>
      <c r="J1237" t="inlineStr">
        <is>
          <t>0</t>
        </is>
      </c>
      <c r="K1237" t="inlineStr">
        <is>
          <t>Salvemini, Gaetano, 1873-1957.</t>
        </is>
      </c>
      <c r="L1237" t="inlineStr">
        <is>
          <t>New York : H. Fertig, 1967.</t>
        </is>
      </c>
      <c r="M1237" t="inlineStr">
        <is>
          <t>1967</t>
        </is>
      </c>
      <c r="O1237" t="inlineStr">
        <is>
          <t>eng</t>
        </is>
      </c>
      <c r="P1237" t="inlineStr">
        <is>
          <t>nyu</t>
        </is>
      </c>
      <c r="R1237" t="inlineStr">
        <is>
          <t xml:space="preserve">DG </t>
        </is>
      </c>
      <c r="S1237" t="n">
        <v>7</v>
      </c>
      <c r="T1237" t="n">
        <v>7</v>
      </c>
      <c r="U1237" t="inlineStr">
        <is>
          <t>2008-11-26</t>
        </is>
      </c>
      <c r="V1237" t="inlineStr">
        <is>
          <t>2008-11-26</t>
        </is>
      </c>
      <c r="W1237" t="inlineStr">
        <is>
          <t>1993-03-31</t>
        </is>
      </c>
      <c r="X1237" t="inlineStr">
        <is>
          <t>1993-03-31</t>
        </is>
      </c>
      <c r="Y1237" t="n">
        <v>651</v>
      </c>
      <c r="Z1237" t="n">
        <v>593</v>
      </c>
      <c r="AA1237" t="n">
        <v>774</v>
      </c>
      <c r="AB1237" t="n">
        <v>5</v>
      </c>
      <c r="AC1237" t="n">
        <v>6</v>
      </c>
      <c r="AD1237" t="n">
        <v>31</v>
      </c>
      <c r="AE1237" t="n">
        <v>37</v>
      </c>
      <c r="AF1237" t="n">
        <v>14</v>
      </c>
      <c r="AG1237" t="n">
        <v>16</v>
      </c>
      <c r="AH1237" t="n">
        <v>4</v>
      </c>
      <c r="AI1237" t="n">
        <v>8</v>
      </c>
      <c r="AJ1237" t="n">
        <v>17</v>
      </c>
      <c r="AK1237" t="n">
        <v>18</v>
      </c>
      <c r="AL1237" t="n">
        <v>4</v>
      </c>
      <c r="AM1237" t="n">
        <v>5</v>
      </c>
      <c r="AN1237" t="n">
        <v>0</v>
      </c>
      <c r="AO1237" t="n">
        <v>0</v>
      </c>
      <c r="AP1237" t="inlineStr">
        <is>
          <t>No</t>
        </is>
      </c>
      <c r="AQ1237" t="inlineStr">
        <is>
          <t>Yes</t>
        </is>
      </c>
      <c r="AR1237">
        <f>HYPERLINK("http://catalog.hathitrust.org/Record/004407642","HathiTrust Record")</f>
        <v/>
      </c>
      <c r="AS1237">
        <f>HYPERLINK("https://creighton-primo.hosted.exlibrisgroup.com/primo-explore/search?tab=default_tab&amp;search_scope=EVERYTHING&amp;vid=01CRU&amp;lang=en_US&amp;offset=0&amp;query=any,contains,991002701539702656","Catalog Record")</f>
        <v/>
      </c>
      <c r="AT1237">
        <f>HYPERLINK("http://www.worldcat.org/oclc/405717","WorldCat Record")</f>
        <v/>
      </c>
      <c r="AU1237" t="inlineStr">
        <is>
          <t>1431895:eng</t>
        </is>
      </c>
      <c r="AV1237" t="inlineStr">
        <is>
          <t>405717</t>
        </is>
      </c>
      <c r="AW1237" t="inlineStr">
        <is>
          <t>991002701539702656</t>
        </is>
      </c>
      <c r="AX1237" t="inlineStr">
        <is>
          <t>991002701539702656</t>
        </is>
      </c>
      <c r="AY1237" t="inlineStr">
        <is>
          <t>2260454230002656</t>
        </is>
      </c>
      <c r="AZ1237" t="inlineStr">
        <is>
          <t>BOOK</t>
        </is>
      </c>
      <c r="BC1237" t="inlineStr">
        <is>
          <t>32285001595668</t>
        </is>
      </c>
      <c r="BD1237" t="inlineStr">
        <is>
          <t>893591663</t>
        </is>
      </c>
    </row>
    <row r="1238">
      <c r="A1238" t="inlineStr">
        <is>
          <t>No</t>
        </is>
      </c>
      <c r="B1238" t="inlineStr">
        <is>
          <t>DG571 .S276</t>
        </is>
      </c>
      <c r="C1238" t="inlineStr">
        <is>
          <t>0                      DG 0571000S  276</t>
        </is>
      </c>
      <c r="D1238" t="inlineStr">
        <is>
          <t>The ax within: Italian fascism in action, edited with an introd. by Roland Sarti.</t>
        </is>
      </c>
      <c r="F1238" t="inlineStr">
        <is>
          <t>No</t>
        </is>
      </c>
      <c r="G1238" t="inlineStr">
        <is>
          <t>1</t>
        </is>
      </c>
      <c r="H1238" t="inlineStr">
        <is>
          <t>No</t>
        </is>
      </c>
      <c r="I1238" t="inlineStr">
        <is>
          <t>No</t>
        </is>
      </c>
      <c r="J1238" t="inlineStr">
        <is>
          <t>0</t>
        </is>
      </c>
      <c r="K1238" t="inlineStr">
        <is>
          <t>Sarti, Roland, 1937-, compiler.</t>
        </is>
      </c>
      <c r="L1238" t="inlineStr">
        <is>
          <t>New York, New Viewpoints, 1974.</t>
        </is>
      </c>
      <c r="M1238" t="inlineStr">
        <is>
          <t>1974</t>
        </is>
      </c>
      <c r="O1238" t="inlineStr">
        <is>
          <t>eng</t>
        </is>
      </c>
      <c r="P1238" t="inlineStr">
        <is>
          <t>nyu</t>
        </is>
      </c>
      <c r="Q1238" t="inlineStr">
        <is>
          <t>Modern scholarship on European history</t>
        </is>
      </c>
      <c r="R1238" t="inlineStr">
        <is>
          <t xml:space="preserve">DG </t>
        </is>
      </c>
      <c r="S1238" t="n">
        <v>2</v>
      </c>
      <c r="T1238" t="n">
        <v>2</v>
      </c>
      <c r="U1238" t="inlineStr">
        <is>
          <t>2005-11-22</t>
        </is>
      </c>
      <c r="V1238" t="inlineStr">
        <is>
          <t>2005-11-22</t>
        </is>
      </c>
      <c r="W1238" t="inlineStr">
        <is>
          <t>1997-02-05</t>
        </is>
      </c>
      <c r="X1238" t="inlineStr">
        <is>
          <t>1997-02-05</t>
        </is>
      </c>
      <c r="Y1238" t="n">
        <v>542</v>
      </c>
      <c r="Z1238" t="n">
        <v>415</v>
      </c>
      <c r="AA1238" t="n">
        <v>421</v>
      </c>
      <c r="AB1238" t="n">
        <v>4</v>
      </c>
      <c r="AC1238" t="n">
        <v>4</v>
      </c>
      <c r="AD1238" t="n">
        <v>19</v>
      </c>
      <c r="AE1238" t="n">
        <v>19</v>
      </c>
      <c r="AF1238" t="n">
        <v>7</v>
      </c>
      <c r="AG1238" t="n">
        <v>7</v>
      </c>
      <c r="AH1238" t="n">
        <v>3</v>
      </c>
      <c r="AI1238" t="n">
        <v>3</v>
      </c>
      <c r="AJ1238" t="n">
        <v>10</v>
      </c>
      <c r="AK1238" t="n">
        <v>10</v>
      </c>
      <c r="AL1238" t="n">
        <v>3</v>
      </c>
      <c r="AM1238" t="n">
        <v>3</v>
      </c>
      <c r="AN1238" t="n">
        <v>0</v>
      </c>
      <c r="AO1238" t="n">
        <v>0</v>
      </c>
      <c r="AP1238" t="inlineStr">
        <is>
          <t>No</t>
        </is>
      </c>
      <c r="AQ1238" t="inlineStr">
        <is>
          <t>Yes</t>
        </is>
      </c>
      <c r="AR1238">
        <f>HYPERLINK("http://catalog.hathitrust.org/Record/000009208","HathiTrust Record")</f>
        <v/>
      </c>
      <c r="AS1238">
        <f>HYPERLINK("https://creighton-primo.hosted.exlibrisgroup.com/primo-explore/search?tab=default_tab&amp;search_scope=EVERYTHING&amp;vid=01CRU&amp;lang=en_US&amp;offset=0&amp;query=any,contains,991003113929702656","Catalog Record")</f>
        <v/>
      </c>
      <c r="AT1238">
        <f>HYPERLINK("http://www.worldcat.org/oclc/658963","WorldCat Record")</f>
        <v/>
      </c>
      <c r="AU1238" t="inlineStr">
        <is>
          <t>471265653:eng</t>
        </is>
      </c>
      <c r="AV1238" t="inlineStr">
        <is>
          <t>658963</t>
        </is>
      </c>
      <c r="AW1238" t="inlineStr">
        <is>
          <t>991003113929702656</t>
        </is>
      </c>
      <c r="AX1238" t="inlineStr">
        <is>
          <t>991003113929702656</t>
        </is>
      </c>
      <c r="AY1238" t="inlineStr">
        <is>
          <t>2260447530002656</t>
        </is>
      </c>
      <c r="AZ1238" t="inlineStr">
        <is>
          <t>BOOK</t>
        </is>
      </c>
      <c r="BB1238" t="inlineStr">
        <is>
          <t>9780531063675</t>
        </is>
      </c>
      <c r="BC1238" t="inlineStr">
        <is>
          <t>32285002422474</t>
        </is>
      </c>
      <c r="BD1238" t="inlineStr">
        <is>
          <t>893440940</t>
        </is>
      </c>
    </row>
    <row r="1239">
      <c r="A1239" t="inlineStr">
        <is>
          <t>No</t>
        </is>
      </c>
      <c r="B1239" t="inlineStr">
        <is>
          <t>DG571 .S33</t>
        </is>
      </c>
      <c r="C1239" t="inlineStr">
        <is>
          <t>0                      DG 0571000S  33</t>
        </is>
      </c>
      <c r="D1239" t="inlineStr">
        <is>
          <t>The fascist government of Italy / [by] Herbert W. Schneider.</t>
        </is>
      </c>
      <c r="F1239" t="inlineStr">
        <is>
          <t>No</t>
        </is>
      </c>
      <c r="G1239" t="inlineStr">
        <is>
          <t>1</t>
        </is>
      </c>
      <c r="H1239" t="inlineStr">
        <is>
          <t>No</t>
        </is>
      </c>
      <c r="I1239" t="inlineStr">
        <is>
          <t>No</t>
        </is>
      </c>
      <c r="J1239" t="inlineStr">
        <is>
          <t>0</t>
        </is>
      </c>
      <c r="K1239" t="inlineStr">
        <is>
          <t>Schneider, Herbert W. (Herbert Wallace), 1892-1984.</t>
        </is>
      </c>
      <c r="L1239" t="inlineStr">
        <is>
          <t>New York : D. Van Nostrand company, inc., 1936.</t>
        </is>
      </c>
      <c r="M1239" t="inlineStr">
        <is>
          <t>1936</t>
        </is>
      </c>
      <c r="O1239" t="inlineStr">
        <is>
          <t>eng</t>
        </is>
      </c>
      <c r="P1239" t="inlineStr">
        <is>
          <t>nyu</t>
        </is>
      </c>
      <c r="R1239" t="inlineStr">
        <is>
          <t xml:space="preserve">DG </t>
        </is>
      </c>
      <c r="S1239" t="n">
        <v>5</v>
      </c>
      <c r="T1239" t="n">
        <v>5</v>
      </c>
      <c r="U1239" t="inlineStr">
        <is>
          <t>2008-11-26</t>
        </is>
      </c>
      <c r="V1239" t="inlineStr">
        <is>
          <t>2008-11-26</t>
        </is>
      </c>
      <c r="W1239" t="inlineStr">
        <is>
          <t>1992-03-12</t>
        </is>
      </c>
      <c r="X1239" t="inlineStr">
        <is>
          <t>1992-03-12</t>
        </is>
      </c>
      <c r="Y1239" t="n">
        <v>404</v>
      </c>
      <c r="Z1239" t="n">
        <v>363</v>
      </c>
      <c r="AA1239" t="n">
        <v>437</v>
      </c>
      <c r="AB1239" t="n">
        <v>4</v>
      </c>
      <c r="AC1239" t="n">
        <v>4</v>
      </c>
      <c r="AD1239" t="n">
        <v>20</v>
      </c>
      <c r="AE1239" t="n">
        <v>24</v>
      </c>
      <c r="AF1239" t="n">
        <v>6</v>
      </c>
      <c r="AG1239" t="n">
        <v>8</v>
      </c>
      <c r="AH1239" t="n">
        <v>4</v>
      </c>
      <c r="AI1239" t="n">
        <v>6</v>
      </c>
      <c r="AJ1239" t="n">
        <v>10</v>
      </c>
      <c r="AK1239" t="n">
        <v>11</v>
      </c>
      <c r="AL1239" t="n">
        <v>3</v>
      </c>
      <c r="AM1239" t="n">
        <v>3</v>
      </c>
      <c r="AN1239" t="n">
        <v>0</v>
      </c>
      <c r="AO1239" t="n">
        <v>0</v>
      </c>
      <c r="AP1239" t="inlineStr">
        <is>
          <t>Yes</t>
        </is>
      </c>
      <c r="AQ1239" t="inlineStr">
        <is>
          <t>Yes</t>
        </is>
      </c>
      <c r="AR1239">
        <f>HYPERLINK("http://catalog.hathitrust.org/Record/004407645","HathiTrust Record")</f>
        <v/>
      </c>
      <c r="AS1239">
        <f>HYPERLINK("https://creighton-primo.hosted.exlibrisgroup.com/primo-explore/search?tab=default_tab&amp;search_scope=EVERYTHING&amp;vid=01CRU&amp;lang=en_US&amp;offset=0&amp;query=any,contains,991001836439702656","Catalog Record")</f>
        <v/>
      </c>
      <c r="AT1239">
        <f>HYPERLINK("http://www.worldcat.org/oclc/414627","WorldCat Record")</f>
        <v/>
      </c>
      <c r="AU1239" t="inlineStr">
        <is>
          <t>140732857:eng</t>
        </is>
      </c>
      <c r="AV1239" t="inlineStr">
        <is>
          <t>414627</t>
        </is>
      </c>
      <c r="AW1239" t="inlineStr">
        <is>
          <t>991001836439702656</t>
        </is>
      </c>
      <c r="AX1239" t="inlineStr">
        <is>
          <t>991001836439702656</t>
        </is>
      </c>
      <c r="AY1239" t="inlineStr">
        <is>
          <t>2256162820002656</t>
        </is>
      </c>
      <c r="AZ1239" t="inlineStr">
        <is>
          <t>BOOK</t>
        </is>
      </c>
      <c r="BC1239" t="inlineStr">
        <is>
          <t>32285000998798</t>
        </is>
      </c>
      <c r="BD1239" t="inlineStr">
        <is>
          <t>893779123</t>
        </is>
      </c>
    </row>
    <row r="1240">
      <c r="A1240" t="inlineStr">
        <is>
          <t>No</t>
        </is>
      </c>
      <c r="B1240" t="inlineStr">
        <is>
          <t>DG571 .S35</t>
        </is>
      </c>
      <c r="C1240" t="inlineStr">
        <is>
          <t>0                      DG 0571000S  35</t>
        </is>
      </c>
      <c r="D1240" t="inlineStr">
        <is>
          <t>Making the fascist state / by Herbert W. Schneider.</t>
        </is>
      </c>
      <c r="F1240" t="inlineStr">
        <is>
          <t>No</t>
        </is>
      </c>
      <c r="G1240" t="inlineStr">
        <is>
          <t>1</t>
        </is>
      </c>
      <c r="H1240" t="inlineStr">
        <is>
          <t>No</t>
        </is>
      </c>
      <c r="I1240" t="inlineStr">
        <is>
          <t>No</t>
        </is>
      </c>
      <c r="J1240" t="inlineStr">
        <is>
          <t>0</t>
        </is>
      </c>
      <c r="K1240" t="inlineStr">
        <is>
          <t>Schneider, Herbert W. (Herbert Wallace), 1892-1984.</t>
        </is>
      </c>
      <c r="L1240" t="inlineStr">
        <is>
          <t>New York [etc.] Oxford University Press, 1928.</t>
        </is>
      </c>
      <c r="M1240" t="inlineStr">
        <is>
          <t>1928</t>
        </is>
      </c>
      <c r="O1240" t="inlineStr">
        <is>
          <t>eng</t>
        </is>
      </c>
      <c r="P1240" t="inlineStr">
        <is>
          <t>nyu</t>
        </is>
      </c>
      <c r="R1240" t="inlineStr">
        <is>
          <t xml:space="preserve">DG </t>
        </is>
      </c>
      <c r="S1240" t="n">
        <v>1</v>
      </c>
      <c r="T1240" t="n">
        <v>1</v>
      </c>
      <c r="U1240" t="inlineStr">
        <is>
          <t>2003-09-25</t>
        </is>
      </c>
      <c r="V1240" t="inlineStr">
        <is>
          <t>2003-09-25</t>
        </is>
      </c>
      <c r="W1240" t="inlineStr">
        <is>
          <t>1997-02-25</t>
        </is>
      </c>
      <c r="X1240" t="inlineStr">
        <is>
          <t>1997-02-25</t>
        </is>
      </c>
      <c r="Y1240" t="n">
        <v>354</v>
      </c>
      <c r="Z1240" t="n">
        <v>298</v>
      </c>
      <c r="AA1240" t="n">
        <v>632</v>
      </c>
      <c r="AB1240" t="n">
        <v>4</v>
      </c>
      <c r="AC1240" t="n">
        <v>5</v>
      </c>
      <c r="AD1240" t="n">
        <v>9</v>
      </c>
      <c r="AE1240" t="n">
        <v>28</v>
      </c>
      <c r="AF1240" t="n">
        <v>3</v>
      </c>
      <c r="AG1240" t="n">
        <v>11</v>
      </c>
      <c r="AH1240" t="n">
        <v>2</v>
      </c>
      <c r="AI1240" t="n">
        <v>5</v>
      </c>
      <c r="AJ1240" t="n">
        <v>2</v>
      </c>
      <c r="AK1240" t="n">
        <v>13</v>
      </c>
      <c r="AL1240" t="n">
        <v>3</v>
      </c>
      <c r="AM1240" t="n">
        <v>4</v>
      </c>
      <c r="AN1240" t="n">
        <v>0</v>
      </c>
      <c r="AO1240" t="n">
        <v>0</v>
      </c>
      <c r="AP1240" t="inlineStr">
        <is>
          <t>Yes</t>
        </is>
      </c>
      <c r="AQ1240" t="inlineStr">
        <is>
          <t>No</t>
        </is>
      </c>
      <c r="AR1240">
        <f>HYPERLINK("http://catalog.hathitrust.org/Record/005666089","HathiTrust Record")</f>
        <v/>
      </c>
      <c r="AS1240">
        <f>HYPERLINK("https://creighton-primo.hosted.exlibrisgroup.com/primo-explore/search?tab=default_tab&amp;search_scope=EVERYTHING&amp;vid=01CRU&amp;lang=en_US&amp;offset=0&amp;query=any,contains,991003321889702656","Catalog Record")</f>
        <v/>
      </c>
      <c r="AT1240">
        <f>HYPERLINK("http://www.worldcat.org/oclc/849923","WorldCat Record")</f>
        <v/>
      </c>
      <c r="AU1240" t="inlineStr">
        <is>
          <t>140731167:eng</t>
        </is>
      </c>
      <c r="AV1240" t="inlineStr">
        <is>
          <t>849923</t>
        </is>
      </c>
      <c r="AW1240" t="inlineStr">
        <is>
          <t>991003321889702656</t>
        </is>
      </c>
      <c r="AX1240" t="inlineStr">
        <is>
          <t>991003321889702656</t>
        </is>
      </c>
      <c r="AY1240" t="inlineStr">
        <is>
          <t>2269388590002656</t>
        </is>
      </c>
      <c r="AZ1240" t="inlineStr">
        <is>
          <t>BOOK</t>
        </is>
      </c>
      <c r="BC1240" t="inlineStr">
        <is>
          <t>32285002469335</t>
        </is>
      </c>
      <c r="BD1240" t="inlineStr">
        <is>
          <t>893240087</t>
        </is>
      </c>
    </row>
    <row r="1241">
      <c r="A1241" t="inlineStr">
        <is>
          <t>No</t>
        </is>
      </c>
      <c r="B1241" t="inlineStr">
        <is>
          <t>DG571 .T353 1966</t>
        </is>
      </c>
      <c r="C1241" t="inlineStr">
        <is>
          <t>0                      DG 0571000T  353         1966</t>
        </is>
      </c>
      <c r="D1241" t="inlineStr">
        <is>
          <t>The rise of Italian fascism, 1918-1922, by A. Rossi. With a pref. by Herman Finer. Translated by Peter and Dorothy Wait.</t>
        </is>
      </c>
      <c r="F1241" t="inlineStr">
        <is>
          <t>No</t>
        </is>
      </c>
      <c r="G1241" t="inlineStr">
        <is>
          <t>1</t>
        </is>
      </c>
      <c r="H1241" t="inlineStr">
        <is>
          <t>No</t>
        </is>
      </c>
      <c r="I1241" t="inlineStr">
        <is>
          <t>No</t>
        </is>
      </c>
      <c r="J1241" t="inlineStr">
        <is>
          <t>0</t>
        </is>
      </c>
      <c r="K1241" t="inlineStr">
        <is>
          <t>Tasca, Angelo, 1892-1960.</t>
        </is>
      </c>
      <c r="L1241" t="inlineStr">
        <is>
          <t>New York, H. Fertig, 1966.</t>
        </is>
      </c>
      <c r="M1241" t="inlineStr">
        <is>
          <t>1966</t>
        </is>
      </c>
      <c r="N1241" t="inlineStr">
        <is>
          <t>[1st American ed.]</t>
        </is>
      </c>
      <c r="O1241" t="inlineStr">
        <is>
          <t>eng</t>
        </is>
      </c>
      <c r="P1241" t="inlineStr">
        <is>
          <t>nyu</t>
        </is>
      </c>
      <c r="R1241" t="inlineStr">
        <is>
          <t xml:space="preserve">DG </t>
        </is>
      </c>
      <c r="S1241" t="n">
        <v>1</v>
      </c>
      <c r="T1241" t="n">
        <v>1</v>
      </c>
      <c r="U1241" t="inlineStr">
        <is>
          <t>2008-12-03</t>
        </is>
      </c>
      <c r="V1241" t="inlineStr">
        <is>
          <t>2008-12-03</t>
        </is>
      </c>
      <c r="W1241" t="inlineStr">
        <is>
          <t>1997-02-05</t>
        </is>
      </c>
      <c r="X1241" t="inlineStr">
        <is>
          <t>1997-02-05</t>
        </is>
      </c>
      <c r="Y1241" t="n">
        <v>556</v>
      </c>
      <c r="Z1241" t="n">
        <v>507</v>
      </c>
      <c r="AA1241" t="n">
        <v>601</v>
      </c>
      <c r="AB1241" t="n">
        <v>3</v>
      </c>
      <c r="AC1241" t="n">
        <v>4</v>
      </c>
      <c r="AD1241" t="n">
        <v>26</v>
      </c>
      <c r="AE1241" t="n">
        <v>33</v>
      </c>
      <c r="AF1241" t="n">
        <v>13</v>
      </c>
      <c r="AG1241" t="n">
        <v>14</v>
      </c>
      <c r="AH1241" t="n">
        <v>5</v>
      </c>
      <c r="AI1241" t="n">
        <v>8</v>
      </c>
      <c r="AJ1241" t="n">
        <v>16</v>
      </c>
      <c r="AK1241" t="n">
        <v>18</v>
      </c>
      <c r="AL1241" t="n">
        <v>2</v>
      </c>
      <c r="AM1241" t="n">
        <v>3</v>
      </c>
      <c r="AN1241" t="n">
        <v>0</v>
      </c>
      <c r="AO1241" t="n">
        <v>0</v>
      </c>
      <c r="AP1241" t="inlineStr">
        <is>
          <t>No</t>
        </is>
      </c>
      <c r="AQ1241" t="inlineStr">
        <is>
          <t>Yes</t>
        </is>
      </c>
      <c r="AR1241">
        <f>HYPERLINK("http://catalog.hathitrust.org/Record/007479745","HathiTrust Record")</f>
        <v/>
      </c>
      <c r="AS1241">
        <f>HYPERLINK("https://creighton-primo.hosted.exlibrisgroup.com/primo-explore/search?tab=default_tab&amp;search_scope=EVERYTHING&amp;vid=01CRU&amp;lang=en_US&amp;offset=0&amp;query=any,contains,991002797669702656","Catalog Record")</f>
        <v/>
      </c>
      <c r="AT1241">
        <f>HYPERLINK("http://www.worldcat.org/oclc/445775","WorldCat Record")</f>
        <v/>
      </c>
      <c r="AU1241" t="inlineStr">
        <is>
          <t>1118744696:eng</t>
        </is>
      </c>
      <c r="AV1241" t="inlineStr">
        <is>
          <t>445775</t>
        </is>
      </c>
      <c r="AW1241" t="inlineStr">
        <is>
          <t>991002797669702656</t>
        </is>
      </c>
      <c r="AX1241" t="inlineStr">
        <is>
          <t>991002797669702656</t>
        </is>
      </c>
      <c r="AY1241" t="inlineStr">
        <is>
          <t>2263043460002656</t>
        </is>
      </c>
      <c r="AZ1241" t="inlineStr">
        <is>
          <t>BOOK</t>
        </is>
      </c>
      <c r="BC1241" t="inlineStr">
        <is>
          <t>32285002422490</t>
        </is>
      </c>
      <c r="BD1241" t="inlineStr">
        <is>
          <t>893704532</t>
        </is>
      </c>
    </row>
    <row r="1242">
      <c r="A1242" t="inlineStr">
        <is>
          <t>No</t>
        </is>
      </c>
      <c r="B1242" t="inlineStr">
        <is>
          <t>DG571.A2 S63</t>
        </is>
      </c>
      <c r="C1242" t="inlineStr">
        <is>
          <t>0                      DG 0571000A  2                  S  63</t>
        </is>
      </c>
      <c r="D1242" t="inlineStr">
        <is>
          <t>Secrets of the Fascist era : how Uncle Sam obtained some of the top-level documents of Mussolini's period / Howard McGaw Smyth.</t>
        </is>
      </c>
      <c r="F1242" t="inlineStr">
        <is>
          <t>No</t>
        </is>
      </c>
      <c r="G1242" t="inlineStr">
        <is>
          <t>1</t>
        </is>
      </c>
      <c r="H1242" t="inlineStr">
        <is>
          <t>No</t>
        </is>
      </c>
      <c r="I1242" t="inlineStr">
        <is>
          <t>No</t>
        </is>
      </c>
      <c r="J1242" t="inlineStr">
        <is>
          <t>0</t>
        </is>
      </c>
      <c r="K1242" t="inlineStr">
        <is>
          <t>Smyth, Howard McGaw.</t>
        </is>
      </c>
      <c r="L1242" t="inlineStr">
        <is>
          <t>Carbondale : Southern Illinois University Press, [1975]</t>
        </is>
      </c>
      <c r="M1242" t="inlineStr">
        <is>
          <t>1975</t>
        </is>
      </c>
      <c r="O1242" t="inlineStr">
        <is>
          <t>eng</t>
        </is>
      </c>
      <c r="P1242" t="inlineStr">
        <is>
          <t>ilu</t>
        </is>
      </c>
      <c r="R1242" t="inlineStr">
        <is>
          <t xml:space="preserve">DG </t>
        </is>
      </c>
      <c r="S1242" t="n">
        <v>5</v>
      </c>
      <c r="T1242" t="n">
        <v>5</v>
      </c>
      <c r="U1242" t="inlineStr">
        <is>
          <t>2007-09-10</t>
        </is>
      </c>
      <c r="V1242" t="inlineStr">
        <is>
          <t>2007-09-10</t>
        </is>
      </c>
      <c r="W1242" t="inlineStr">
        <is>
          <t>1997-02-05</t>
        </is>
      </c>
      <c r="X1242" t="inlineStr">
        <is>
          <t>1997-02-05</t>
        </is>
      </c>
      <c r="Y1242" t="n">
        <v>487</v>
      </c>
      <c r="Z1242" t="n">
        <v>431</v>
      </c>
      <c r="AA1242" t="n">
        <v>456</v>
      </c>
      <c r="AB1242" t="n">
        <v>3</v>
      </c>
      <c r="AC1242" t="n">
        <v>3</v>
      </c>
      <c r="AD1242" t="n">
        <v>20</v>
      </c>
      <c r="AE1242" t="n">
        <v>21</v>
      </c>
      <c r="AF1242" t="n">
        <v>7</v>
      </c>
      <c r="AG1242" t="n">
        <v>8</v>
      </c>
      <c r="AH1242" t="n">
        <v>7</v>
      </c>
      <c r="AI1242" t="n">
        <v>7</v>
      </c>
      <c r="AJ1242" t="n">
        <v>11</v>
      </c>
      <c r="AK1242" t="n">
        <v>12</v>
      </c>
      <c r="AL1242" t="n">
        <v>2</v>
      </c>
      <c r="AM1242" t="n">
        <v>2</v>
      </c>
      <c r="AN1242" t="n">
        <v>0</v>
      </c>
      <c r="AO1242" t="n">
        <v>0</v>
      </c>
      <c r="AP1242" t="inlineStr">
        <is>
          <t>No</t>
        </is>
      </c>
      <c r="AQ1242" t="inlineStr">
        <is>
          <t>Yes</t>
        </is>
      </c>
      <c r="AR1242">
        <f>HYPERLINK("http://catalog.hathitrust.org/Record/000347758","HathiTrust Record")</f>
        <v/>
      </c>
      <c r="AS1242">
        <f>HYPERLINK("https://creighton-primo.hosted.exlibrisgroup.com/primo-explore/search?tab=default_tab&amp;search_scope=EVERYTHING&amp;vid=01CRU&amp;lang=en_US&amp;offset=0&amp;query=any,contains,991003565349702656","Catalog Record")</f>
        <v/>
      </c>
      <c r="AT1242">
        <f>HYPERLINK("http://www.worldcat.org/oclc/1137941","WorldCat Record")</f>
        <v/>
      </c>
      <c r="AU1242" t="inlineStr">
        <is>
          <t>288657489:eng</t>
        </is>
      </c>
      <c r="AV1242" t="inlineStr">
        <is>
          <t>1137941</t>
        </is>
      </c>
      <c r="AW1242" t="inlineStr">
        <is>
          <t>991003565349702656</t>
        </is>
      </c>
      <c r="AX1242" t="inlineStr">
        <is>
          <t>991003565349702656</t>
        </is>
      </c>
      <c r="AY1242" t="inlineStr">
        <is>
          <t>2268461010002656</t>
        </is>
      </c>
      <c r="AZ1242" t="inlineStr">
        <is>
          <t>BOOK</t>
        </is>
      </c>
      <c r="BB1242" t="inlineStr">
        <is>
          <t>9780809306961</t>
        </is>
      </c>
      <c r="BC1242" t="inlineStr">
        <is>
          <t>32285002422409</t>
        </is>
      </c>
      <c r="BD1242" t="inlineStr">
        <is>
          <t>893787460</t>
        </is>
      </c>
    </row>
    <row r="1243">
      <c r="A1243" t="inlineStr">
        <is>
          <t>No</t>
        </is>
      </c>
      <c r="B1243" t="inlineStr">
        <is>
          <t>DG572 .D38 1966, v.3</t>
        </is>
      </c>
      <c r="C1243" t="inlineStr">
        <is>
          <t>0                      DG 0572000D  38          1966                                        v.3</t>
        </is>
      </c>
      <c r="D1243" t="inlineStr">
        <is>
          <t>The six hundred days of Mussolini.</t>
        </is>
      </c>
      <c r="E1243" t="inlineStr">
        <is>
          <t>V.3</t>
        </is>
      </c>
      <c r="F1243" t="inlineStr">
        <is>
          <t>No</t>
        </is>
      </c>
      <c r="G1243" t="inlineStr">
        <is>
          <t>1</t>
        </is>
      </c>
      <c r="H1243" t="inlineStr">
        <is>
          <t>No</t>
        </is>
      </c>
      <c r="I1243" t="inlineStr">
        <is>
          <t>No</t>
        </is>
      </c>
      <c r="J1243" t="inlineStr">
        <is>
          <t>0</t>
        </is>
      </c>
      <c r="K1243" t="inlineStr">
        <is>
          <t>Deakin, F. W. (Frederick William), 1913-2005.</t>
        </is>
      </c>
      <c r="L1243" t="inlineStr">
        <is>
          <t>Garden City, N.Y. : Anchor Books, [1966]</t>
        </is>
      </c>
      <c r="M1243" t="inlineStr">
        <is>
          <t>1966</t>
        </is>
      </c>
      <c r="N1243" t="inlineStr">
        <is>
          <t>Rev. by the author.</t>
        </is>
      </c>
      <c r="O1243" t="inlineStr">
        <is>
          <t>eng</t>
        </is>
      </c>
      <c r="P1243" t="inlineStr">
        <is>
          <t xml:space="preserve">xx </t>
        </is>
      </c>
      <c r="R1243" t="inlineStr">
        <is>
          <t xml:space="preserve">DG </t>
        </is>
      </c>
      <c r="S1243" t="n">
        <v>6</v>
      </c>
      <c r="T1243" t="n">
        <v>6</v>
      </c>
      <c r="U1243" t="inlineStr">
        <is>
          <t>2008-11-26</t>
        </is>
      </c>
      <c r="V1243" t="inlineStr">
        <is>
          <t>2008-11-26</t>
        </is>
      </c>
      <c r="W1243" t="inlineStr">
        <is>
          <t>1997-02-12</t>
        </is>
      </c>
      <c r="X1243" t="inlineStr">
        <is>
          <t>1997-02-12</t>
        </is>
      </c>
      <c r="Y1243" t="n">
        <v>103</v>
      </c>
      <c r="Z1243" t="n">
        <v>102</v>
      </c>
      <c r="AA1243" t="n">
        <v>109</v>
      </c>
      <c r="AB1243" t="n">
        <v>2</v>
      </c>
      <c r="AC1243" t="n">
        <v>2</v>
      </c>
      <c r="AD1243" t="n">
        <v>6</v>
      </c>
      <c r="AE1243" t="n">
        <v>7</v>
      </c>
      <c r="AF1243" t="n">
        <v>1</v>
      </c>
      <c r="AG1243" t="n">
        <v>1</v>
      </c>
      <c r="AH1243" t="n">
        <v>1</v>
      </c>
      <c r="AI1243" t="n">
        <v>1</v>
      </c>
      <c r="AJ1243" t="n">
        <v>5</v>
      </c>
      <c r="AK1243" t="n">
        <v>6</v>
      </c>
      <c r="AL1243" t="n">
        <v>1</v>
      </c>
      <c r="AM1243" t="n">
        <v>1</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HYPERLINK("https://creighton-primo.hosted.exlibrisgroup.com/primo-explore/search?tab=default_tab&amp;search_scope=EVERYTHING&amp;vid=01CRU&amp;lang=en_US&amp;offset=0&amp;query=any,contains,991002701569702656","Catalog Record")</f>
        <v/>
      </c>
      <c r="AT1243">
        <f>HYPERLINK("http://www.worldcat.org/oclc/405720","WorldCat Record")</f>
        <v/>
      </c>
      <c r="AU1243" t="inlineStr">
        <is>
          <t>155210653:eng</t>
        </is>
      </c>
      <c r="AV1243" t="inlineStr">
        <is>
          <t>405720</t>
        </is>
      </c>
      <c r="AW1243" t="inlineStr">
        <is>
          <t>991002701569702656</t>
        </is>
      </c>
      <c r="AX1243" t="inlineStr">
        <is>
          <t>991002701569702656</t>
        </is>
      </c>
      <c r="AY1243" t="inlineStr">
        <is>
          <t>2260443150002656</t>
        </is>
      </c>
      <c r="AZ1243" t="inlineStr">
        <is>
          <t>BOOK</t>
        </is>
      </c>
      <c r="BC1243" t="inlineStr">
        <is>
          <t>32285002436664</t>
        </is>
      </c>
      <c r="BD1243" t="inlineStr">
        <is>
          <t>893698137</t>
        </is>
      </c>
    </row>
    <row r="1244">
      <c r="A1244" t="inlineStr">
        <is>
          <t>No</t>
        </is>
      </c>
      <c r="B1244" t="inlineStr">
        <is>
          <t>DG572 .K56</t>
        </is>
      </c>
      <c r="C1244" t="inlineStr">
        <is>
          <t>0                      DG 0572000K  56</t>
        </is>
      </c>
      <c r="D1244" t="inlineStr">
        <is>
          <t>Mussolini unleashed, 1939-1941 : politics and strategy in fascist Italy's last war / MacGregor Knox.</t>
        </is>
      </c>
      <c r="F1244" t="inlineStr">
        <is>
          <t>No</t>
        </is>
      </c>
      <c r="G1244" t="inlineStr">
        <is>
          <t>1</t>
        </is>
      </c>
      <c r="H1244" t="inlineStr">
        <is>
          <t>No</t>
        </is>
      </c>
      <c r="I1244" t="inlineStr">
        <is>
          <t>No</t>
        </is>
      </c>
      <c r="J1244" t="inlineStr">
        <is>
          <t>0</t>
        </is>
      </c>
      <c r="K1244" t="inlineStr">
        <is>
          <t>Knox, MacGregor.</t>
        </is>
      </c>
      <c r="L1244" t="inlineStr">
        <is>
          <t>Cambridge ; New York : Cambridge University Press, 1982.</t>
        </is>
      </c>
      <c r="M1244" t="inlineStr">
        <is>
          <t>1982</t>
        </is>
      </c>
      <c r="O1244" t="inlineStr">
        <is>
          <t>eng</t>
        </is>
      </c>
      <c r="P1244" t="inlineStr">
        <is>
          <t>enk</t>
        </is>
      </c>
      <c r="R1244" t="inlineStr">
        <is>
          <t xml:space="preserve">DG </t>
        </is>
      </c>
      <c r="S1244" t="n">
        <v>8</v>
      </c>
      <c r="T1244" t="n">
        <v>8</v>
      </c>
      <c r="U1244" t="inlineStr">
        <is>
          <t>2010-05-01</t>
        </is>
      </c>
      <c r="V1244" t="inlineStr">
        <is>
          <t>2010-05-01</t>
        </is>
      </c>
      <c r="W1244" t="inlineStr">
        <is>
          <t>1990-03-21</t>
        </is>
      </c>
      <c r="X1244" t="inlineStr">
        <is>
          <t>1990-03-21</t>
        </is>
      </c>
      <c r="Y1244" t="n">
        <v>611</v>
      </c>
      <c r="Z1244" t="n">
        <v>436</v>
      </c>
      <c r="AA1244" t="n">
        <v>665</v>
      </c>
      <c r="AB1244" t="n">
        <v>3</v>
      </c>
      <c r="AC1244" t="n">
        <v>5</v>
      </c>
      <c r="AD1244" t="n">
        <v>22</v>
      </c>
      <c r="AE1244" t="n">
        <v>37</v>
      </c>
      <c r="AF1244" t="n">
        <v>5</v>
      </c>
      <c r="AG1244" t="n">
        <v>13</v>
      </c>
      <c r="AH1244" t="n">
        <v>7</v>
      </c>
      <c r="AI1244" t="n">
        <v>10</v>
      </c>
      <c r="AJ1244" t="n">
        <v>15</v>
      </c>
      <c r="AK1244" t="n">
        <v>21</v>
      </c>
      <c r="AL1244" t="n">
        <v>2</v>
      </c>
      <c r="AM1244" t="n">
        <v>4</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HYPERLINK("https://creighton-primo.hosted.exlibrisgroup.com/primo-explore/search?tab=default_tab&amp;search_scope=EVERYTHING&amp;vid=01CRU&amp;lang=en_US&amp;offset=0&amp;query=any,contains,991005160249702656","Catalog Record")</f>
        <v/>
      </c>
      <c r="AT1244">
        <f>HYPERLINK("http://www.worldcat.org/oclc/7775314","WorldCat Record")</f>
        <v/>
      </c>
      <c r="AU1244" t="inlineStr">
        <is>
          <t>862927935:eng</t>
        </is>
      </c>
      <c r="AV1244" t="inlineStr">
        <is>
          <t>7775314</t>
        </is>
      </c>
      <c r="AW1244" t="inlineStr">
        <is>
          <t>991005160249702656</t>
        </is>
      </c>
      <c r="AX1244" t="inlineStr">
        <is>
          <t>991005160249702656</t>
        </is>
      </c>
      <c r="AY1244" t="inlineStr">
        <is>
          <t>2270466090002656</t>
        </is>
      </c>
      <c r="AZ1244" t="inlineStr">
        <is>
          <t>BOOK</t>
        </is>
      </c>
      <c r="BB1244" t="inlineStr">
        <is>
          <t>9780521239172</t>
        </is>
      </c>
      <c r="BC1244" t="inlineStr">
        <is>
          <t>32285000089382</t>
        </is>
      </c>
      <c r="BD1244" t="inlineStr">
        <is>
          <t>893719887</t>
        </is>
      </c>
    </row>
    <row r="1245">
      <c r="A1245" t="inlineStr">
        <is>
          <t>No</t>
        </is>
      </c>
      <c r="B1245" t="inlineStr">
        <is>
          <t>DG575.C5 A3</t>
        </is>
      </c>
      <c r="C1245" t="inlineStr">
        <is>
          <t>0                      DG 0575000C  5                  A  3</t>
        </is>
      </c>
      <c r="D1245" t="inlineStr">
        <is>
          <t>The Ciano diaries, 1939-1943; the complete, unabridged diaries of Count Galeazzo Ciano, Italian minister for foreign affairs, 1936-1943; edited by Hugh Gibson; introduction by Summer Welles.</t>
        </is>
      </c>
      <c r="F1245" t="inlineStr">
        <is>
          <t>No</t>
        </is>
      </c>
      <c r="G1245" t="inlineStr">
        <is>
          <t>1</t>
        </is>
      </c>
      <c r="H1245" t="inlineStr">
        <is>
          <t>No</t>
        </is>
      </c>
      <c r="I1245" t="inlineStr">
        <is>
          <t>No</t>
        </is>
      </c>
      <c r="J1245" t="inlineStr">
        <is>
          <t>0</t>
        </is>
      </c>
      <c r="K1245" t="inlineStr">
        <is>
          <t>Ciano, Galeazzo, conte, 1903-1944.</t>
        </is>
      </c>
      <c r="L1245" t="inlineStr">
        <is>
          <t>New York, Doubleday, 1946.</t>
        </is>
      </c>
      <c r="M1245" t="inlineStr">
        <is>
          <t>1946</t>
        </is>
      </c>
      <c r="O1245" t="inlineStr">
        <is>
          <t>eng</t>
        </is>
      </c>
      <c r="P1245" t="inlineStr">
        <is>
          <t xml:space="preserve">xx </t>
        </is>
      </c>
      <c r="R1245" t="inlineStr">
        <is>
          <t xml:space="preserve">DG </t>
        </is>
      </c>
      <c r="S1245" t="n">
        <v>1</v>
      </c>
      <c r="T1245" t="n">
        <v>1</v>
      </c>
      <c r="U1245" t="inlineStr">
        <is>
          <t>2010-05-01</t>
        </is>
      </c>
      <c r="V1245" t="inlineStr">
        <is>
          <t>2010-05-01</t>
        </is>
      </c>
      <c r="W1245" t="inlineStr">
        <is>
          <t>1997-02-05</t>
        </is>
      </c>
      <c r="X1245" t="inlineStr">
        <is>
          <t>1997-02-05</t>
        </is>
      </c>
      <c r="Y1245" t="n">
        <v>1015</v>
      </c>
      <c r="Z1245" t="n">
        <v>937</v>
      </c>
      <c r="AA1245" t="n">
        <v>1131</v>
      </c>
      <c r="AB1245" t="n">
        <v>10</v>
      </c>
      <c r="AC1245" t="n">
        <v>11</v>
      </c>
      <c r="AD1245" t="n">
        <v>48</v>
      </c>
      <c r="AE1245" t="n">
        <v>51</v>
      </c>
      <c r="AF1245" t="n">
        <v>20</v>
      </c>
      <c r="AG1245" t="n">
        <v>21</v>
      </c>
      <c r="AH1245" t="n">
        <v>8</v>
      </c>
      <c r="AI1245" t="n">
        <v>8</v>
      </c>
      <c r="AJ1245" t="n">
        <v>24</v>
      </c>
      <c r="AK1245" t="n">
        <v>25</v>
      </c>
      <c r="AL1245" t="n">
        <v>7</v>
      </c>
      <c r="AM1245" t="n">
        <v>8</v>
      </c>
      <c r="AN1245" t="n">
        <v>0</v>
      </c>
      <c r="AO1245" t="n">
        <v>0</v>
      </c>
      <c r="AP1245" t="inlineStr">
        <is>
          <t>No</t>
        </is>
      </c>
      <c r="AQ1245" t="inlineStr">
        <is>
          <t>Yes</t>
        </is>
      </c>
      <c r="AR1245">
        <f>HYPERLINK("http://catalog.hathitrust.org/Record/000489903","HathiTrust Record")</f>
        <v/>
      </c>
      <c r="AS1245">
        <f>HYPERLINK("https://creighton-primo.hosted.exlibrisgroup.com/primo-explore/search?tab=default_tab&amp;search_scope=EVERYTHING&amp;vid=01CRU&amp;lang=en_US&amp;offset=0&amp;query=any,contains,991001922899702656","Catalog Record")</f>
        <v/>
      </c>
      <c r="AT1245">
        <f>HYPERLINK("http://www.worldcat.org/oclc/245645","WorldCat Record")</f>
        <v/>
      </c>
      <c r="AU1245" t="inlineStr">
        <is>
          <t>1398803:eng</t>
        </is>
      </c>
      <c r="AV1245" t="inlineStr">
        <is>
          <t>245645</t>
        </is>
      </c>
      <c r="AW1245" t="inlineStr">
        <is>
          <t>991001922899702656</t>
        </is>
      </c>
      <c r="AX1245" t="inlineStr">
        <is>
          <t>991001922899702656</t>
        </is>
      </c>
      <c r="AY1245" t="inlineStr">
        <is>
          <t>2266996360002656</t>
        </is>
      </c>
      <c r="AZ1245" t="inlineStr">
        <is>
          <t>BOOK</t>
        </is>
      </c>
      <c r="BC1245" t="inlineStr">
        <is>
          <t>32285002422524</t>
        </is>
      </c>
      <c r="BD1245" t="inlineStr">
        <is>
          <t>893715834</t>
        </is>
      </c>
    </row>
    <row r="1246">
      <c r="A1246" t="inlineStr">
        <is>
          <t>No</t>
        </is>
      </c>
      <c r="B1246" t="inlineStr">
        <is>
          <t>DG575.C52 M58 1999</t>
        </is>
      </c>
      <c r="C1246" t="inlineStr">
        <is>
          <t>0                      DG 0575000C  52                 M  58          1999</t>
        </is>
      </c>
      <c r="D1246" t="inlineStr">
        <is>
          <t>Mussolini's shadow : the double life of Count Galeazzo Ciano / Ray Moseley.</t>
        </is>
      </c>
      <c r="F1246" t="inlineStr">
        <is>
          <t>No</t>
        </is>
      </c>
      <c r="G1246" t="inlineStr">
        <is>
          <t>1</t>
        </is>
      </c>
      <c r="H1246" t="inlineStr">
        <is>
          <t>No</t>
        </is>
      </c>
      <c r="I1246" t="inlineStr">
        <is>
          <t>No</t>
        </is>
      </c>
      <c r="J1246" t="inlineStr">
        <is>
          <t>0</t>
        </is>
      </c>
      <c r="K1246" t="inlineStr">
        <is>
          <t>Moseley, Ray, 1932-</t>
        </is>
      </c>
      <c r="L1246" t="inlineStr">
        <is>
          <t>New Haven ; London : Yale University Press, c1999.</t>
        </is>
      </c>
      <c r="M1246" t="inlineStr">
        <is>
          <t>1999</t>
        </is>
      </c>
      <c r="O1246" t="inlineStr">
        <is>
          <t>eng</t>
        </is>
      </c>
      <c r="P1246" t="inlineStr">
        <is>
          <t>ctu</t>
        </is>
      </c>
      <c r="R1246" t="inlineStr">
        <is>
          <t xml:space="preserve">DG </t>
        </is>
      </c>
      <c r="S1246" t="n">
        <v>3</v>
      </c>
      <c r="T1246" t="n">
        <v>3</v>
      </c>
      <c r="U1246" t="inlineStr">
        <is>
          <t>2000-12-28</t>
        </is>
      </c>
      <c r="V1246" t="inlineStr">
        <is>
          <t>2000-12-28</t>
        </is>
      </c>
      <c r="W1246" t="inlineStr">
        <is>
          <t>2000-12-04</t>
        </is>
      </c>
      <c r="X1246" t="inlineStr">
        <is>
          <t>2000-12-04</t>
        </is>
      </c>
      <c r="Y1246" t="n">
        <v>598</v>
      </c>
      <c r="Z1246" t="n">
        <v>473</v>
      </c>
      <c r="AA1246" t="n">
        <v>475</v>
      </c>
      <c r="AB1246" t="n">
        <v>4</v>
      </c>
      <c r="AC1246" t="n">
        <v>4</v>
      </c>
      <c r="AD1246" t="n">
        <v>24</v>
      </c>
      <c r="AE1246" t="n">
        <v>24</v>
      </c>
      <c r="AF1246" t="n">
        <v>10</v>
      </c>
      <c r="AG1246" t="n">
        <v>10</v>
      </c>
      <c r="AH1246" t="n">
        <v>6</v>
      </c>
      <c r="AI1246" t="n">
        <v>6</v>
      </c>
      <c r="AJ1246" t="n">
        <v>13</v>
      </c>
      <c r="AK1246" t="n">
        <v>13</v>
      </c>
      <c r="AL1246" t="n">
        <v>3</v>
      </c>
      <c r="AM1246" t="n">
        <v>3</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HYPERLINK("https://creighton-primo.hosted.exlibrisgroup.com/primo-explore/search?tab=default_tab&amp;search_scope=EVERYTHING&amp;vid=01CRU&amp;lang=en_US&amp;offset=0&amp;query=any,contains,991003347379702656","Catalog Record")</f>
        <v/>
      </c>
      <c r="AT1246">
        <f>HYPERLINK("http://www.worldcat.org/oclc/41497106","WorldCat Record")</f>
        <v/>
      </c>
      <c r="AU1246" t="inlineStr">
        <is>
          <t>837010326:eng</t>
        </is>
      </c>
      <c r="AV1246" t="inlineStr">
        <is>
          <t>41497106</t>
        </is>
      </c>
      <c r="AW1246" t="inlineStr">
        <is>
          <t>991003347379702656</t>
        </is>
      </c>
      <c r="AX1246" t="inlineStr">
        <is>
          <t>991003347379702656</t>
        </is>
      </c>
      <c r="AY1246" t="inlineStr">
        <is>
          <t>2262062820002656</t>
        </is>
      </c>
      <c r="AZ1246" t="inlineStr">
        <is>
          <t>BOOK</t>
        </is>
      </c>
      <c r="BB1246" t="inlineStr">
        <is>
          <t>9780300079173</t>
        </is>
      </c>
      <c r="BC1246" t="inlineStr">
        <is>
          <t>32285004269444</t>
        </is>
      </c>
      <c r="BD1246" t="inlineStr">
        <is>
          <t>893441201</t>
        </is>
      </c>
    </row>
    <row r="1247">
      <c r="A1247" t="inlineStr">
        <is>
          <t>No</t>
        </is>
      </c>
      <c r="B1247" t="inlineStr">
        <is>
          <t>DG575.G69 A25 1985</t>
        </is>
      </c>
      <c r="C1247" t="inlineStr">
        <is>
          <t>0                      DG 0575000G  69                 A  25          1985</t>
        </is>
      </c>
      <c r="D1247" t="inlineStr">
        <is>
          <t>Selections from cultural writings / Antonio Gramsci ; edited by David Forgacs and Geoffrey Nowell-Smith ; translated by William Boelhower.</t>
        </is>
      </c>
      <c r="F1247" t="inlineStr">
        <is>
          <t>No</t>
        </is>
      </c>
      <c r="G1247" t="inlineStr">
        <is>
          <t>1</t>
        </is>
      </c>
      <c r="H1247" t="inlineStr">
        <is>
          <t>No</t>
        </is>
      </c>
      <c r="I1247" t="inlineStr">
        <is>
          <t>No</t>
        </is>
      </c>
      <c r="J1247" t="inlineStr">
        <is>
          <t>0</t>
        </is>
      </c>
      <c r="K1247" t="inlineStr">
        <is>
          <t>Gramsci, Antonio, 1891-1937.</t>
        </is>
      </c>
      <c r="L1247" t="inlineStr">
        <is>
          <t>Cambridge, Mass. : Harvard University Press, 1985.</t>
        </is>
      </c>
      <c r="M1247" t="inlineStr">
        <is>
          <t>1985</t>
        </is>
      </c>
      <c r="O1247" t="inlineStr">
        <is>
          <t>eng</t>
        </is>
      </c>
      <c r="P1247" t="inlineStr">
        <is>
          <t>mau</t>
        </is>
      </c>
      <c r="R1247" t="inlineStr">
        <is>
          <t xml:space="preserve">DG </t>
        </is>
      </c>
      <c r="S1247" t="n">
        <v>8</v>
      </c>
      <c r="T1247" t="n">
        <v>8</v>
      </c>
      <c r="U1247" t="inlineStr">
        <is>
          <t>1995-05-24</t>
        </is>
      </c>
      <c r="V1247" t="inlineStr">
        <is>
          <t>1995-05-24</t>
        </is>
      </c>
      <c r="W1247" t="inlineStr">
        <is>
          <t>1991-04-15</t>
        </is>
      </c>
      <c r="X1247" t="inlineStr">
        <is>
          <t>1991-04-15</t>
        </is>
      </c>
      <c r="Y1247" t="n">
        <v>392</v>
      </c>
      <c r="Z1247" t="n">
        <v>325</v>
      </c>
      <c r="AA1247" t="n">
        <v>404</v>
      </c>
      <c r="AB1247" t="n">
        <v>5</v>
      </c>
      <c r="AC1247" t="n">
        <v>6</v>
      </c>
      <c r="AD1247" t="n">
        <v>24</v>
      </c>
      <c r="AE1247" t="n">
        <v>26</v>
      </c>
      <c r="AF1247" t="n">
        <v>9</v>
      </c>
      <c r="AG1247" t="n">
        <v>9</v>
      </c>
      <c r="AH1247" t="n">
        <v>6</v>
      </c>
      <c r="AI1247" t="n">
        <v>8</v>
      </c>
      <c r="AJ1247" t="n">
        <v>13</v>
      </c>
      <c r="AK1247" t="n">
        <v>14</v>
      </c>
      <c r="AL1247" t="n">
        <v>4</v>
      </c>
      <c r="AM1247" t="n">
        <v>4</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HYPERLINK("https://creighton-primo.hosted.exlibrisgroup.com/primo-explore/search?tab=default_tab&amp;search_scope=EVERYTHING&amp;vid=01CRU&amp;lang=en_US&amp;offset=0&amp;query=any,contains,991000530179702656","Catalog Record")</f>
        <v/>
      </c>
      <c r="AT1247">
        <f>HYPERLINK("http://www.worldcat.org/oclc/11398163","WorldCat Record")</f>
        <v/>
      </c>
      <c r="AU1247" t="inlineStr">
        <is>
          <t>198169525:eng</t>
        </is>
      </c>
      <c r="AV1247" t="inlineStr">
        <is>
          <t>11398163</t>
        </is>
      </c>
      <c r="AW1247" t="inlineStr">
        <is>
          <t>991000530179702656</t>
        </is>
      </c>
      <c r="AX1247" t="inlineStr">
        <is>
          <t>991000530179702656</t>
        </is>
      </c>
      <c r="AY1247" t="inlineStr">
        <is>
          <t>2270580210002656</t>
        </is>
      </c>
      <c r="AZ1247" t="inlineStr">
        <is>
          <t>BOOK</t>
        </is>
      </c>
      <c r="BB1247" t="inlineStr">
        <is>
          <t>9780674799851</t>
        </is>
      </c>
      <c r="BC1247" t="inlineStr">
        <is>
          <t>32285000522168</t>
        </is>
      </c>
      <c r="BD1247" t="inlineStr">
        <is>
          <t>893896965</t>
        </is>
      </c>
    </row>
    <row r="1248">
      <c r="A1248" t="inlineStr">
        <is>
          <t>No</t>
        </is>
      </c>
      <c r="B1248" t="inlineStr">
        <is>
          <t>DG575.G69 A34 2001</t>
        </is>
      </c>
      <c r="C1248" t="inlineStr">
        <is>
          <t>0                      DG 0575000G  69                 A  34          2001</t>
        </is>
      </c>
      <c r="D1248" t="inlineStr">
        <is>
          <t>Quaderni del carcere / Antonio Gramsci ; a cura di Valentino Gerratana ; edizione critica dell'Istituto Gramsci.</t>
        </is>
      </c>
      <c r="E1248" t="inlineStr">
        <is>
          <t>V. 2</t>
        </is>
      </c>
      <c r="F1248" t="inlineStr">
        <is>
          <t>Yes</t>
        </is>
      </c>
      <c r="G1248" t="inlineStr">
        <is>
          <t>1</t>
        </is>
      </c>
      <c r="H1248" t="inlineStr">
        <is>
          <t>No</t>
        </is>
      </c>
      <c r="I1248" t="inlineStr">
        <is>
          <t>No</t>
        </is>
      </c>
      <c r="J1248" t="inlineStr">
        <is>
          <t>0</t>
        </is>
      </c>
      <c r="K1248" t="inlineStr">
        <is>
          <t>Gramsci, Antonio, 1891-1937.</t>
        </is>
      </c>
      <c r="L1248" t="inlineStr">
        <is>
          <t>Torino : Einaudi, 2001.</t>
        </is>
      </c>
      <c r="M1248" t="inlineStr">
        <is>
          <t>2001</t>
        </is>
      </c>
      <c r="O1248" t="inlineStr">
        <is>
          <t>ita</t>
        </is>
      </c>
      <c r="P1248" t="inlineStr">
        <is>
          <t xml:space="preserve">it </t>
        </is>
      </c>
      <c r="Q1248" t="inlineStr">
        <is>
          <t>Einaudi tascabili. Saggi ; 835</t>
        </is>
      </c>
      <c r="R1248" t="inlineStr">
        <is>
          <t xml:space="preserve">DG </t>
        </is>
      </c>
      <c r="S1248" t="n">
        <v>1</v>
      </c>
      <c r="T1248" t="n">
        <v>7</v>
      </c>
      <c r="U1248" t="inlineStr">
        <is>
          <t>2008-04-02</t>
        </is>
      </c>
      <c r="V1248" t="inlineStr">
        <is>
          <t>2010-09-17</t>
        </is>
      </c>
      <c r="W1248" t="inlineStr">
        <is>
          <t>2008-04-02</t>
        </is>
      </c>
      <c r="X1248" t="inlineStr">
        <is>
          <t>2008-04-02</t>
        </is>
      </c>
      <c r="Y1248" t="n">
        <v>11</v>
      </c>
      <c r="Z1248" t="n">
        <v>6</v>
      </c>
      <c r="AA1248" t="n">
        <v>6</v>
      </c>
      <c r="AB1248" t="n">
        <v>1</v>
      </c>
      <c r="AC1248" t="n">
        <v>1</v>
      </c>
      <c r="AD1248" t="n">
        <v>1</v>
      </c>
      <c r="AE1248" t="n">
        <v>1</v>
      </c>
      <c r="AF1248" t="n">
        <v>0</v>
      </c>
      <c r="AG1248" t="n">
        <v>0</v>
      </c>
      <c r="AH1248" t="n">
        <v>1</v>
      </c>
      <c r="AI1248" t="n">
        <v>1</v>
      </c>
      <c r="AJ1248" t="n">
        <v>0</v>
      </c>
      <c r="AK1248" t="n">
        <v>0</v>
      </c>
      <c r="AL1248" t="n">
        <v>0</v>
      </c>
      <c r="AM1248" t="n">
        <v>0</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HYPERLINK("https://creighton-primo.hosted.exlibrisgroup.com/primo-explore/search?tab=default_tab&amp;search_scope=EVERYTHING&amp;vid=01CRU&amp;lang=en_US&amp;offset=0&amp;query=any,contains,991005201599702656","Catalog Record")</f>
        <v/>
      </c>
      <c r="AT1248">
        <f>HYPERLINK("http://www.worldcat.org/oclc/47753826","WorldCat Record")</f>
        <v/>
      </c>
      <c r="AU1248" t="inlineStr">
        <is>
          <t>10677931163:ita</t>
        </is>
      </c>
      <c r="AV1248" t="inlineStr">
        <is>
          <t>47753826</t>
        </is>
      </c>
      <c r="AW1248" t="inlineStr">
        <is>
          <t>991005201599702656</t>
        </is>
      </c>
      <c r="AX1248" t="inlineStr">
        <is>
          <t>991005201599702656</t>
        </is>
      </c>
      <c r="AY1248" t="inlineStr">
        <is>
          <t>2262456860002656</t>
        </is>
      </c>
      <c r="AZ1248" t="inlineStr">
        <is>
          <t>BOOK</t>
        </is>
      </c>
      <c r="BB1248" t="inlineStr">
        <is>
          <t>9788806158491</t>
        </is>
      </c>
      <c r="BC1248" t="inlineStr">
        <is>
          <t>32285005400238</t>
        </is>
      </c>
      <c r="BD1248" t="inlineStr">
        <is>
          <t>893350890</t>
        </is>
      </c>
    </row>
    <row r="1249">
      <c r="A1249" t="inlineStr">
        <is>
          <t>No</t>
        </is>
      </c>
      <c r="B1249" t="inlineStr">
        <is>
          <t>DG575.G69 A34 2001</t>
        </is>
      </c>
      <c r="C1249" t="inlineStr">
        <is>
          <t>0                      DG 0575000G  69                 A  34          2001</t>
        </is>
      </c>
      <c r="D1249" t="inlineStr">
        <is>
          <t>Quaderni del carcere / Antonio Gramsci ; a cura di Valentino Gerratana ; edizione critica dell'Istituto Gramsci.</t>
        </is>
      </c>
      <c r="E1249" t="inlineStr">
        <is>
          <t>V. 4</t>
        </is>
      </c>
      <c r="F1249" t="inlineStr">
        <is>
          <t>Yes</t>
        </is>
      </c>
      <c r="G1249" t="inlineStr">
        <is>
          <t>1</t>
        </is>
      </c>
      <c r="H1249" t="inlineStr">
        <is>
          <t>No</t>
        </is>
      </c>
      <c r="I1249" t="inlineStr">
        <is>
          <t>No</t>
        </is>
      </c>
      <c r="J1249" t="inlineStr">
        <is>
          <t>0</t>
        </is>
      </c>
      <c r="K1249" t="inlineStr">
        <is>
          <t>Gramsci, Antonio, 1891-1937.</t>
        </is>
      </c>
      <c r="L1249" t="inlineStr">
        <is>
          <t>Torino : Einaudi, 2001.</t>
        </is>
      </c>
      <c r="M1249" t="inlineStr">
        <is>
          <t>2001</t>
        </is>
      </c>
      <c r="O1249" t="inlineStr">
        <is>
          <t>ita</t>
        </is>
      </c>
      <c r="P1249" t="inlineStr">
        <is>
          <t xml:space="preserve">it </t>
        </is>
      </c>
      <c r="Q1249" t="inlineStr">
        <is>
          <t>Einaudi tascabili. Saggi ; 835</t>
        </is>
      </c>
      <c r="R1249" t="inlineStr">
        <is>
          <t xml:space="preserve">DG </t>
        </is>
      </c>
      <c r="S1249" t="n">
        <v>1</v>
      </c>
      <c r="T1249" t="n">
        <v>7</v>
      </c>
      <c r="U1249" t="inlineStr">
        <is>
          <t>2008-04-02</t>
        </is>
      </c>
      <c r="V1249" t="inlineStr">
        <is>
          <t>2010-09-17</t>
        </is>
      </c>
      <c r="W1249" t="inlineStr">
        <is>
          <t>2008-04-02</t>
        </is>
      </c>
      <c r="X1249" t="inlineStr">
        <is>
          <t>2008-04-02</t>
        </is>
      </c>
      <c r="Y1249" t="n">
        <v>11</v>
      </c>
      <c r="Z1249" t="n">
        <v>6</v>
      </c>
      <c r="AA1249" t="n">
        <v>6</v>
      </c>
      <c r="AB1249" t="n">
        <v>1</v>
      </c>
      <c r="AC1249" t="n">
        <v>1</v>
      </c>
      <c r="AD1249" t="n">
        <v>1</v>
      </c>
      <c r="AE1249" t="n">
        <v>1</v>
      </c>
      <c r="AF1249" t="n">
        <v>0</v>
      </c>
      <c r="AG1249" t="n">
        <v>0</v>
      </c>
      <c r="AH1249" t="n">
        <v>1</v>
      </c>
      <c r="AI1249" t="n">
        <v>1</v>
      </c>
      <c r="AJ1249" t="n">
        <v>0</v>
      </c>
      <c r="AK1249" t="n">
        <v>0</v>
      </c>
      <c r="AL1249" t="n">
        <v>0</v>
      </c>
      <c r="AM1249" t="n">
        <v>0</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HYPERLINK("https://creighton-primo.hosted.exlibrisgroup.com/primo-explore/search?tab=default_tab&amp;search_scope=EVERYTHING&amp;vid=01CRU&amp;lang=en_US&amp;offset=0&amp;query=any,contains,991005201599702656","Catalog Record")</f>
        <v/>
      </c>
      <c r="AT1249">
        <f>HYPERLINK("http://www.worldcat.org/oclc/47753826","WorldCat Record")</f>
        <v/>
      </c>
      <c r="AU1249" t="inlineStr">
        <is>
          <t>10677931163:ita</t>
        </is>
      </c>
      <c r="AV1249" t="inlineStr">
        <is>
          <t>47753826</t>
        </is>
      </c>
      <c r="AW1249" t="inlineStr">
        <is>
          <t>991005201599702656</t>
        </is>
      </c>
      <c r="AX1249" t="inlineStr">
        <is>
          <t>991005201599702656</t>
        </is>
      </c>
      <c r="AY1249" t="inlineStr">
        <is>
          <t>2262456860002656</t>
        </is>
      </c>
      <c r="AZ1249" t="inlineStr">
        <is>
          <t>BOOK</t>
        </is>
      </c>
      <c r="BB1249" t="inlineStr">
        <is>
          <t>9788806158491</t>
        </is>
      </c>
      <c r="BC1249" t="inlineStr">
        <is>
          <t>32285005400253</t>
        </is>
      </c>
      <c r="BD1249" t="inlineStr">
        <is>
          <t>893320227</t>
        </is>
      </c>
    </row>
    <row r="1250">
      <c r="A1250" t="inlineStr">
        <is>
          <t>No</t>
        </is>
      </c>
      <c r="B1250" t="inlineStr">
        <is>
          <t>DG575.G69 A34 2001</t>
        </is>
      </c>
      <c r="C1250" t="inlineStr">
        <is>
          <t>0                      DG 0575000G  69                 A  34          2001</t>
        </is>
      </c>
      <c r="D1250" t="inlineStr">
        <is>
          <t>Quaderni del carcere / Antonio Gramsci ; a cura di Valentino Gerratana ; edizione critica dell'Istituto Gramsci.</t>
        </is>
      </c>
      <c r="E1250" t="inlineStr">
        <is>
          <t>V. 1</t>
        </is>
      </c>
      <c r="F1250" t="inlineStr">
        <is>
          <t>Yes</t>
        </is>
      </c>
      <c r="G1250" t="inlineStr">
        <is>
          <t>1</t>
        </is>
      </c>
      <c r="H1250" t="inlineStr">
        <is>
          <t>No</t>
        </is>
      </c>
      <c r="I1250" t="inlineStr">
        <is>
          <t>No</t>
        </is>
      </c>
      <c r="J1250" t="inlineStr">
        <is>
          <t>0</t>
        </is>
      </c>
      <c r="K1250" t="inlineStr">
        <is>
          <t>Gramsci, Antonio, 1891-1937.</t>
        </is>
      </c>
      <c r="L1250" t="inlineStr">
        <is>
          <t>Torino : Einaudi, 2001.</t>
        </is>
      </c>
      <c r="M1250" t="inlineStr">
        <is>
          <t>2001</t>
        </is>
      </c>
      <c r="O1250" t="inlineStr">
        <is>
          <t>ita</t>
        </is>
      </c>
      <c r="P1250" t="inlineStr">
        <is>
          <t xml:space="preserve">it </t>
        </is>
      </c>
      <c r="Q1250" t="inlineStr">
        <is>
          <t>Einaudi tascabili. Saggi ; 835</t>
        </is>
      </c>
      <c r="R1250" t="inlineStr">
        <is>
          <t xml:space="preserve">DG </t>
        </is>
      </c>
      <c r="S1250" t="n">
        <v>1</v>
      </c>
      <c r="T1250" t="n">
        <v>7</v>
      </c>
      <c r="U1250" t="inlineStr">
        <is>
          <t>2008-04-02</t>
        </is>
      </c>
      <c r="V1250" t="inlineStr">
        <is>
          <t>2010-09-17</t>
        </is>
      </c>
      <c r="W1250" t="inlineStr">
        <is>
          <t>2008-04-02</t>
        </is>
      </c>
      <c r="X1250" t="inlineStr">
        <is>
          <t>2008-04-02</t>
        </is>
      </c>
      <c r="Y1250" t="n">
        <v>11</v>
      </c>
      <c r="Z1250" t="n">
        <v>6</v>
      </c>
      <c r="AA1250" t="n">
        <v>6</v>
      </c>
      <c r="AB1250" t="n">
        <v>1</v>
      </c>
      <c r="AC1250" t="n">
        <v>1</v>
      </c>
      <c r="AD1250" t="n">
        <v>1</v>
      </c>
      <c r="AE1250" t="n">
        <v>1</v>
      </c>
      <c r="AF1250" t="n">
        <v>0</v>
      </c>
      <c r="AG1250" t="n">
        <v>0</v>
      </c>
      <c r="AH1250" t="n">
        <v>1</v>
      </c>
      <c r="AI1250" t="n">
        <v>1</v>
      </c>
      <c r="AJ1250" t="n">
        <v>0</v>
      </c>
      <c r="AK1250" t="n">
        <v>0</v>
      </c>
      <c r="AL1250" t="n">
        <v>0</v>
      </c>
      <c r="AM1250" t="n">
        <v>0</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HYPERLINK("https://creighton-primo.hosted.exlibrisgroup.com/primo-explore/search?tab=default_tab&amp;search_scope=EVERYTHING&amp;vid=01CRU&amp;lang=en_US&amp;offset=0&amp;query=any,contains,991005201599702656","Catalog Record")</f>
        <v/>
      </c>
      <c r="AT1250">
        <f>HYPERLINK("http://www.worldcat.org/oclc/47753826","WorldCat Record")</f>
        <v/>
      </c>
      <c r="AU1250" t="inlineStr">
        <is>
          <t>10677931163:ita</t>
        </is>
      </c>
      <c r="AV1250" t="inlineStr">
        <is>
          <t>47753826</t>
        </is>
      </c>
      <c r="AW1250" t="inlineStr">
        <is>
          <t>991005201599702656</t>
        </is>
      </c>
      <c r="AX1250" t="inlineStr">
        <is>
          <t>991005201599702656</t>
        </is>
      </c>
      <c r="AY1250" t="inlineStr">
        <is>
          <t>2262456860002656</t>
        </is>
      </c>
      <c r="AZ1250" t="inlineStr">
        <is>
          <t>BOOK</t>
        </is>
      </c>
      <c r="BB1250" t="inlineStr">
        <is>
          <t>9788806158491</t>
        </is>
      </c>
      <c r="BC1250" t="inlineStr">
        <is>
          <t>32285005400220</t>
        </is>
      </c>
      <c r="BD1250" t="inlineStr">
        <is>
          <t>893350891</t>
        </is>
      </c>
    </row>
    <row r="1251">
      <c r="A1251" t="inlineStr">
        <is>
          <t>No</t>
        </is>
      </c>
      <c r="B1251" t="inlineStr">
        <is>
          <t>DG575.G69 A34 2001</t>
        </is>
      </c>
      <c r="C1251" t="inlineStr">
        <is>
          <t>0                      DG 0575000G  69                 A  34          2001</t>
        </is>
      </c>
      <c r="D1251" t="inlineStr">
        <is>
          <t>Quaderni del carcere / Antonio Gramsci ; a cura di Valentino Gerratana ; edizione critica dell'Istituto Gramsci.</t>
        </is>
      </c>
      <c r="E1251" t="inlineStr">
        <is>
          <t>V. 3</t>
        </is>
      </c>
      <c r="F1251" t="inlineStr">
        <is>
          <t>Yes</t>
        </is>
      </c>
      <c r="G1251" t="inlineStr">
        <is>
          <t>1</t>
        </is>
      </c>
      <c r="H1251" t="inlineStr">
        <is>
          <t>No</t>
        </is>
      </c>
      <c r="I1251" t="inlineStr">
        <is>
          <t>No</t>
        </is>
      </c>
      <c r="J1251" t="inlineStr">
        <is>
          <t>0</t>
        </is>
      </c>
      <c r="K1251" t="inlineStr">
        <is>
          <t>Gramsci, Antonio, 1891-1937.</t>
        </is>
      </c>
      <c r="L1251" t="inlineStr">
        <is>
          <t>Torino : Einaudi, 2001.</t>
        </is>
      </c>
      <c r="M1251" t="inlineStr">
        <is>
          <t>2001</t>
        </is>
      </c>
      <c r="O1251" t="inlineStr">
        <is>
          <t>ita</t>
        </is>
      </c>
      <c r="P1251" t="inlineStr">
        <is>
          <t xml:space="preserve">it </t>
        </is>
      </c>
      <c r="Q1251" t="inlineStr">
        <is>
          <t>Einaudi tascabili. Saggi ; 835</t>
        </is>
      </c>
      <c r="R1251" t="inlineStr">
        <is>
          <t xml:space="preserve">DG </t>
        </is>
      </c>
      <c r="S1251" t="n">
        <v>4</v>
      </c>
      <c r="T1251" t="n">
        <v>7</v>
      </c>
      <c r="U1251" t="inlineStr">
        <is>
          <t>2010-09-17</t>
        </is>
      </c>
      <c r="V1251" t="inlineStr">
        <is>
          <t>2010-09-17</t>
        </is>
      </c>
      <c r="W1251" t="inlineStr">
        <is>
          <t>2008-04-02</t>
        </is>
      </c>
      <c r="X1251" t="inlineStr">
        <is>
          <t>2008-04-02</t>
        </is>
      </c>
      <c r="Y1251" t="n">
        <v>11</v>
      </c>
      <c r="Z1251" t="n">
        <v>6</v>
      </c>
      <c r="AA1251" t="n">
        <v>6</v>
      </c>
      <c r="AB1251" t="n">
        <v>1</v>
      </c>
      <c r="AC1251" t="n">
        <v>1</v>
      </c>
      <c r="AD1251" t="n">
        <v>1</v>
      </c>
      <c r="AE1251" t="n">
        <v>1</v>
      </c>
      <c r="AF1251" t="n">
        <v>0</v>
      </c>
      <c r="AG1251" t="n">
        <v>0</v>
      </c>
      <c r="AH1251" t="n">
        <v>1</v>
      </c>
      <c r="AI1251" t="n">
        <v>1</v>
      </c>
      <c r="AJ1251" t="n">
        <v>0</v>
      </c>
      <c r="AK1251" t="n">
        <v>0</v>
      </c>
      <c r="AL1251" t="n">
        <v>0</v>
      </c>
      <c r="AM1251" t="n">
        <v>0</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HYPERLINK("https://creighton-primo.hosted.exlibrisgroup.com/primo-explore/search?tab=default_tab&amp;search_scope=EVERYTHING&amp;vid=01CRU&amp;lang=en_US&amp;offset=0&amp;query=any,contains,991005201599702656","Catalog Record")</f>
        <v/>
      </c>
      <c r="AT1251">
        <f>HYPERLINK("http://www.worldcat.org/oclc/47753826","WorldCat Record")</f>
        <v/>
      </c>
      <c r="AU1251" t="inlineStr">
        <is>
          <t>10677931163:ita</t>
        </is>
      </c>
      <c r="AV1251" t="inlineStr">
        <is>
          <t>47753826</t>
        </is>
      </c>
      <c r="AW1251" t="inlineStr">
        <is>
          <t>991005201599702656</t>
        </is>
      </c>
      <c r="AX1251" t="inlineStr">
        <is>
          <t>991005201599702656</t>
        </is>
      </c>
      <c r="AY1251" t="inlineStr">
        <is>
          <t>2262456860002656</t>
        </is>
      </c>
      <c r="AZ1251" t="inlineStr">
        <is>
          <t>BOOK</t>
        </is>
      </c>
      <c r="BB1251" t="inlineStr">
        <is>
          <t>9788806158491</t>
        </is>
      </c>
      <c r="BC1251" t="inlineStr">
        <is>
          <t>32285005400246</t>
        </is>
      </c>
      <c r="BD1251" t="inlineStr">
        <is>
          <t>893332589</t>
        </is>
      </c>
    </row>
    <row r="1252">
      <c r="A1252" t="inlineStr">
        <is>
          <t>No</t>
        </is>
      </c>
      <c r="B1252" t="inlineStr">
        <is>
          <t>DG575.M8 A542</t>
        </is>
      </c>
      <c r="C1252" t="inlineStr">
        <is>
          <t>0                      DG 0575000M  8                  A  542</t>
        </is>
      </c>
      <c r="D1252" t="inlineStr">
        <is>
          <t>The fall of Mussolini, his own story. Tr. from the Italian by Francis Frenaye; ed. and with a pref. by Max Ascoli.</t>
        </is>
      </c>
      <c r="F1252" t="inlineStr">
        <is>
          <t>No</t>
        </is>
      </c>
      <c r="G1252" t="inlineStr">
        <is>
          <t>1</t>
        </is>
      </c>
      <c r="H1252" t="inlineStr">
        <is>
          <t>No</t>
        </is>
      </c>
      <c r="I1252" t="inlineStr">
        <is>
          <t>No</t>
        </is>
      </c>
      <c r="J1252" t="inlineStr">
        <is>
          <t>0</t>
        </is>
      </c>
      <c r="K1252" t="inlineStr">
        <is>
          <t>Mussolini, Benito, 1883-1945.</t>
        </is>
      </c>
      <c r="L1252" t="inlineStr">
        <is>
          <t>New York, Farrar, Straus, [1948]</t>
        </is>
      </c>
      <c r="M1252" t="inlineStr">
        <is>
          <t>1948</t>
        </is>
      </c>
      <c r="O1252" t="inlineStr">
        <is>
          <t>eng</t>
        </is>
      </c>
      <c r="P1252" t="inlineStr">
        <is>
          <t>nyu</t>
        </is>
      </c>
      <c r="R1252" t="inlineStr">
        <is>
          <t xml:space="preserve">DG </t>
        </is>
      </c>
      <c r="S1252" t="n">
        <v>3</v>
      </c>
      <c r="T1252" t="n">
        <v>3</v>
      </c>
      <c r="U1252" t="inlineStr">
        <is>
          <t>2005-11-22</t>
        </is>
      </c>
      <c r="V1252" t="inlineStr">
        <is>
          <t>2005-11-22</t>
        </is>
      </c>
      <c r="W1252" t="inlineStr">
        <is>
          <t>1997-06-24</t>
        </is>
      </c>
      <c r="X1252" t="inlineStr">
        <is>
          <t>1997-06-24</t>
        </is>
      </c>
      <c r="Y1252" t="n">
        <v>480</v>
      </c>
      <c r="Z1252" t="n">
        <v>434</v>
      </c>
      <c r="AA1252" t="n">
        <v>512</v>
      </c>
      <c r="AB1252" t="n">
        <v>4</v>
      </c>
      <c r="AC1252" t="n">
        <v>4</v>
      </c>
      <c r="AD1252" t="n">
        <v>21</v>
      </c>
      <c r="AE1252" t="n">
        <v>23</v>
      </c>
      <c r="AF1252" t="n">
        <v>8</v>
      </c>
      <c r="AG1252" t="n">
        <v>10</v>
      </c>
      <c r="AH1252" t="n">
        <v>5</v>
      </c>
      <c r="AI1252" t="n">
        <v>6</v>
      </c>
      <c r="AJ1252" t="n">
        <v>11</v>
      </c>
      <c r="AK1252" t="n">
        <v>11</v>
      </c>
      <c r="AL1252" t="n">
        <v>2</v>
      </c>
      <c r="AM1252" t="n">
        <v>2</v>
      </c>
      <c r="AN1252" t="n">
        <v>0</v>
      </c>
      <c r="AO1252" t="n">
        <v>0</v>
      </c>
      <c r="AP1252" t="inlineStr">
        <is>
          <t>No</t>
        </is>
      </c>
      <c r="AQ1252" t="inlineStr">
        <is>
          <t>No</t>
        </is>
      </c>
      <c r="AR1252">
        <f>HYPERLINK("http://catalog.hathitrust.org/Record/000348292","HathiTrust Record")</f>
        <v/>
      </c>
      <c r="AS1252">
        <f>HYPERLINK("https://creighton-primo.hosted.exlibrisgroup.com/primo-explore/search?tab=default_tab&amp;search_scope=EVERYTHING&amp;vid=01CRU&amp;lang=en_US&amp;offset=0&amp;query=any,contains,991003690019702656","Catalog Record")</f>
        <v/>
      </c>
      <c r="AT1252">
        <f>HYPERLINK("http://www.worldcat.org/oclc/1320171","WorldCat Record")</f>
        <v/>
      </c>
      <c r="AU1252" t="inlineStr">
        <is>
          <t>144689167:eng</t>
        </is>
      </c>
      <c r="AV1252" t="inlineStr">
        <is>
          <t>1320171</t>
        </is>
      </c>
      <c r="AW1252" t="inlineStr">
        <is>
          <t>991003690019702656</t>
        </is>
      </c>
      <c r="AX1252" t="inlineStr">
        <is>
          <t>991003690019702656</t>
        </is>
      </c>
      <c r="AY1252" t="inlineStr">
        <is>
          <t>2257171390002656</t>
        </is>
      </c>
      <c r="AZ1252" t="inlineStr">
        <is>
          <t>BOOK</t>
        </is>
      </c>
      <c r="BC1252" t="inlineStr">
        <is>
          <t>32285002831096</t>
        </is>
      </c>
      <c r="BD1252" t="inlineStr">
        <is>
          <t>893416674</t>
        </is>
      </c>
    </row>
    <row r="1253">
      <c r="A1253" t="inlineStr">
        <is>
          <t>No</t>
        </is>
      </c>
      <c r="B1253" t="inlineStr">
        <is>
          <t>DG575.M8 C6713 2001</t>
        </is>
      </c>
      <c r="C1253" t="inlineStr">
        <is>
          <t>0                      DG 0575000M  8                  C  6713        2001</t>
        </is>
      </c>
      <c r="D1253" t="inlineStr">
        <is>
          <t>Hitler and Mussolini : the secret meetings / Santi Corvaja ; translated by R.L. Miller.</t>
        </is>
      </c>
      <c r="F1253" t="inlineStr">
        <is>
          <t>No</t>
        </is>
      </c>
      <c r="G1253" t="inlineStr">
        <is>
          <t>1</t>
        </is>
      </c>
      <c r="H1253" t="inlineStr">
        <is>
          <t>No</t>
        </is>
      </c>
      <c r="I1253" t="inlineStr">
        <is>
          <t>No</t>
        </is>
      </c>
      <c r="J1253" t="inlineStr">
        <is>
          <t>0</t>
        </is>
      </c>
      <c r="K1253" t="inlineStr">
        <is>
          <t>Corvaja, Santi.</t>
        </is>
      </c>
      <c r="L1253" t="inlineStr">
        <is>
          <t>New York : Enigma Books, c2001.</t>
        </is>
      </c>
      <c r="M1253" t="inlineStr">
        <is>
          <t>2001</t>
        </is>
      </c>
      <c r="N1253" t="inlineStr">
        <is>
          <t>1st ed.</t>
        </is>
      </c>
      <c r="O1253" t="inlineStr">
        <is>
          <t>eng</t>
        </is>
      </c>
      <c r="P1253" t="inlineStr">
        <is>
          <t>nyu</t>
        </is>
      </c>
      <c r="R1253" t="inlineStr">
        <is>
          <t xml:space="preserve">DG </t>
        </is>
      </c>
      <c r="S1253" t="n">
        <v>2</v>
      </c>
      <c r="T1253" t="n">
        <v>2</v>
      </c>
      <c r="U1253" t="inlineStr">
        <is>
          <t>2003-01-28</t>
        </is>
      </c>
      <c r="V1253" t="inlineStr">
        <is>
          <t>2003-01-28</t>
        </is>
      </c>
      <c r="W1253" t="inlineStr">
        <is>
          <t>2003-01-28</t>
        </is>
      </c>
      <c r="X1253" t="inlineStr">
        <is>
          <t>2003-01-28</t>
        </is>
      </c>
      <c r="Y1253" t="n">
        <v>312</v>
      </c>
      <c r="Z1253" t="n">
        <v>276</v>
      </c>
      <c r="AA1253" t="n">
        <v>305</v>
      </c>
      <c r="AB1253" t="n">
        <v>2</v>
      </c>
      <c r="AC1253" t="n">
        <v>2</v>
      </c>
      <c r="AD1253" t="n">
        <v>18</v>
      </c>
      <c r="AE1253" t="n">
        <v>18</v>
      </c>
      <c r="AF1253" t="n">
        <v>9</v>
      </c>
      <c r="AG1253" t="n">
        <v>9</v>
      </c>
      <c r="AH1253" t="n">
        <v>5</v>
      </c>
      <c r="AI1253" t="n">
        <v>5</v>
      </c>
      <c r="AJ1253" t="n">
        <v>10</v>
      </c>
      <c r="AK1253" t="n">
        <v>10</v>
      </c>
      <c r="AL1253" t="n">
        <v>1</v>
      </c>
      <c r="AM1253" t="n">
        <v>1</v>
      </c>
      <c r="AN1253" t="n">
        <v>0</v>
      </c>
      <c r="AO1253" t="n">
        <v>0</v>
      </c>
      <c r="AP1253" t="inlineStr">
        <is>
          <t>No</t>
        </is>
      </c>
      <c r="AQ1253" t="inlineStr">
        <is>
          <t>Yes</t>
        </is>
      </c>
      <c r="AR1253">
        <f>HYPERLINK("http://catalog.hathitrust.org/Record/004599444","HathiTrust Record")</f>
        <v/>
      </c>
      <c r="AS1253">
        <f>HYPERLINK("https://creighton-primo.hosted.exlibrisgroup.com/primo-explore/search?tab=default_tab&amp;search_scope=EVERYTHING&amp;vid=01CRU&amp;lang=en_US&amp;offset=0&amp;query=any,contains,991003966699702656","Catalog Record")</f>
        <v/>
      </c>
      <c r="AT1253">
        <f>HYPERLINK("http://www.worldcat.org/oclc/46952963","WorldCat Record")</f>
        <v/>
      </c>
      <c r="AU1253" t="inlineStr">
        <is>
          <t>10761190:eng</t>
        </is>
      </c>
      <c r="AV1253" t="inlineStr">
        <is>
          <t>46952963</t>
        </is>
      </c>
      <c r="AW1253" t="inlineStr">
        <is>
          <t>991003966699702656</t>
        </is>
      </c>
      <c r="AX1253" t="inlineStr">
        <is>
          <t>991003966699702656</t>
        </is>
      </c>
      <c r="AY1253" t="inlineStr">
        <is>
          <t>2268320260002656</t>
        </is>
      </c>
      <c r="AZ1253" t="inlineStr">
        <is>
          <t>BOOK</t>
        </is>
      </c>
      <c r="BB1253" t="inlineStr">
        <is>
          <t>9781929631001</t>
        </is>
      </c>
      <c r="BC1253" t="inlineStr">
        <is>
          <t>32285004695770</t>
        </is>
      </c>
      <c r="BD1253" t="inlineStr">
        <is>
          <t>893900623</t>
        </is>
      </c>
    </row>
    <row r="1254">
      <c r="A1254" t="inlineStr">
        <is>
          <t>No</t>
        </is>
      </c>
      <c r="B1254" t="inlineStr">
        <is>
          <t>DG575.M8 F37 2004</t>
        </is>
      </c>
      <c r="C1254" t="inlineStr">
        <is>
          <t>0                      DG 0575000M  8                  F  37          2004</t>
        </is>
      </c>
      <c r="D1254" t="inlineStr">
        <is>
          <t>Mussolini : a new life / Nicholas Farrell.</t>
        </is>
      </c>
      <c r="F1254" t="inlineStr">
        <is>
          <t>No</t>
        </is>
      </c>
      <c r="G1254" t="inlineStr">
        <is>
          <t>1</t>
        </is>
      </c>
      <c r="H1254" t="inlineStr">
        <is>
          <t>No</t>
        </is>
      </c>
      <c r="I1254" t="inlineStr">
        <is>
          <t>No</t>
        </is>
      </c>
      <c r="J1254" t="inlineStr">
        <is>
          <t>0</t>
        </is>
      </c>
      <c r="K1254" t="inlineStr">
        <is>
          <t>Farrell, Nicholas.</t>
        </is>
      </c>
      <c r="L1254" t="inlineStr">
        <is>
          <t>London : Phoenix, 2004, c2003.</t>
        </is>
      </c>
      <c r="M1254" t="inlineStr">
        <is>
          <t>2004</t>
        </is>
      </c>
      <c r="N1254" t="inlineStr">
        <is>
          <t>Pbk. ed.</t>
        </is>
      </c>
      <c r="O1254" t="inlineStr">
        <is>
          <t>eng</t>
        </is>
      </c>
      <c r="P1254" t="inlineStr">
        <is>
          <t>xxk</t>
        </is>
      </c>
      <c r="R1254" t="inlineStr">
        <is>
          <t xml:space="preserve">DG </t>
        </is>
      </c>
      <c r="S1254" t="n">
        <v>5</v>
      </c>
      <c r="T1254" t="n">
        <v>5</v>
      </c>
      <c r="U1254" t="inlineStr">
        <is>
          <t>2007-09-10</t>
        </is>
      </c>
      <c r="V1254" t="inlineStr">
        <is>
          <t>2007-09-10</t>
        </is>
      </c>
      <c r="W1254" t="inlineStr">
        <is>
          <t>2005-08-02</t>
        </is>
      </c>
      <c r="X1254" t="inlineStr">
        <is>
          <t>2005-08-02</t>
        </is>
      </c>
      <c r="Y1254" t="n">
        <v>178</v>
      </c>
      <c r="Z1254" t="n">
        <v>153</v>
      </c>
      <c r="AA1254" t="n">
        <v>225</v>
      </c>
      <c r="AB1254" t="n">
        <v>3</v>
      </c>
      <c r="AC1254" t="n">
        <v>3</v>
      </c>
      <c r="AD1254" t="n">
        <v>4</v>
      </c>
      <c r="AE1254" t="n">
        <v>5</v>
      </c>
      <c r="AF1254" t="n">
        <v>1</v>
      </c>
      <c r="AG1254" t="n">
        <v>1</v>
      </c>
      <c r="AH1254" t="n">
        <v>1</v>
      </c>
      <c r="AI1254" t="n">
        <v>2</v>
      </c>
      <c r="AJ1254" t="n">
        <v>1</v>
      </c>
      <c r="AK1254" t="n">
        <v>2</v>
      </c>
      <c r="AL1254" t="n">
        <v>1</v>
      </c>
      <c r="AM1254" t="n">
        <v>1</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HYPERLINK("https://creighton-primo.hosted.exlibrisgroup.com/primo-explore/search?tab=default_tab&amp;search_scope=EVERYTHING&amp;vid=01CRU&amp;lang=en_US&amp;offset=0&amp;query=any,contains,991004584759702656","Catalog Record")</f>
        <v/>
      </c>
      <c r="AT1254">
        <f>HYPERLINK("http://www.worldcat.org/oclc/56400264","WorldCat Record")</f>
        <v/>
      </c>
      <c r="AU1254" t="inlineStr">
        <is>
          <t>863917524:eng</t>
        </is>
      </c>
      <c r="AV1254" t="inlineStr">
        <is>
          <t>56400264</t>
        </is>
      </c>
      <c r="AW1254" t="inlineStr">
        <is>
          <t>991004584759702656</t>
        </is>
      </c>
      <c r="AX1254" t="inlineStr">
        <is>
          <t>991004584759702656</t>
        </is>
      </c>
      <c r="AY1254" t="inlineStr">
        <is>
          <t>2272241890002656</t>
        </is>
      </c>
      <c r="AZ1254" t="inlineStr">
        <is>
          <t>BOOK</t>
        </is>
      </c>
      <c r="BB1254" t="inlineStr">
        <is>
          <t>9781842121238</t>
        </is>
      </c>
      <c r="BC1254" t="inlineStr">
        <is>
          <t>32285005098776</t>
        </is>
      </c>
      <c r="BD1254" t="inlineStr">
        <is>
          <t>893712790</t>
        </is>
      </c>
    </row>
    <row r="1255">
      <c r="A1255" t="inlineStr">
        <is>
          <t>No</t>
        </is>
      </c>
      <c r="B1255" t="inlineStr">
        <is>
          <t>DG575.M8 F42</t>
        </is>
      </c>
      <c r="C1255" t="inlineStr">
        <is>
          <t>0                      DG 0575000M  8                  F  42</t>
        </is>
      </c>
      <c r="D1255" t="inlineStr">
        <is>
          <t>Mussolini.</t>
        </is>
      </c>
      <c r="F1255" t="inlineStr">
        <is>
          <t>No</t>
        </is>
      </c>
      <c r="G1255" t="inlineStr">
        <is>
          <t>1</t>
        </is>
      </c>
      <c r="H1255" t="inlineStr">
        <is>
          <t>No</t>
        </is>
      </c>
      <c r="I1255" t="inlineStr">
        <is>
          <t>No</t>
        </is>
      </c>
      <c r="J1255" t="inlineStr">
        <is>
          <t>0</t>
        </is>
      </c>
      <c r="K1255" t="inlineStr">
        <is>
          <t>Fermi, Laura.</t>
        </is>
      </c>
      <c r="L1255" t="inlineStr">
        <is>
          <t>[Chicago] : University of Chicago Press, [1961]</t>
        </is>
      </c>
      <c r="M1255" t="inlineStr">
        <is>
          <t>1961</t>
        </is>
      </c>
      <c r="O1255" t="inlineStr">
        <is>
          <t>eng</t>
        </is>
      </c>
      <c r="P1255" t="inlineStr">
        <is>
          <t>ilu</t>
        </is>
      </c>
      <c r="R1255" t="inlineStr">
        <is>
          <t xml:space="preserve">DG </t>
        </is>
      </c>
      <c r="S1255" t="n">
        <v>2</v>
      </c>
      <c r="T1255" t="n">
        <v>2</v>
      </c>
      <c r="U1255" t="inlineStr">
        <is>
          <t>1996-09-20</t>
        </is>
      </c>
      <c r="V1255" t="inlineStr">
        <is>
          <t>1996-09-20</t>
        </is>
      </c>
      <c r="W1255" t="inlineStr">
        <is>
          <t>1992-04-02</t>
        </is>
      </c>
      <c r="X1255" t="inlineStr">
        <is>
          <t>1992-04-02</t>
        </is>
      </c>
      <c r="Y1255" t="n">
        <v>1519</v>
      </c>
      <c r="Z1255" t="n">
        <v>1365</v>
      </c>
      <c r="AA1255" t="n">
        <v>1435</v>
      </c>
      <c r="AB1255" t="n">
        <v>9</v>
      </c>
      <c r="AC1255" t="n">
        <v>9</v>
      </c>
      <c r="AD1255" t="n">
        <v>49</v>
      </c>
      <c r="AE1255" t="n">
        <v>52</v>
      </c>
      <c r="AF1255" t="n">
        <v>21</v>
      </c>
      <c r="AG1255" t="n">
        <v>24</v>
      </c>
      <c r="AH1255" t="n">
        <v>11</v>
      </c>
      <c r="AI1255" t="n">
        <v>11</v>
      </c>
      <c r="AJ1255" t="n">
        <v>26</v>
      </c>
      <c r="AK1255" t="n">
        <v>26</v>
      </c>
      <c r="AL1255" t="n">
        <v>5</v>
      </c>
      <c r="AM1255" t="n">
        <v>5</v>
      </c>
      <c r="AN1255" t="n">
        <v>0</v>
      </c>
      <c r="AO1255" t="n">
        <v>0</v>
      </c>
      <c r="AP1255" t="inlineStr">
        <is>
          <t>No</t>
        </is>
      </c>
      <c r="AQ1255" t="inlineStr">
        <is>
          <t>Yes</t>
        </is>
      </c>
      <c r="AR1255">
        <f>HYPERLINK("http://catalog.hathitrust.org/Record/000348758","HathiTrust Record")</f>
        <v/>
      </c>
      <c r="AS1255">
        <f>HYPERLINK("https://creighton-primo.hosted.exlibrisgroup.com/primo-explore/search?tab=default_tab&amp;search_scope=EVERYTHING&amp;vid=01CRU&amp;lang=en_US&amp;offset=0&amp;query=any,contains,991002702359702656","Catalog Record")</f>
        <v/>
      </c>
      <c r="AT1255">
        <f>HYPERLINK("http://www.worldcat.org/oclc/406069","WorldCat Record")</f>
        <v/>
      </c>
      <c r="AU1255" t="inlineStr">
        <is>
          <t>1470555:eng</t>
        </is>
      </c>
      <c r="AV1255" t="inlineStr">
        <is>
          <t>406069</t>
        </is>
      </c>
      <c r="AW1255" t="inlineStr">
        <is>
          <t>991002702359702656</t>
        </is>
      </c>
      <c r="AX1255" t="inlineStr">
        <is>
          <t>991002702359702656</t>
        </is>
      </c>
      <c r="AY1255" t="inlineStr">
        <is>
          <t>2261211270002656</t>
        </is>
      </c>
      <c r="AZ1255" t="inlineStr">
        <is>
          <t>BOOK</t>
        </is>
      </c>
      <c r="BC1255" t="inlineStr">
        <is>
          <t>32285001032985</t>
        </is>
      </c>
      <c r="BD1255" t="inlineStr">
        <is>
          <t>893352473</t>
        </is>
      </c>
    </row>
    <row r="1256">
      <c r="A1256" t="inlineStr">
        <is>
          <t>No</t>
        </is>
      </c>
      <c r="B1256" t="inlineStr">
        <is>
          <t>DG575.M8 G6</t>
        </is>
      </c>
      <c r="C1256" t="inlineStr">
        <is>
          <t>0                      DG 0575000M  8                  G  6</t>
        </is>
      </c>
      <c r="D1256" t="inlineStr">
        <is>
          <t>Mussolini; the birth of the new democracy, by G. M. Godden.</t>
        </is>
      </c>
      <c r="F1256" t="inlineStr">
        <is>
          <t>No</t>
        </is>
      </c>
      <c r="G1256" t="inlineStr">
        <is>
          <t>1</t>
        </is>
      </c>
      <c r="H1256" t="inlineStr">
        <is>
          <t>No</t>
        </is>
      </c>
      <c r="I1256" t="inlineStr">
        <is>
          <t>No</t>
        </is>
      </c>
      <c r="J1256" t="inlineStr">
        <is>
          <t>0</t>
        </is>
      </c>
      <c r="K1256" t="inlineStr">
        <is>
          <t>Godden, G. M. (Gertrude M.)</t>
        </is>
      </c>
      <c r="L1256" t="inlineStr">
        <is>
          <t>London [etc.] Burns, Oates &amp; Washbourne ltd., 1923.</t>
        </is>
      </c>
      <c r="M1256" t="inlineStr">
        <is>
          <t>1923</t>
        </is>
      </c>
      <c r="O1256" t="inlineStr">
        <is>
          <t>eng</t>
        </is>
      </c>
      <c r="P1256" t="inlineStr">
        <is>
          <t>enk</t>
        </is>
      </c>
      <c r="R1256" t="inlineStr">
        <is>
          <t xml:space="preserve">DG </t>
        </is>
      </c>
      <c r="S1256" t="n">
        <v>3</v>
      </c>
      <c r="T1256" t="n">
        <v>3</v>
      </c>
      <c r="U1256" t="inlineStr">
        <is>
          <t>2005-11-22</t>
        </is>
      </c>
      <c r="V1256" t="inlineStr">
        <is>
          <t>2005-11-22</t>
        </is>
      </c>
      <c r="W1256" t="inlineStr">
        <is>
          <t>1997-02-05</t>
        </is>
      </c>
      <c r="X1256" t="inlineStr">
        <is>
          <t>1997-02-05</t>
        </is>
      </c>
      <c r="Y1256" t="n">
        <v>41</v>
      </c>
      <c r="Z1256" t="n">
        <v>21</v>
      </c>
      <c r="AA1256" t="n">
        <v>185</v>
      </c>
      <c r="AB1256" t="n">
        <v>1</v>
      </c>
      <c r="AC1256" t="n">
        <v>3</v>
      </c>
      <c r="AD1256" t="n">
        <v>2</v>
      </c>
      <c r="AE1256" t="n">
        <v>16</v>
      </c>
      <c r="AF1256" t="n">
        <v>0</v>
      </c>
      <c r="AG1256" t="n">
        <v>4</v>
      </c>
      <c r="AH1256" t="n">
        <v>0</v>
      </c>
      <c r="AI1256" t="n">
        <v>4</v>
      </c>
      <c r="AJ1256" t="n">
        <v>2</v>
      </c>
      <c r="AK1256" t="n">
        <v>5</v>
      </c>
      <c r="AL1256" t="n">
        <v>0</v>
      </c>
      <c r="AM1256" t="n">
        <v>1</v>
      </c>
      <c r="AN1256" t="n">
        <v>0</v>
      </c>
      <c r="AO1256" t="n">
        <v>5</v>
      </c>
      <c r="AP1256" t="inlineStr">
        <is>
          <t>No</t>
        </is>
      </c>
      <c r="AQ1256" t="inlineStr">
        <is>
          <t>No</t>
        </is>
      </c>
      <c r="AS1256">
        <f>HYPERLINK("https://creighton-primo.hosted.exlibrisgroup.com/primo-explore/search?tab=default_tab&amp;search_scope=EVERYTHING&amp;vid=01CRU&amp;lang=en_US&amp;offset=0&amp;query=any,contains,991004860089702656","Catalog Record")</f>
        <v/>
      </c>
      <c r="AT1256">
        <f>HYPERLINK("http://www.worldcat.org/oclc/5691417","WorldCat Record")</f>
        <v/>
      </c>
      <c r="AU1256" t="inlineStr">
        <is>
          <t>1760840:eng</t>
        </is>
      </c>
      <c r="AV1256" t="inlineStr">
        <is>
          <t>5691417</t>
        </is>
      </c>
      <c r="AW1256" t="inlineStr">
        <is>
          <t>991004860089702656</t>
        </is>
      </c>
      <c r="AX1256" t="inlineStr">
        <is>
          <t>991004860089702656</t>
        </is>
      </c>
      <c r="AY1256" t="inlineStr">
        <is>
          <t>2267663470002656</t>
        </is>
      </c>
      <c r="AZ1256" t="inlineStr">
        <is>
          <t>BOOK</t>
        </is>
      </c>
      <c r="BC1256" t="inlineStr">
        <is>
          <t>32285002422565</t>
        </is>
      </c>
      <c r="BD1256" t="inlineStr">
        <is>
          <t>893801434</t>
        </is>
      </c>
    </row>
    <row r="1257">
      <c r="A1257" t="inlineStr">
        <is>
          <t>No</t>
        </is>
      </c>
      <c r="B1257" t="inlineStr">
        <is>
          <t>DG575.M8 G77</t>
        </is>
      </c>
      <c r="C1257" t="inlineStr">
        <is>
          <t>0                      DG 0575000M  8                  G  77</t>
        </is>
      </c>
      <c r="D1257" t="inlineStr">
        <is>
          <t>Young Mussolini and the intellectual origins of fascism / A. James Gregor.</t>
        </is>
      </c>
      <c r="F1257" t="inlineStr">
        <is>
          <t>No</t>
        </is>
      </c>
      <c r="G1257" t="inlineStr">
        <is>
          <t>1</t>
        </is>
      </c>
      <c r="H1257" t="inlineStr">
        <is>
          <t>No</t>
        </is>
      </c>
      <c r="I1257" t="inlineStr">
        <is>
          <t>No</t>
        </is>
      </c>
      <c r="J1257" t="inlineStr">
        <is>
          <t>0</t>
        </is>
      </c>
      <c r="K1257" t="inlineStr">
        <is>
          <t>Gregor, A. James (Anthony James), 1929-</t>
        </is>
      </c>
      <c r="L1257" t="inlineStr">
        <is>
          <t>Berkeley : University of California Press, c1979.</t>
        </is>
      </c>
      <c r="M1257" t="inlineStr">
        <is>
          <t>1979</t>
        </is>
      </c>
      <c r="O1257" t="inlineStr">
        <is>
          <t>eng</t>
        </is>
      </c>
      <c r="P1257" t="inlineStr">
        <is>
          <t>cau</t>
        </is>
      </c>
      <c r="R1257" t="inlineStr">
        <is>
          <t xml:space="preserve">DG </t>
        </is>
      </c>
      <c r="S1257" t="n">
        <v>5</v>
      </c>
      <c r="T1257" t="n">
        <v>5</v>
      </c>
      <c r="U1257" t="inlineStr">
        <is>
          <t>2010-04-15</t>
        </is>
      </c>
      <c r="V1257" t="inlineStr">
        <is>
          <t>2010-04-15</t>
        </is>
      </c>
      <c r="W1257" t="inlineStr">
        <is>
          <t>1990-07-09</t>
        </is>
      </c>
      <c r="X1257" t="inlineStr">
        <is>
          <t>1990-07-09</t>
        </is>
      </c>
      <c r="Y1257" t="n">
        <v>690</v>
      </c>
      <c r="Z1257" t="n">
        <v>533</v>
      </c>
      <c r="AA1257" t="n">
        <v>533</v>
      </c>
      <c r="AB1257" t="n">
        <v>4</v>
      </c>
      <c r="AC1257" t="n">
        <v>4</v>
      </c>
      <c r="AD1257" t="n">
        <v>27</v>
      </c>
      <c r="AE1257" t="n">
        <v>27</v>
      </c>
      <c r="AF1257" t="n">
        <v>11</v>
      </c>
      <c r="AG1257" t="n">
        <v>11</v>
      </c>
      <c r="AH1257" t="n">
        <v>8</v>
      </c>
      <c r="AI1257" t="n">
        <v>8</v>
      </c>
      <c r="AJ1257" t="n">
        <v>13</v>
      </c>
      <c r="AK1257" t="n">
        <v>13</v>
      </c>
      <c r="AL1257" t="n">
        <v>3</v>
      </c>
      <c r="AM1257" t="n">
        <v>3</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HYPERLINK("https://creighton-primo.hosted.exlibrisgroup.com/primo-explore/search?tab=default_tab&amp;search_scope=EVERYTHING&amp;vid=01CRU&amp;lang=en_US&amp;offset=0&amp;query=any,contains,991004872039702656","Catalog Record")</f>
        <v/>
      </c>
      <c r="AT1257">
        <f>HYPERLINK("http://www.worldcat.org/oclc/5763557","WorldCat Record")</f>
        <v/>
      </c>
      <c r="AU1257" t="inlineStr">
        <is>
          <t>501899:eng</t>
        </is>
      </c>
      <c r="AV1257" t="inlineStr">
        <is>
          <t>5763557</t>
        </is>
      </c>
      <c r="AW1257" t="inlineStr">
        <is>
          <t>991004872039702656</t>
        </is>
      </c>
      <c r="AX1257" t="inlineStr">
        <is>
          <t>991004872039702656</t>
        </is>
      </c>
      <c r="AY1257" t="inlineStr">
        <is>
          <t>2270008670002656</t>
        </is>
      </c>
      <c r="AZ1257" t="inlineStr">
        <is>
          <t>BOOK</t>
        </is>
      </c>
      <c r="BB1257" t="inlineStr">
        <is>
          <t>9780520037991</t>
        </is>
      </c>
      <c r="BC1257" t="inlineStr">
        <is>
          <t>32285000226653</t>
        </is>
      </c>
      <c r="BD1257" t="inlineStr">
        <is>
          <t>893532889</t>
        </is>
      </c>
    </row>
    <row r="1258">
      <c r="A1258" t="inlineStr">
        <is>
          <t>No</t>
        </is>
      </c>
      <c r="B1258" t="inlineStr">
        <is>
          <t>DG575.M8 K5</t>
        </is>
      </c>
      <c r="C1258" t="inlineStr">
        <is>
          <t>0                      DG 0575000M  8                  K  5</t>
        </is>
      </c>
      <c r="D1258" t="inlineStr">
        <is>
          <t>Mussolini, a study in power.</t>
        </is>
      </c>
      <c r="F1258" t="inlineStr">
        <is>
          <t>No</t>
        </is>
      </c>
      <c r="G1258" t="inlineStr">
        <is>
          <t>1</t>
        </is>
      </c>
      <c r="H1258" t="inlineStr">
        <is>
          <t>No</t>
        </is>
      </c>
      <c r="I1258" t="inlineStr">
        <is>
          <t>No</t>
        </is>
      </c>
      <c r="J1258" t="inlineStr">
        <is>
          <t>0</t>
        </is>
      </c>
      <c r="K1258" t="inlineStr">
        <is>
          <t>Kirkpatrick, Ivone, Sir.</t>
        </is>
      </c>
      <c r="L1258" t="inlineStr">
        <is>
          <t>New York : Hawthorn Books, [1964]</t>
        </is>
      </c>
      <c r="M1258" t="inlineStr">
        <is>
          <t>1964</t>
        </is>
      </c>
      <c r="N1258" t="inlineStr">
        <is>
          <t>[1st ed.]</t>
        </is>
      </c>
      <c r="O1258" t="inlineStr">
        <is>
          <t>eng</t>
        </is>
      </c>
      <c r="P1258" t="inlineStr">
        <is>
          <t>nyu</t>
        </is>
      </c>
      <c r="R1258" t="inlineStr">
        <is>
          <t xml:space="preserve">DG </t>
        </is>
      </c>
      <c r="S1258" t="n">
        <v>1</v>
      </c>
      <c r="T1258" t="n">
        <v>1</v>
      </c>
      <c r="U1258" t="inlineStr">
        <is>
          <t>2002-04-10</t>
        </is>
      </c>
      <c r="V1258" t="inlineStr">
        <is>
          <t>2002-04-10</t>
        </is>
      </c>
      <c r="W1258" t="inlineStr">
        <is>
          <t>1992-04-02</t>
        </is>
      </c>
      <c r="X1258" t="inlineStr">
        <is>
          <t>1992-04-02</t>
        </is>
      </c>
      <c r="Y1258" t="n">
        <v>1061</v>
      </c>
      <c r="Z1258" t="n">
        <v>999</v>
      </c>
      <c r="AA1258" t="n">
        <v>1095</v>
      </c>
      <c r="AB1258" t="n">
        <v>8</v>
      </c>
      <c r="AC1258" t="n">
        <v>9</v>
      </c>
      <c r="AD1258" t="n">
        <v>38</v>
      </c>
      <c r="AE1258" t="n">
        <v>41</v>
      </c>
      <c r="AF1258" t="n">
        <v>15</v>
      </c>
      <c r="AG1258" t="n">
        <v>17</v>
      </c>
      <c r="AH1258" t="n">
        <v>8</v>
      </c>
      <c r="AI1258" t="n">
        <v>8</v>
      </c>
      <c r="AJ1258" t="n">
        <v>16</v>
      </c>
      <c r="AK1258" t="n">
        <v>17</v>
      </c>
      <c r="AL1258" t="n">
        <v>6</v>
      </c>
      <c r="AM1258" t="n">
        <v>7</v>
      </c>
      <c r="AN1258" t="n">
        <v>1</v>
      </c>
      <c r="AO1258" t="n">
        <v>1</v>
      </c>
      <c r="AP1258" t="inlineStr">
        <is>
          <t>No</t>
        </is>
      </c>
      <c r="AQ1258" t="inlineStr">
        <is>
          <t>Yes</t>
        </is>
      </c>
      <c r="AR1258">
        <f>HYPERLINK("http://catalog.hathitrust.org/Record/000348944","HathiTrust Record")</f>
        <v/>
      </c>
      <c r="AS1258">
        <f>HYPERLINK("https://creighton-primo.hosted.exlibrisgroup.com/primo-explore/search?tab=default_tab&amp;search_scope=EVERYTHING&amp;vid=01CRU&amp;lang=en_US&amp;offset=0&amp;query=any,contains,991003244369702656","Catalog Record")</f>
        <v/>
      </c>
      <c r="AT1258">
        <f>HYPERLINK("http://www.worldcat.org/oclc/767355","WorldCat Record")</f>
        <v/>
      </c>
      <c r="AU1258" t="inlineStr">
        <is>
          <t>3901172685:eng</t>
        </is>
      </c>
      <c r="AV1258" t="inlineStr">
        <is>
          <t>767355</t>
        </is>
      </c>
      <c r="AW1258" t="inlineStr">
        <is>
          <t>991003244369702656</t>
        </is>
      </c>
      <c r="AX1258" t="inlineStr">
        <is>
          <t>991003244369702656</t>
        </is>
      </c>
      <c r="AY1258" t="inlineStr">
        <is>
          <t>2267178350002656</t>
        </is>
      </c>
      <c r="AZ1258" t="inlineStr">
        <is>
          <t>BOOK</t>
        </is>
      </c>
      <c r="BC1258" t="inlineStr">
        <is>
          <t>32285001032977</t>
        </is>
      </c>
      <c r="BD1258" t="inlineStr">
        <is>
          <t>893617144</t>
        </is>
      </c>
    </row>
    <row r="1259">
      <c r="A1259" t="inlineStr">
        <is>
          <t>No</t>
        </is>
      </c>
      <c r="B1259" t="inlineStr">
        <is>
          <t>DG575.M8 M22</t>
        </is>
      </c>
      <c r="C1259" t="inlineStr">
        <is>
          <t>0                      DG 0575000M  8                  M  22</t>
        </is>
      </c>
      <c r="D1259" t="inlineStr">
        <is>
          <t>The day of the lion : the life and death of fascist Italy, 1922-1945 / Roy MacGregor-Hastie.</t>
        </is>
      </c>
      <c r="F1259" t="inlineStr">
        <is>
          <t>No</t>
        </is>
      </c>
      <c r="G1259" t="inlineStr">
        <is>
          <t>1</t>
        </is>
      </c>
      <c r="H1259" t="inlineStr">
        <is>
          <t>No</t>
        </is>
      </c>
      <c r="I1259" t="inlineStr">
        <is>
          <t>No</t>
        </is>
      </c>
      <c r="J1259" t="inlineStr">
        <is>
          <t>0</t>
        </is>
      </c>
      <c r="K1259" t="inlineStr">
        <is>
          <t>MacGregor-Hastie, Roy.</t>
        </is>
      </c>
      <c r="L1259" t="inlineStr">
        <is>
          <t>New York : Coward-McCann, c1963.</t>
        </is>
      </c>
      <c r="M1259" t="inlineStr">
        <is>
          <t>1963</t>
        </is>
      </c>
      <c r="O1259" t="inlineStr">
        <is>
          <t>eng</t>
        </is>
      </c>
      <c r="P1259" t="inlineStr">
        <is>
          <t>nyu</t>
        </is>
      </c>
      <c r="R1259" t="inlineStr">
        <is>
          <t xml:space="preserve">DG </t>
        </is>
      </c>
      <c r="S1259" t="n">
        <v>2</v>
      </c>
      <c r="T1259" t="n">
        <v>2</v>
      </c>
      <c r="U1259" t="inlineStr">
        <is>
          <t>2008-11-26</t>
        </is>
      </c>
      <c r="V1259" t="inlineStr">
        <is>
          <t>2008-11-26</t>
        </is>
      </c>
      <c r="W1259" t="inlineStr">
        <is>
          <t>1997-02-05</t>
        </is>
      </c>
      <c r="X1259" t="inlineStr">
        <is>
          <t>1997-02-05</t>
        </is>
      </c>
      <c r="Y1259" t="n">
        <v>19</v>
      </c>
      <c r="Z1259" t="n">
        <v>18</v>
      </c>
      <c r="AA1259" t="n">
        <v>749</v>
      </c>
      <c r="AB1259" t="n">
        <v>1</v>
      </c>
      <c r="AC1259" t="n">
        <v>6</v>
      </c>
      <c r="AD1259" t="n">
        <v>0</v>
      </c>
      <c r="AE1259" t="n">
        <v>35</v>
      </c>
      <c r="AF1259" t="n">
        <v>0</v>
      </c>
      <c r="AG1259" t="n">
        <v>15</v>
      </c>
      <c r="AH1259" t="n">
        <v>0</v>
      </c>
      <c r="AI1259" t="n">
        <v>5</v>
      </c>
      <c r="AJ1259" t="n">
        <v>0</v>
      </c>
      <c r="AK1259" t="n">
        <v>19</v>
      </c>
      <c r="AL1259" t="n">
        <v>0</v>
      </c>
      <c r="AM1259" t="n">
        <v>5</v>
      </c>
      <c r="AN1259" t="n">
        <v>0</v>
      </c>
      <c r="AO1259" t="n">
        <v>0</v>
      </c>
      <c r="AP1259" t="inlineStr">
        <is>
          <t>No</t>
        </is>
      </c>
      <c r="AQ1259" t="inlineStr">
        <is>
          <t>No</t>
        </is>
      </c>
      <c r="AS1259">
        <f>HYPERLINK("https://creighton-primo.hosted.exlibrisgroup.com/primo-explore/search?tab=default_tab&amp;search_scope=EVERYTHING&amp;vid=01CRU&amp;lang=en_US&amp;offset=0&amp;query=any,contains,991001793739702656","Catalog Record")</f>
        <v/>
      </c>
      <c r="AT1259">
        <f>HYPERLINK("http://www.worldcat.org/oclc/22587374","WorldCat Record")</f>
        <v/>
      </c>
      <c r="AU1259" t="inlineStr">
        <is>
          <t>344673656:eng</t>
        </is>
      </c>
      <c r="AV1259" t="inlineStr">
        <is>
          <t>22587374</t>
        </is>
      </c>
      <c r="AW1259" t="inlineStr">
        <is>
          <t>991001793739702656</t>
        </is>
      </c>
      <c r="AX1259" t="inlineStr">
        <is>
          <t>991001793739702656</t>
        </is>
      </c>
      <c r="AY1259" t="inlineStr">
        <is>
          <t>2260194890002656</t>
        </is>
      </c>
      <c r="AZ1259" t="inlineStr">
        <is>
          <t>BOOK</t>
        </is>
      </c>
      <c r="BC1259" t="inlineStr">
        <is>
          <t>32285002423209</t>
        </is>
      </c>
      <c r="BD1259" t="inlineStr">
        <is>
          <t>893621630</t>
        </is>
      </c>
    </row>
    <row r="1260">
      <c r="A1260" t="inlineStr">
        <is>
          <t>No</t>
        </is>
      </c>
      <c r="B1260" t="inlineStr">
        <is>
          <t>DG575.M8 M223 1982</t>
        </is>
      </c>
      <c r="C1260" t="inlineStr">
        <is>
          <t>0                      DG 0575000M  8                  M  223         1982</t>
        </is>
      </c>
      <c r="D1260" t="inlineStr">
        <is>
          <t>Mussolini / Denis Mack Smith.</t>
        </is>
      </c>
      <c r="F1260" t="inlineStr">
        <is>
          <t>No</t>
        </is>
      </c>
      <c r="G1260" t="inlineStr">
        <is>
          <t>1</t>
        </is>
      </c>
      <c r="H1260" t="inlineStr">
        <is>
          <t>No</t>
        </is>
      </c>
      <c r="I1260" t="inlineStr">
        <is>
          <t>No</t>
        </is>
      </c>
      <c r="J1260" t="inlineStr">
        <is>
          <t>0</t>
        </is>
      </c>
      <c r="K1260" t="inlineStr">
        <is>
          <t>Mack Smith, Denis, 1920-2017.</t>
        </is>
      </c>
      <c r="L1260" t="inlineStr">
        <is>
          <t>New York : Knopf, 1982.</t>
        </is>
      </c>
      <c r="M1260" t="inlineStr">
        <is>
          <t>1982</t>
        </is>
      </c>
      <c r="N1260" t="inlineStr">
        <is>
          <t>1st American ed.</t>
        </is>
      </c>
      <c r="O1260" t="inlineStr">
        <is>
          <t>eng</t>
        </is>
      </c>
      <c r="P1260" t="inlineStr">
        <is>
          <t>nyu</t>
        </is>
      </c>
      <c r="R1260" t="inlineStr">
        <is>
          <t xml:space="preserve">DG </t>
        </is>
      </c>
      <c r="S1260" t="n">
        <v>10</v>
      </c>
      <c r="T1260" t="n">
        <v>10</v>
      </c>
      <c r="U1260" t="inlineStr">
        <is>
          <t>2000-02-03</t>
        </is>
      </c>
      <c r="V1260" t="inlineStr">
        <is>
          <t>2000-02-03</t>
        </is>
      </c>
      <c r="W1260" t="inlineStr">
        <is>
          <t>1990-04-20</t>
        </is>
      </c>
      <c r="X1260" t="inlineStr">
        <is>
          <t>1990-04-20</t>
        </is>
      </c>
      <c r="Y1260" t="n">
        <v>1538</v>
      </c>
      <c r="Z1260" t="n">
        <v>1457</v>
      </c>
      <c r="AA1260" t="n">
        <v>1675</v>
      </c>
      <c r="AB1260" t="n">
        <v>10</v>
      </c>
      <c r="AC1260" t="n">
        <v>13</v>
      </c>
      <c r="AD1260" t="n">
        <v>44</v>
      </c>
      <c r="AE1260" t="n">
        <v>49</v>
      </c>
      <c r="AF1260" t="n">
        <v>20</v>
      </c>
      <c r="AG1260" t="n">
        <v>20</v>
      </c>
      <c r="AH1260" t="n">
        <v>9</v>
      </c>
      <c r="AI1260" t="n">
        <v>9</v>
      </c>
      <c r="AJ1260" t="n">
        <v>21</v>
      </c>
      <c r="AK1260" t="n">
        <v>24</v>
      </c>
      <c r="AL1260" t="n">
        <v>6</v>
      </c>
      <c r="AM1260" t="n">
        <v>8</v>
      </c>
      <c r="AN1260" t="n">
        <v>0</v>
      </c>
      <c r="AO1260" t="n">
        <v>0</v>
      </c>
      <c r="AP1260" t="inlineStr">
        <is>
          <t>No</t>
        </is>
      </c>
      <c r="AQ1260" t="inlineStr">
        <is>
          <t>Yes</t>
        </is>
      </c>
      <c r="AR1260">
        <f>HYPERLINK("http://catalog.hathitrust.org/Record/000764924","HathiTrust Record")</f>
        <v/>
      </c>
      <c r="AS1260">
        <f>HYPERLINK("https://creighton-primo.hosted.exlibrisgroup.com/primo-explore/search?tab=default_tab&amp;search_scope=EVERYTHING&amp;vid=01CRU&amp;lang=en_US&amp;offset=0&amp;query=any,contains,991005214249702656","Catalog Record")</f>
        <v/>
      </c>
      <c r="AT1260">
        <f>HYPERLINK("http://www.worldcat.org/oclc/8172144","WorldCat Record")</f>
        <v/>
      </c>
      <c r="AU1260" t="inlineStr">
        <is>
          <t>462946:eng</t>
        </is>
      </c>
      <c r="AV1260" t="inlineStr">
        <is>
          <t>8172144</t>
        </is>
      </c>
      <c r="AW1260" t="inlineStr">
        <is>
          <t>991005214249702656</t>
        </is>
      </c>
      <c r="AX1260" t="inlineStr">
        <is>
          <t>991005214249702656</t>
        </is>
      </c>
      <c r="AY1260" t="inlineStr">
        <is>
          <t>2256984780002656</t>
        </is>
      </c>
      <c r="AZ1260" t="inlineStr">
        <is>
          <t>BOOK</t>
        </is>
      </c>
      <c r="BB1260" t="inlineStr">
        <is>
          <t>9780394506944</t>
        </is>
      </c>
      <c r="BC1260" t="inlineStr">
        <is>
          <t>32285000130350</t>
        </is>
      </c>
      <c r="BD1260" t="inlineStr">
        <is>
          <t>893507788</t>
        </is>
      </c>
    </row>
    <row r="1261">
      <c r="A1261" t="inlineStr">
        <is>
          <t>No</t>
        </is>
      </c>
      <c r="B1261" t="inlineStr">
        <is>
          <t>DG575.M8 M835313 1974</t>
        </is>
      </c>
      <c r="C1261" t="inlineStr">
        <is>
          <t>0                      DG 0575000M  8                  M  835313      1974</t>
        </is>
      </c>
      <c r="D1261" t="inlineStr">
        <is>
          <t>Mussolini : an intimate biography / by his widow, Rachele Mussolini, as told to Albert Zarca.</t>
        </is>
      </c>
      <c r="F1261" t="inlineStr">
        <is>
          <t>No</t>
        </is>
      </c>
      <c r="G1261" t="inlineStr">
        <is>
          <t>1</t>
        </is>
      </c>
      <c r="H1261" t="inlineStr">
        <is>
          <t>No</t>
        </is>
      </c>
      <c r="I1261" t="inlineStr">
        <is>
          <t>No</t>
        </is>
      </c>
      <c r="J1261" t="inlineStr">
        <is>
          <t>0</t>
        </is>
      </c>
      <c r="K1261" t="inlineStr">
        <is>
          <t>Mussolini, Rachele, 1890-1979.</t>
        </is>
      </c>
      <c r="L1261" t="inlineStr">
        <is>
          <t>New York : Morrow, 1974.</t>
        </is>
      </c>
      <c r="M1261" t="inlineStr">
        <is>
          <t>1974</t>
        </is>
      </c>
      <c r="O1261" t="inlineStr">
        <is>
          <t>eng</t>
        </is>
      </c>
      <c r="P1261" t="inlineStr">
        <is>
          <t>nyu</t>
        </is>
      </c>
      <c r="R1261" t="inlineStr">
        <is>
          <t xml:space="preserve">DG </t>
        </is>
      </c>
      <c r="S1261" t="n">
        <v>2</v>
      </c>
      <c r="T1261" t="n">
        <v>2</v>
      </c>
      <c r="U1261" t="inlineStr">
        <is>
          <t>2002-04-08</t>
        </is>
      </c>
      <c r="V1261" t="inlineStr">
        <is>
          <t>2002-04-08</t>
        </is>
      </c>
      <c r="W1261" t="inlineStr">
        <is>
          <t>1992-04-01</t>
        </is>
      </c>
      <c r="X1261" t="inlineStr">
        <is>
          <t>1992-04-01</t>
        </is>
      </c>
      <c r="Y1261" t="n">
        <v>748</v>
      </c>
      <c r="Z1261" t="n">
        <v>704</v>
      </c>
      <c r="AA1261" t="n">
        <v>722</v>
      </c>
      <c r="AB1261" t="n">
        <v>4</v>
      </c>
      <c r="AC1261" t="n">
        <v>4</v>
      </c>
      <c r="AD1261" t="n">
        <v>20</v>
      </c>
      <c r="AE1261" t="n">
        <v>21</v>
      </c>
      <c r="AF1261" t="n">
        <v>8</v>
      </c>
      <c r="AG1261" t="n">
        <v>9</v>
      </c>
      <c r="AH1261" t="n">
        <v>6</v>
      </c>
      <c r="AI1261" t="n">
        <v>6</v>
      </c>
      <c r="AJ1261" t="n">
        <v>10</v>
      </c>
      <c r="AK1261" t="n">
        <v>10</v>
      </c>
      <c r="AL1261" t="n">
        <v>2</v>
      </c>
      <c r="AM1261" t="n">
        <v>2</v>
      </c>
      <c r="AN1261" t="n">
        <v>0</v>
      </c>
      <c r="AO1261" t="n">
        <v>0</v>
      </c>
      <c r="AP1261" t="inlineStr">
        <is>
          <t>No</t>
        </is>
      </c>
      <c r="AQ1261" t="inlineStr">
        <is>
          <t>Yes</t>
        </is>
      </c>
      <c r="AR1261">
        <f>HYPERLINK("http://catalog.hathitrust.org/Record/000012120","HathiTrust Record")</f>
        <v/>
      </c>
      <c r="AS1261">
        <f>HYPERLINK("https://creighton-primo.hosted.exlibrisgroup.com/primo-explore/search?tab=default_tab&amp;search_scope=EVERYTHING&amp;vid=01CRU&amp;lang=en_US&amp;offset=0&amp;query=any,contains,991003284219702656","Catalog Record")</f>
        <v/>
      </c>
      <c r="AT1261">
        <f>HYPERLINK("http://www.worldcat.org/oclc/805948","WorldCat Record")</f>
        <v/>
      </c>
      <c r="AU1261" t="inlineStr">
        <is>
          <t>5092845652:eng</t>
        </is>
      </c>
      <c r="AV1261" t="inlineStr">
        <is>
          <t>805948</t>
        </is>
      </c>
      <c r="AW1261" t="inlineStr">
        <is>
          <t>991003284219702656</t>
        </is>
      </c>
      <c r="AX1261" t="inlineStr">
        <is>
          <t>991003284219702656</t>
        </is>
      </c>
      <c r="AY1261" t="inlineStr">
        <is>
          <t>2265367110002656</t>
        </is>
      </c>
      <c r="AZ1261" t="inlineStr">
        <is>
          <t>BOOK</t>
        </is>
      </c>
      <c r="BB1261" t="inlineStr">
        <is>
          <t>9780688002664</t>
        </is>
      </c>
      <c r="BC1261" t="inlineStr">
        <is>
          <t>32285001031490</t>
        </is>
      </c>
      <c r="BD1261" t="inlineStr">
        <is>
          <t>893604622</t>
        </is>
      </c>
    </row>
    <row r="1262">
      <c r="A1262" t="inlineStr">
        <is>
          <t>No</t>
        </is>
      </c>
      <c r="B1262" t="inlineStr">
        <is>
          <t>DG575.M8 S3 1925a</t>
        </is>
      </c>
      <c r="C1262" t="inlineStr">
        <is>
          <t>0                      DG 0575000M  8                  S  3           1925a</t>
        </is>
      </c>
      <c r="D1262" t="inlineStr">
        <is>
          <t>The life of Benito Mussolini, from the Italian of Margherita G. Sarfatti, with a preface by Benito Mussolini; translated by Frederic Whyte.</t>
        </is>
      </c>
      <c r="F1262" t="inlineStr">
        <is>
          <t>No</t>
        </is>
      </c>
      <c r="G1262" t="inlineStr">
        <is>
          <t>1</t>
        </is>
      </c>
      <c r="H1262" t="inlineStr">
        <is>
          <t>No</t>
        </is>
      </c>
      <c r="I1262" t="inlineStr">
        <is>
          <t>No</t>
        </is>
      </c>
      <c r="J1262" t="inlineStr">
        <is>
          <t>0</t>
        </is>
      </c>
      <c r="K1262" t="inlineStr">
        <is>
          <t>Sarfatti, Margherita, 1880-1961.</t>
        </is>
      </c>
      <c r="L1262" t="inlineStr">
        <is>
          <t>New York, Frederick A. Stokes Company [1925]</t>
        </is>
      </c>
      <c r="M1262" t="inlineStr">
        <is>
          <t>1925</t>
        </is>
      </c>
      <c r="O1262" t="inlineStr">
        <is>
          <t>eng</t>
        </is>
      </c>
      <c r="P1262" t="inlineStr">
        <is>
          <t>nyu</t>
        </is>
      </c>
      <c r="R1262" t="inlineStr">
        <is>
          <t xml:space="preserve">DG </t>
        </is>
      </c>
      <c r="S1262" t="n">
        <v>3</v>
      </c>
      <c r="T1262" t="n">
        <v>3</v>
      </c>
      <c r="U1262" t="inlineStr">
        <is>
          <t>2010-04-15</t>
        </is>
      </c>
      <c r="V1262" t="inlineStr">
        <is>
          <t>2010-04-15</t>
        </is>
      </c>
      <c r="W1262" t="inlineStr">
        <is>
          <t>1997-02-05</t>
        </is>
      </c>
      <c r="X1262" t="inlineStr">
        <is>
          <t>1997-02-05</t>
        </is>
      </c>
      <c r="Y1262" t="n">
        <v>245</v>
      </c>
      <c r="Z1262" t="n">
        <v>237</v>
      </c>
      <c r="AA1262" t="n">
        <v>337</v>
      </c>
      <c r="AB1262" t="n">
        <v>2</v>
      </c>
      <c r="AC1262" t="n">
        <v>2</v>
      </c>
      <c r="AD1262" t="n">
        <v>10</v>
      </c>
      <c r="AE1262" t="n">
        <v>10</v>
      </c>
      <c r="AF1262" t="n">
        <v>3</v>
      </c>
      <c r="AG1262" t="n">
        <v>3</v>
      </c>
      <c r="AH1262" t="n">
        <v>4</v>
      </c>
      <c r="AI1262" t="n">
        <v>4</v>
      </c>
      <c r="AJ1262" t="n">
        <v>5</v>
      </c>
      <c r="AK1262" t="n">
        <v>5</v>
      </c>
      <c r="AL1262" t="n">
        <v>1</v>
      </c>
      <c r="AM1262" t="n">
        <v>1</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HYPERLINK("https://creighton-primo.hosted.exlibrisgroup.com/primo-explore/search?tab=default_tab&amp;search_scope=EVERYTHING&amp;vid=01CRU&amp;lang=en_US&amp;offset=0&amp;query=any,contains,991003016049702656","Catalog Record")</f>
        <v/>
      </c>
      <c r="AT1262">
        <f>HYPERLINK("http://www.worldcat.org/oclc/581015","WorldCat Record")</f>
        <v/>
      </c>
      <c r="AU1262" t="inlineStr">
        <is>
          <t>3176352:eng</t>
        </is>
      </c>
      <c r="AV1262" t="inlineStr">
        <is>
          <t>581015</t>
        </is>
      </c>
      <c r="AW1262" t="inlineStr">
        <is>
          <t>991003016049702656</t>
        </is>
      </c>
      <c r="AX1262" t="inlineStr">
        <is>
          <t>991003016049702656</t>
        </is>
      </c>
      <c r="AY1262" t="inlineStr">
        <is>
          <t>2271635420002656</t>
        </is>
      </c>
      <c r="AZ1262" t="inlineStr">
        <is>
          <t>BOOK</t>
        </is>
      </c>
      <c r="BC1262" t="inlineStr">
        <is>
          <t>32285002422581</t>
        </is>
      </c>
      <c r="BD1262" t="inlineStr">
        <is>
          <t>893899532</t>
        </is>
      </c>
    </row>
    <row r="1263">
      <c r="A1263" t="inlineStr">
        <is>
          <t>No</t>
        </is>
      </c>
      <c r="B1263" t="inlineStr">
        <is>
          <t>DG576.8 .D56 2002</t>
        </is>
      </c>
      <c r="C1263" t="inlineStr">
        <is>
          <t>0                      DG 0576800D  56          2002</t>
        </is>
      </c>
      <c r="D1263" t="inlineStr">
        <is>
          <t>Appunti di storia della prima Repubblica / Francesco Di Natale.</t>
        </is>
      </c>
      <c r="F1263" t="inlineStr">
        <is>
          <t>No</t>
        </is>
      </c>
      <c r="G1263" t="inlineStr">
        <is>
          <t>1</t>
        </is>
      </c>
      <c r="H1263" t="inlineStr">
        <is>
          <t>No</t>
        </is>
      </c>
      <c r="I1263" t="inlineStr">
        <is>
          <t>No</t>
        </is>
      </c>
      <c r="J1263" t="inlineStr">
        <is>
          <t>0</t>
        </is>
      </c>
      <c r="K1263" t="inlineStr">
        <is>
          <t>Di Natale, Francesco.</t>
        </is>
      </c>
      <c r="L1263" t="inlineStr">
        <is>
          <t>Perugia : Guerra Edizioni, 2000.</t>
        </is>
      </c>
      <c r="M1263" t="inlineStr">
        <is>
          <t>2000</t>
        </is>
      </c>
      <c r="N1263" t="inlineStr">
        <is>
          <t>2a ed.</t>
        </is>
      </c>
      <c r="O1263" t="inlineStr">
        <is>
          <t>ita</t>
        </is>
      </c>
      <c r="P1263" t="inlineStr">
        <is>
          <t xml:space="preserve">it </t>
        </is>
      </c>
      <c r="R1263" t="inlineStr">
        <is>
          <t xml:space="preserve">DG </t>
        </is>
      </c>
      <c r="S1263" t="n">
        <v>9</v>
      </c>
      <c r="T1263" t="n">
        <v>9</v>
      </c>
      <c r="U1263" t="inlineStr">
        <is>
          <t>2009-11-02</t>
        </is>
      </c>
      <c r="V1263" t="inlineStr">
        <is>
          <t>2009-11-02</t>
        </is>
      </c>
      <c r="W1263" t="inlineStr">
        <is>
          <t>2003-05-01</t>
        </is>
      </c>
      <c r="X1263" t="inlineStr">
        <is>
          <t>2003-05-01</t>
        </is>
      </c>
      <c r="Y1263" t="n">
        <v>9</v>
      </c>
      <c r="Z1263" t="n">
        <v>4</v>
      </c>
      <c r="AA1263" t="n">
        <v>8</v>
      </c>
      <c r="AB1263" t="n">
        <v>1</v>
      </c>
      <c r="AC1263" t="n">
        <v>1</v>
      </c>
      <c r="AD1263" t="n">
        <v>0</v>
      </c>
      <c r="AE1263" t="n">
        <v>0</v>
      </c>
      <c r="AF1263" t="n">
        <v>0</v>
      </c>
      <c r="AG1263" t="n">
        <v>0</v>
      </c>
      <c r="AH1263" t="n">
        <v>0</v>
      </c>
      <c r="AI1263" t="n">
        <v>0</v>
      </c>
      <c r="AJ1263" t="n">
        <v>0</v>
      </c>
      <c r="AK1263" t="n">
        <v>0</v>
      </c>
      <c r="AL1263" t="n">
        <v>0</v>
      </c>
      <c r="AM1263" t="n">
        <v>0</v>
      </c>
      <c r="AN1263" t="n">
        <v>0</v>
      </c>
      <c r="AO1263" t="n">
        <v>0</v>
      </c>
      <c r="AP1263" t="inlineStr">
        <is>
          <t>No</t>
        </is>
      </c>
      <c r="AQ1263" t="inlineStr">
        <is>
          <t>Yes</t>
        </is>
      </c>
      <c r="AR1263">
        <f>HYPERLINK("http://catalog.hathitrust.org/Record/005680651","HathiTrust Record")</f>
        <v/>
      </c>
      <c r="AS1263">
        <f>HYPERLINK("https://creighton-primo.hosted.exlibrisgroup.com/primo-explore/search?tab=default_tab&amp;search_scope=EVERYTHING&amp;vid=01CRU&amp;lang=en_US&amp;offset=0&amp;query=any,contains,991004043959702656","Catalog Record")</f>
        <v/>
      </c>
      <c r="AT1263">
        <f>HYPERLINK("http://www.worldcat.org/oclc/52065190","WorldCat Record")</f>
        <v/>
      </c>
      <c r="AU1263" t="inlineStr">
        <is>
          <t>9317901:ita</t>
        </is>
      </c>
      <c r="AV1263" t="inlineStr">
        <is>
          <t>52065190</t>
        </is>
      </c>
      <c r="AW1263" t="inlineStr">
        <is>
          <t>991004043959702656</t>
        </is>
      </c>
      <c r="AX1263" t="inlineStr">
        <is>
          <t>991004043959702656</t>
        </is>
      </c>
      <c r="AY1263" t="inlineStr">
        <is>
          <t>2259495320002656</t>
        </is>
      </c>
      <c r="AZ1263" t="inlineStr">
        <is>
          <t>BOOK</t>
        </is>
      </c>
      <c r="BB1263" t="inlineStr">
        <is>
          <t>9788877153593</t>
        </is>
      </c>
      <c r="BC1263" t="inlineStr">
        <is>
          <t>32285004744990</t>
        </is>
      </c>
      <c r="BD1263" t="inlineStr">
        <is>
          <t>893894504</t>
        </is>
      </c>
    </row>
    <row r="1264">
      <c r="A1264" t="inlineStr">
        <is>
          <t>No</t>
        </is>
      </c>
      <c r="B1264" t="inlineStr">
        <is>
          <t>DG577 .B85 1996</t>
        </is>
      </c>
      <c r="C1264" t="inlineStr">
        <is>
          <t>0                      DG 0577000B  85          1996</t>
        </is>
      </c>
      <c r="D1264" t="inlineStr">
        <is>
          <t>Contemporary Italy : a research guide / Martin J. Bull.</t>
        </is>
      </c>
      <c r="F1264" t="inlineStr">
        <is>
          <t>No</t>
        </is>
      </c>
      <c r="G1264" t="inlineStr">
        <is>
          <t>1</t>
        </is>
      </c>
      <c r="H1264" t="inlineStr">
        <is>
          <t>No</t>
        </is>
      </c>
      <c r="I1264" t="inlineStr">
        <is>
          <t>No</t>
        </is>
      </c>
      <c r="J1264" t="inlineStr">
        <is>
          <t>0</t>
        </is>
      </c>
      <c r="K1264" t="inlineStr">
        <is>
          <t>Bull, Martin J.</t>
        </is>
      </c>
      <c r="L1264" t="inlineStr">
        <is>
          <t>Westport, Conn. : Greenwood Press, 1996.</t>
        </is>
      </c>
      <c r="M1264" t="inlineStr">
        <is>
          <t>1996</t>
        </is>
      </c>
      <c r="O1264" t="inlineStr">
        <is>
          <t>eng</t>
        </is>
      </c>
      <c r="P1264" t="inlineStr">
        <is>
          <t>ctu</t>
        </is>
      </c>
      <c r="Q1264" t="inlineStr">
        <is>
          <t>Bibliographies and indexes in world history, 0742-6852 ; no. 43</t>
        </is>
      </c>
      <c r="R1264" t="inlineStr">
        <is>
          <t xml:space="preserve">DG </t>
        </is>
      </c>
      <c r="S1264" t="n">
        <v>3</v>
      </c>
      <c r="T1264" t="n">
        <v>3</v>
      </c>
      <c r="U1264" t="inlineStr">
        <is>
          <t>2005-10-04</t>
        </is>
      </c>
      <c r="V1264" t="inlineStr">
        <is>
          <t>2005-10-04</t>
        </is>
      </c>
      <c r="W1264" t="inlineStr">
        <is>
          <t>1997-07-08</t>
        </is>
      </c>
      <c r="X1264" t="inlineStr">
        <is>
          <t>1997-07-08</t>
        </is>
      </c>
      <c r="Y1264" t="n">
        <v>231</v>
      </c>
      <c r="Z1264" t="n">
        <v>153</v>
      </c>
      <c r="AA1264" t="n">
        <v>483</v>
      </c>
      <c r="AB1264" t="n">
        <v>1</v>
      </c>
      <c r="AC1264" t="n">
        <v>4</v>
      </c>
      <c r="AD1264" t="n">
        <v>11</v>
      </c>
      <c r="AE1264" t="n">
        <v>20</v>
      </c>
      <c r="AF1264" t="n">
        <v>3</v>
      </c>
      <c r="AG1264" t="n">
        <v>7</v>
      </c>
      <c r="AH1264" t="n">
        <v>3</v>
      </c>
      <c r="AI1264" t="n">
        <v>5</v>
      </c>
      <c r="AJ1264" t="n">
        <v>9</v>
      </c>
      <c r="AK1264" t="n">
        <v>12</v>
      </c>
      <c r="AL1264" t="n">
        <v>0</v>
      </c>
      <c r="AM1264" t="n">
        <v>3</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HYPERLINK("https://creighton-primo.hosted.exlibrisgroup.com/primo-explore/search?tab=default_tab&amp;search_scope=EVERYTHING&amp;vid=01CRU&amp;lang=en_US&amp;offset=0&amp;query=any,contains,991002571159702656","Catalog Record")</f>
        <v/>
      </c>
      <c r="AT1264">
        <f>HYPERLINK("http://www.worldcat.org/oclc/33407903","WorldCat Record")</f>
        <v/>
      </c>
      <c r="AU1264" t="inlineStr">
        <is>
          <t>797263285:eng</t>
        </is>
      </c>
      <c r="AV1264" t="inlineStr">
        <is>
          <t>33407903</t>
        </is>
      </c>
      <c r="AW1264" t="inlineStr">
        <is>
          <t>991002571159702656</t>
        </is>
      </c>
      <c r="AX1264" t="inlineStr">
        <is>
          <t>991002571159702656</t>
        </is>
      </c>
      <c r="AY1264" t="inlineStr">
        <is>
          <t>2256975200002656</t>
        </is>
      </c>
      <c r="AZ1264" t="inlineStr">
        <is>
          <t>BOOK</t>
        </is>
      </c>
      <c r="BB1264" t="inlineStr">
        <is>
          <t>9780313291371</t>
        </is>
      </c>
      <c r="BC1264" t="inlineStr">
        <is>
          <t>32285002881000</t>
        </is>
      </c>
      <c r="BD1264" t="inlineStr">
        <is>
          <t>893257459</t>
        </is>
      </c>
    </row>
    <row r="1265">
      <c r="A1265" t="inlineStr">
        <is>
          <t>No</t>
        </is>
      </c>
      <c r="B1265" t="inlineStr">
        <is>
          <t>DG577 .G48</t>
        </is>
      </c>
      <c r="C1265" t="inlineStr">
        <is>
          <t>0                      DG 0577000G  48</t>
        </is>
      </c>
      <c r="D1265" t="inlineStr">
        <is>
          <t>The government and politics of contemporary Italy / [by] Dante Germino [and] Stefano Passigli.</t>
        </is>
      </c>
      <c r="F1265" t="inlineStr">
        <is>
          <t>No</t>
        </is>
      </c>
      <c r="G1265" t="inlineStr">
        <is>
          <t>1</t>
        </is>
      </c>
      <c r="H1265" t="inlineStr">
        <is>
          <t>No</t>
        </is>
      </c>
      <c r="I1265" t="inlineStr">
        <is>
          <t>No</t>
        </is>
      </c>
      <c r="J1265" t="inlineStr">
        <is>
          <t>0</t>
        </is>
      </c>
      <c r="K1265" t="inlineStr">
        <is>
          <t>Germino, Dante L.</t>
        </is>
      </c>
      <c r="L1265" t="inlineStr">
        <is>
          <t>New York : Harper &amp; Row, [1968]</t>
        </is>
      </c>
      <c r="M1265" t="inlineStr">
        <is>
          <t>1968</t>
        </is>
      </c>
      <c r="O1265" t="inlineStr">
        <is>
          <t>eng</t>
        </is>
      </c>
      <c r="P1265" t="inlineStr">
        <is>
          <t>nyu</t>
        </is>
      </c>
      <c r="Q1265" t="inlineStr">
        <is>
          <t>Harper's comparative government series</t>
        </is>
      </c>
      <c r="R1265" t="inlineStr">
        <is>
          <t xml:space="preserve">DG </t>
        </is>
      </c>
      <c r="S1265" t="n">
        <v>6</v>
      </c>
      <c r="T1265" t="n">
        <v>6</v>
      </c>
      <c r="U1265" t="inlineStr">
        <is>
          <t>2000-09-20</t>
        </is>
      </c>
      <c r="V1265" t="inlineStr">
        <is>
          <t>2000-09-20</t>
        </is>
      </c>
      <c r="W1265" t="inlineStr">
        <is>
          <t>1990-10-23</t>
        </is>
      </c>
      <c r="X1265" t="inlineStr">
        <is>
          <t>1990-10-23</t>
        </is>
      </c>
      <c r="Y1265" t="n">
        <v>495</v>
      </c>
      <c r="Z1265" t="n">
        <v>381</v>
      </c>
      <c r="AA1265" t="n">
        <v>384</v>
      </c>
      <c r="AB1265" t="n">
        <v>5</v>
      </c>
      <c r="AC1265" t="n">
        <v>5</v>
      </c>
      <c r="AD1265" t="n">
        <v>17</v>
      </c>
      <c r="AE1265" t="n">
        <v>17</v>
      </c>
      <c r="AF1265" t="n">
        <v>4</v>
      </c>
      <c r="AG1265" t="n">
        <v>4</v>
      </c>
      <c r="AH1265" t="n">
        <v>3</v>
      </c>
      <c r="AI1265" t="n">
        <v>3</v>
      </c>
      <c r="AJ1265" t="n">
        <v>9</v>
      </c>
      <c r="AK1265" t="n">
        <v>9</v>
      </c>
      <c r="AL1265" t="n">
        <v>4</v>
      </c>
      <c r="AM1265" t="n">
        <v>4</v>
      </c>
      <c r="AN1265" t="n">
        <v>0</v>
      </c>
      <c r="AO1265" t="n">
        <v>0</v>
      </c>
      <c r="AP1265" t="inlineStr">
        <is>
          <t>No</t>
        </is>
      </c>
      <c r="AQ1265" t="inlineStr">
        <is>
          <t>Yes</t>
        </is>
      </c>
      <c r="AR1265">
        <f>HYPERLINK("http://catalog.hathitrust.org/Record/003445281","HathiTrust Record")</f>
        <v/>
      </c>
      <c r="AS1265">
        <f>HYPERLINK("https://creighton-primo.hosted.exlibrisgroup.com/primo-explore/search?tab=default_tab&amp;search_scope=EVERYTHING&amp;vid=01CRU&amp;lang=en_US&amp;offset=0&amp;query=any,contains,991003266139702656","Catalog Record")</f>
        <v/>
      </c>
      <c r="AT1265">
        <f>HYPERLINK("http://www.worldcat.org/oclc/792548","WorldCat Record")</f>
        <v/>
      </c>
      <c r="AU1265" t="inlineStr">
        <is>
          <t>1746419:eng</t>
        </is>
      </c>
      <c r="AV1265" t="inlineStr">
        <is>
          <t>792548</t>
        </is>
      </c>
      <c r="AW1265" t="inlineStr">
        <is>
          <t>991003266139702656</t>
        </is>
      </c>
      <c r="AX1265" t="inlineStr">
        <is>
          <t>991003266139702656</t>
        </is>
      </c>
      <c r="AY1265" t="inlineStr">
        <is>
          <t>2262423730002656</t>
        </is>
      </c>
      <c r="AZ1265" t="inlineStr">
        <is>
          <t>BOOK</t>
        </is>
      </c>
      <c r="BC1265" t="inlineStr">
        <is>
          <t>32285000350776</t>
        </is>
      </c>
      <c r="BD1265" t="inlineStr">
        <is>
          <t>893323937</t>
        </is>
      </c>
    </row>
    <row r="1266">
      <c r="A1266" t="inlineStr">
        <is>
          <t>No</t>
        </is>
      </c>
      <c r="B1266" t="inlineStr">
        <is>
          <t>DG577.5 .K62 1983</t>
        </is>
      </c>
      <c r="C1266" t="inlineStr">
        <is>
          <t>0                      DG 0577500K  62          1983</t>
        </is>
      </c>
      <c r="D1266" t="inlineStr">
        <is>
          <t>A political history of Italy : the postwar years / Norman Kogan.</t>
        </is>
      </c>
      <c r="F1266" t="inlineStr">
        <is>
          <t>No</t>
        </is>
      </c>
      <c r="G1266" t="inlineStr">
        <is>
          <t>1</t>
        </is>
      </c>
      <c r="H1266" t="inlineStr">
        <is>
          <t>No</t>
        </is>
      </c>
      <c r="I1266" t="inlineStr">
        <is>
          <t>No</t>
        </is>
      </c>
      <c r="J1266" t="inlineStr">
        <is>
          <t>0</t>
        </is>
      </c>
      <c r="K1266" t="inlineStr">
        <is>
          <t>Kogan, Norman.</t>
        </is>
      </c>
      <c r="L1266" t="inlineStr">
        <is>
          <t>New York, NY : Praeger, 1983.</t>
        </is>
      </c>
      <c r="M1266" t="inlineStr">
        <is>
          <t>1983</t>
        </is>
      </c>
      <c r="O1266" t="inlineStr">
        <is>
          <t>eng</t>
        </is>
      </c>
      <c r="P1266" t="inlineStr">
        <is>
          <t>nyu</t>
        </is>
      </c>
      <c r="R1266" t="inlineStr">
        <is>
          <t xml:space="preserve">DG </t>
        </is>
      </c>
      <c r="S1266" t="n">
        <v>3</v>
      </c>
      <c r="T1266" t="n">
        <v>3</v>
      </c>
      <c r="U1266" t="inlineStr">
        <is>
          <t>2005-10-04</t>
        </is>
      </c>
      <c r="V1266" t="inlineStr">
        <is>
          <t>2005-10-04</t>
        </is>
      </c>
      <c r="W1266" t="inlineStr">
        <is>
          <t>1991-04-15</t>
        </is>
      </c>
      <c r="X1266" t="inlineStr">
        <is>
          <t>1991-04-15</t>
        </is>
      </c>
      <c r="Y1266" t="n">
        <v>590</v>
      </c>
      <c r="Z1266" t="n">
        <v>481</v>
      </c>
      <c r="AA1266" t="n">
        <v>487</v>
      </c>
      <c r="AB1266" t="n">
        <v>3</v>
      </c>
      <c r="AC1266" t="n">
        <v>3</v>
      </c>
      <c r="AD1266" t="n">
        <v>23</v>
      </c>
      <c r="AE1266" t="n">
        <v>23</v>
      </c>
      <c r="AF1266" t="n">
        <v>9</v>
      </c>
      <c r="AG1266" t="n">
        <v>9</v>
      </c>
      <c r="AH1266" t="n">
        <v>6</v>
      </c>
      <c r="AI1266" t="n">
        <v>6</v>
      </c>
      <c r="AJ1266" t="n">
        <v>12</v>
      </c>
      <c r="AK1266" t="n">
        <v>12</v>
      </c>
      <c r="AL1266" t="n">
        <v>2</v>
      </c>
      <c r="AM1266" t="n">
        <v>2</v>
      </c>
      <c r="AN1266" t="n">
        <v>0</v>
      </c>
      <c r="AO1266" t="n">
        <v>0</v>
      </c>
      <c r="AP1266" t="inlineStr">
        <is>
          <t>No</t>
        </is>
      </c>
      <c r="AQ1266" t="inlineStr">
        <is>
          <t>Yes</t>
        </is>
      </c>
      <c r="AR1266">
        <f>HYPERLINK("http://catalog.hathitrust.org/Record/000279571","HathiTrust Record")</f>
        <v/>
      </c>
      <c r="AS1266">
        <f>HYPERLINK("https://creighton-primo.hosted.exlibrisgroup.com/primo-explore/search?tab=default_tab&amp;search_scope=EVERYTHING&amp;vid=01CRU&amp;lang=en_US&amp;offset=0&amp;query=any,contains,991000172649702656","Catalog Record")</f>
        <v/>
      </c>
      <c r="AT1266">
        <f>HYPERLINK("http://www.worldcat.org/oclc/9324936","WorldCat Record")</f>
        <v/>
      </c>
      <c r="AU1266" t="inlineStr">
        <is>
          <t>3901367987:eng</t>
        </is>
      </c>
      <c r="AV1266" t="inlineStr">
        <is>
          <t>9324936</t>
        </is>
      </c>
      <c r="AW1266" t="inlineStr">
        <is>
          <t>991000172649702656</t>
        </is>
      </c>
      <c r="AX1266" t="inlineStr">
        <is>
          <t>991000172649702656</t>
        </is>
      </c>
      <c r="AY1266" t="inlineStr">
        <is>
          <t>2257180410002656</t>
        </is>
      </c>
      <c r="AZ1266" t="inlineStr">
        <is>
          <t>BOOK</t>
        </is>
      </c>
      <c r="BB1266" t="inlineStr">
        <is>
          <t>9780030629617</t>
        </is>
      </c>
      <c r="BC1266" t="inlineStr">
        <is>
          <t>32285000522184</t>
        </is>
      </c>
      <c r="BD1266" t="inlineStr">
        <is>
          <t>893865162</t>
        </is>
      </c>
    </row>
    <row r="1267">
      <c r="A1267" t="inlineStr">
        <is>
          <t>No</t>
        </is>
      </c>
      <c r="B1267" t="inlineStr">
        <is>
          <t>DG579.M63 B35 2003</t>
        </is>
      </c>
      <c r="C1267" t="inlineStr">
        <is>
          <t>0                      DG 0579000M  63                 B  35          2003</t>
        </is>
      </c>
      <c r="D1267" t="inlineStr">
        <is>
          <t>Corpo di stato : il delitto Moro / Marco Baliani.</t>
        </is>
      </c>
      <c r="F1267" t="inlineStr">
        <is>
          <t>No</t>
        </is>
      </c>
      <c r="G1267" t="inlineStr">
        <is>
          <t>1</t>
        </is>
      </c>
      <c r="H1267" t="inlineStr">
        <is>
          <t>No</t>
        </is>
      </c>
      <c r="I1267" t="inlineStr">
        <is>
          <t>No</t>
        </is>
      </c>
      <c r="J1267" t="inlineStr">
        <is>
          <t>0</t>
        </is>
      </c>
      <c r="K1267" t="inlineStr">
        <is>
          <t>Baliani, Marco, 1950-</t>
        </is>
      </c>
      <c r="L1267" t="inlineStr">
        <is>
          <t>Milano : Rizzoli, c2003.</t>
        </is>
      </c>
      <c r="M1267" t="inlineStr">
        <is>
          <t>2003</t>
        </is>
      </c>
      <c r="O1267" t="inlineStr">
        <is>
          <t>ita</t>
        </is>
      </c>
      <c r="P1267" t="inlineStr">
        <is>
          <t xml:space="preserve">it </t>
        </is>
      </c>
      <c r="Q1267" t="inlineStr">
        <is>
          <t>La scala. Sintonie ; 22</t>
        </is>
      </c>
      <c r="R1267" t="inlineStr">
        <is>
          <t xml:space="preserve">DG </t>
        </is>
      </c>
      <c r="S1267" t="n">
        <v>5</v>
      </c>
      <c r="T1267" t="n">
        <v>5</v>
      </c>
      <c r="U1267" t="inlineStr">
        <is>
          <t>2008-03-10</t>
        </is>
      </c>
      <c r="V1267" t="inlineStr">
        <is>
          <t>2008-03-10</t>
        </is>
      </c>
      <c r="W1267" t="inlineStr">
        <is>
          <t>2004-06-10</t>
        </is>
      </c>
      <c r="X1267" t="inlineStr">
        <is>
          <t>2004-06-10</t>
        </is>
      </c>
      <c r="Y1267" t="n">
        <v>17</v>
      </c>
      <c r="Z1267" t="n">
        <v>9</v>
      </c>
      <c r="AA1267" t="n">
        <v>10</v>
      </c>
      <c r="AB1267" t="n">
        <v>1</v>
      </c>
      <c r="AC1267" t="n">
        <v>1</v>
      </c>
      <c r="AD1267" t="n">
        <v>0</v>
      </c>
      <c r="AE1267" t="n">
        <v>0</v>
      </c>
      <c r="AF1267" t="n">
        <v>0</v>
      </c>
      <c r="AG1267" t="n">
        <v>0</v>
      </c>
      <c r="AH1267" t="n">
        <v>0</v>
      </c>
      <c r="AI1267" t="n">
        <v>0</v>
      </c>
      <c r="AJ1267" t="n">
        <v>0</v>
      </c>
      <c r="AK1267" t="n">
        <v>0</v>
      </c>
      <c r="AL1267" t="n">
        <v>0</v>
      </c>
      <c r="AM1267" t="n">
        <v>0</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HYPERLINK("https://creighton-primo.hosted.exlibrisgroup.com/primo-explore/search?tab=default_tab&amp;search_scope=EVERYTHING&amp;vid=01CRU&amp;lang=en_US&amp;offset=0&amp;query=any,contains,991004276869702656","Catalog Record")</f>
        <v/>
      </c>
      <c r="AT1267">
        <f>HYPERLINK("http://www.worldcat.org/oclc/52442682","WorldCat Record")</f>
        <v/>
      </c>
      <c r="AU1267" t="inlineStr">
        <is>
          <t>2242502668:ita</t>
        </is>
      </c>
      <c r="AV1267" t="inlineStr">
        <is>
          <t>52442682</t>
        </is>
      </c>
      <c r="AW1267" t="inlineStr">
        <is>
          <t>991004276869702656</t>
        </is>
      </c>
      <c r="AX1267" t="inlineStr">
        <is>
          <t>991004276869702656</t>
        </is>
      </c>
      <c r="AY1267" t="inlineStr">
        <is>
          <t>2268925710002656</t>
        </is>
      </c>
      <c r="AZ1267" t="inlineStr">
        <is>
          <t>BOOK</t>
        </is>
      </c>
      <c r="BB1267" t="inlineStr">
        <is>
          <t>9788817872508</t>
        </is>
      </c>
      <c r="BC1267" t="inlineStr">
        <is>
          <t>32285004909460</t>
        </is>
      </c>
      <c r="BD1267" t="inlineStr">
        <is>
          <t>893513040</t>
        </is>
      </c>
    </row>
    <row r="1268">
      <c r="A1268" t="inlineStr">
        <is>
          <t>No</t>
        </is>
      </c>
      <c r="B1268" t="inlineStr">
        <is>
          <t>DG583.B47 S75 2006</t>
        </is>
      </c>
      <c r="C1268" t="inlineStr">
        <is>
          <t>0                      DG 0583000B  47                 S  75          2006</t>
        </is>
      </c>
      <c r="D1268" t="inlineStr">
        <is>
          <t>The sack of Rome : how a beautiful European country with a fabled history and a storied culture was taken over by a man named Silvio Berlusconi / Alexander Stille.</t>
        </is>
      </c>
      <c r="F1268" t="inlineStr">
        <is>
          <t>No</t>
        </is>
      </c>
      <c r="G1268" t="inlineStr">
        <is>
          <t>1</t>
        </is>
      </c>
      <c r="H1268" t="inlineStr">
        <is>
          <t>No</t>
        </is>
      </c>
      <c r="I1268" t="inlineStr">
        <is>
          <t>No</t>
        </is>
      </c>
      <c r="J1268" t="inlineStr">
        <is>
          <t>0</t>
        </is>
      </c>
      <c r="K1268" t="inlineStr">
        <is>
          <t>Stille, Alexander.</t>
        </is>
      </c>
      <c r="L1268" t="inlineStr">
        <is>
          <t>New York : Penguin Press, 2006.</t>
        </is>
      </c>
      <c r="M1268" t="inlineStr">
        <is>
          <t>2006</t>
        </is>
      </c>
      <c r="O1268" t="inlineStr">
        <is>
          <t>eng</t>
        </is>
      </c>
      <c r="P1268" t="inlineStr">
        <is>
          <t>nyu</t>
        </is>
      </c>
      <c r="R1268" t="inlineStr">
        <is>
          <t xml:space="preserve">DG </t>
        </is>
      </c>
      <c r="S1268" t="n">
        <v>6</v>
      </c>
      <c r="T1268" t="n">
        <v>6</v>
      </c>
      <c r="U1268" t="inlineStr">
        <is>
          <t>2007-03-20</t>
        </is>
      </c>
      <c r="V1268" t="inlineStr">
        <is>
          <t>2007-03-20</t>
        </is>
      </c>
      <c r="W1268" t="inlineStr">
        <is>
          <t>2006-07-17</t>
        </is>
      </c>
      <c r="X1268" t="inlineStr">
        <is>
          <t>2006-07-17</t>
        </is>
      </c>
      <c r="Y1268" t="n">
        <v>562</v>
      </c>
      <c r="Z1268" t="n">
        <v>495</v>
      </c>
      <c r="AA1268" t="n">
        <v>504</v>
      </c>
      <c r="AB1268" t="n">
        <v>5</v>
      </c>
      <c r="AC1268" t="n">
        <v>5</v>
      </c>
      <c r="AD1268" t="n">
        <v>21</v>
      </c>
      <c r="AE1268" t="n">
        <v>21</v>
      </c>
      <c r="AF1268" t="n">
        <v>6</v>
      </c>
      <c r="AG1268" t="n">
        <v>6</v>
      </c>
      <c r="AH1268" t="n">
        <v>6</v>
      </c>
      <c r="AI1268" t="n">
        <v>6</v>
      </c>
      <c r="AJ1268" t="n">
        <v>12</v>
      </c>
      <c r="AK1268" t="n">
        <v>12</v>
      </c>
      <c r="AL1268" t="n">
        <v>2</v>
      </c>
      <c r="AM1268" t="n">
        <v>2</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HYPERLINK("https://creighton-primo.hosted.exlibrisgroup.com/primo-explore/search?tab=default_tab&amp;search_scope=EVERYTHING&amp;vid=01CRU&amp;lang=en_US&amp;offset=0&amp;query=any,contains,991004841489702656","Catalog Record")</f>
        <v/>
      </c>
      <c r="AT1268">
        <f>HYPERLINK("http://www.worldcat.org/oclc/62741507","WorldCat Record")</f>
        <v/>
      </c>
      <c r="AU1268" t="inlineStr">
        <is>
          <t>367733554:eng</t>
        </is>
      </c>
      <c r="AV1268" t="inlineStr">
        <is>
          <t>62741507</t>
        </is>
      </c>
      <c r="AW1268" t="inlineStr">
        <is>
          <t>991004841489702656</t>
        </is>
      </c>
      <c r="AX1268" t="inlineStr">
        <is>
          <t>991004841489702656</t>
        </is>
      </c>
      <c r="AY1268" t="inlineStr">
        <is>
          <t>2256738410002656</t>
        </is>
      </c>
      <c r="AZ1268" t="inlineStr">
        <is>
          <t>BOOK</t>
        </is>
      </c>
      <c r="BB1268" t="inlineStr">
        <is>
          <t>9781594200533</t>
        </is>
      </c>
      <c r="BC1268" t="inlineStr">
        <is>
          <t>32285005195218</t>
        </is>
      </c>
      <c r="BD1268" t="inlineStr">
        <is>
          <t>893446420</t>
        </is>
      </c>
    </row>
    <row r="1269">
      <c r="A1269" t="inlineStr">
        <is>
          <t>No</t>
        </is>
      </c>
      <c r="B1269" t="inlineStr">
        <is>
          <t>DG609 .D35 1993</t>
        </is>
      </c>
      <c r="C1269" t="inlineStr">
        <is>
          <t>0                      DG 0609000D  35          1993</t>
        </is>
      </c>
      <c r="D1269" t="inlineStr">
        <is>
          <t>Private lives, imperial virtues : the frieze of the Forum Transitorium in Rome / Eve D'Ambra.</t>
        </is>
      </c>
      <c r="F1269" t="inlineStr">
        <is>
          <t>No</t>
        </is>
      </c>
      <c r="G1269" t="inlineStr">
        <is>
          <t>1</t>
        </is>
      </c>
      <c r="H1269" t="inlineStr">
        <is>
          <t>No</t>
        </is>
      </c>
      <c r="I1269" t="inlineStr">
        <is>
          <t>No</t>
        </is>
      </c>
      <c r="J1269" t="inlineStr">
        <is>
          <t>0</t>
        </is>
      </c>
      <c r="K1269" t="inlineStr">
        <is>
          <t>D'Ambra, Eve, 1956-</t>
        </is>
      </c>
      <c r="L1269" t="inlineStr">
        <is>
          <t>Princeton, N.J. : Princeton University Press, c1993.</t>
        </is>
      </c>
      <c r="M1269" t="inlineStr">
        <is>
          <t>1993</t>
        </is>
      </c>
      <c r="O1269" t="inlineStr">
        <is>
          <t>eng</t>
        </is>
      </c>
      <c r="P1269" t="inlineStr">
        <is>
          <t>nju</t>
        </is>
      </c>
      <c r="R1269" t="inlineStr">
        <is>
          <t xml:space="preserve">DG </t>
        </is>
      </c>
      <c r="S1269" t="n">
        <v>2</v>
      </c>
      <c r="T1269" t="n">
        <v>2</v>
      </c>
      <c r="U1269" t="inlineStr">
        <is>
          <t>2004-04-01</t>
        </is>
      </c>
      <c r="V1269" t="inlineStr">
        <is>
          <t>2004-04-01</t>
        </is>
      </c>
      <c r="W1269" t="inlineStr">
        <is>
          <t>2004-02-23</t>
        </is>
      </c>
      <c r="X1269" t="inlineStr">
        <is>
          <t>2004-02-23</t>
        </is>
      </c>
      <c r="Y1269" t="n">
        <v>395</v>
      </c>
      <c r="Z1269" t="n">
        <v>296</v>
      </c>
      <c r="AA1269" t="n">
        <v>296</v>
      </c>
      <c r="AB1269" t="n">
        <v>3</v>
      </c>
      <c r="AC1269" t="n">
        <v>3</v>
      </c>
      <c r="AD1269" t="n">
        <v>17</v>
      </c>
      <c r="AE1269" t="n">
        <v>17</v>
      </c>
      <c r="AF1269" t="n">
        <v>6</v>
      </c>
      <c r="AG1269" t="n">
        <v>6</v>
      </c>
      <c r="AH1269" t="n">
        <v>4</v>
      </c>
      <c r="AI1269" t="n">
        <v>4</v>
      </c>
      <c r="AJ1269" t="n">
        <v>9</v>
      </c>
      <c r="AK1269" t="n">
        <v>9</v>
      </c>
      <c r="AL1269" t="n">
        <v>2</v>
      </c>
      <c r="AM1269" t="n">
        <v>2</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HYPERLINK("https://creighton-primo.hosted.exlibrisgroup.com/primo-explore/search?tab=default_tab&amp;search_scope=EVERYTHING&amp;vid=01CRU&amp;lang=en_US&amp;offset=0&amp;query=any,contains,991004235549702656","Catalog Record")</f>
        <v/>
      </c>
      <c r="AT1269">
        <f>HYPERLINK("http://www.worldcat.org/oclc/25833858","WorldCat Record")</f>
        <v/>
      </c>
      <c r="AU1269" t="inlineStr">
        <is>
          <t>28870145:eng</t>
        </is>
      </c>
      <c r="AV1269" t="inlineStr">
        <is>
          <t>25833858</t>
        </is>
      </c>
      <c r="AW1269" t="inlineStr">
        <is>
          <t>991004235549702656</t>
        </is>
      </c>
      <c r="AX1269" t="inlineStr">
        <is>
          <t>991004235549702656</t>
        </is>
      </c>
      <c r="AY1269" t="inlineStr">
        <is>
          <t>2263768890002656</t>
        </is>
      </c>
      <c r="AZ1269" t="inlineStr">
        <is>
          <t>BOOK</t>
        </is>
      </c>
      <c r="BB1269" t="inlineStr">
        <is>
          <t>9780691040974</t>
        </is>
      </c>
      <c r="BC1269" t="inlineStr">
        <is>
          <t>32285004639950</t>
        </is>
      </c>
      <c r="BD1269" t="inlineStr">
        <is>
          <t>893894733</t>
        </is>
      </c>
    </row>
    <row r="1270">
      <c r="A1270" t="inlineStr">
        <is>
          <t>No</t>
        </is>
      </c>
      <c r="B1270" t="inlineStr">
        <is>
          <t>DG62 .C53 1998</t>
        </is>
      </c>
      <c r="C1270" t="inlineStr">
        <is>
          <t>0                      DG 0062000C  53          1998</t>
        </is>
      </c>
      <c r="D1270" t="inlineStr">
        <is>
          <t>Rome : an Oxford archaeological guide to Rome / Amanda Claridge, with contributions by Judith Toms and Tony Cubberley.</t>
        </is>
      </c>
      <c r="F1270" t="inlineStr">
        <is>
          <t>No</t>
        </is>
      </c>
      <c r="G1270" t="inlineStr">
        <is>
          <t>1</t>
        </is>
      </c>
      <c r="H1270" t="inlineStr">
        <is>
          <t>No</t>
        </is>
      </c>
      <c r="I1270" t="inlineStr">
        <is>
          <t>No</t>
        </is>
      </c>
      <c r="J1270" t="inlineStr">
        <is>
          <t>0</t>
        </is>
      </c>
      <c r="K1270" t="inlineStr">
        <is>
          <t>Claridge, Amanda.</t>
        </is>
      </c>
      <c r="L1270" t="inlineStr">
        <is>
          <t>Oxford ; New York : Oxford University Press, 1998.</t>
        </is>
      </c>
      <c r="M1270" t="inlineStr">
        <is>
          <t>1998</t>
        </is>
      </c>
      <c r="O1270" t="inlineStr">
        <is>
          <t>eng</t>
        </is>
      </c>
      <c r="P1270" t="inlineStr">
        <is>
          <t>enk</t>
        </is>
      </c>
      <c r="Q1270" t="inlineStr">
        <is>
          <t>Oxford archaeological guides</t>
        </is>
      </c>
      <c r="R1270" t="inlineStr">
        <is>
          <t xml:space="preserve">DG </t>
        </is>
      </c>
      <c r="S1270" t="n">
        <v>7</v>
      </c>
      <c r="T1270" t="n">
        <v>7</v>
      </c>
      <c r="U1270" t="inlineStr">
        <is>
          <t>2006-06-16</t>
        </is>
      </c>
      <c r="V1270" t="inlineStr">
        <is>
          <t>2006-06-16</t>
        </is>
      </c>
      <c r="W1270" t="inlineStr">
        <is>
          <t>2000-02-23</t>
        </is>
      </c>
      <c r="X1270" t="inlineStr">
        <is>
          <t>2000-02-23</t>
        </is>
      </c>
      <c r="Y1270" t="n">
        <v>270</v>
      </c>
      <c r="Z1270" t="n">
        <v>232</v>
      </c>
      <c r="AA1270" t="n">
        <v>235</v>
      </c>
      <c r="AB1270" t="n">
        <v>2</v>
      </c>
      <c r="AC1270" t="n">
        <v>2</v>
      </c>
      <c r="AD1270" t="n">
        <v>9</v>
      </c>
      <c r="AE1270" t="n">
        <v>9</v>
      </c>
      <c r="AF1270" t="n">
        <v>5</v>
      </c>
      <c r="AG1270" t="n">
        <v>5</v>
      </c>
      <c r="AH1270" t="n">
        <v>1</v>
      </c>
      <c r="AI1270" t="n">
        <v>1</v>
      </c>
      <c r="AJ1270" t="n">
        <v>6</v>
      </c>
      <c r="AK1270" t="n">
        <v>6</v>
      </c>
      <c r="AL1270" t="n">
        <v>1</v>
      </c>
      <c r="AM1270" t="n">
        <v>1</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HYPERLINK("https://creighton-primo.hosted.exlibrisgroup.com/primo-explore/search?tab=default_tab&amp;search_scope=EVERYTHING&amp;vid=01CRU&amp;lang=en_US&amp;offset=0&amp;query=any,contains,991005427389702656","Catalog Record")</f>
        <v/>
      </c>
      <c r="AT1270">
        <f>HYPERLINK("http://www.worldcat.org/oclc/37878669","WorldCat Record")</f>
        <v/>
      </c>
      <c r="AU1270" t="inlineStr">
        <is>
          <t>5613069628:eng</t>
        </is>
      </c>
      <c r="AV1270" t="inlineStr">
        <is>
          <t>37878669</t>
        </is>
      </c>
      <c r="AW1270" t="inlineStr">
        <is>
          <t>991005427389702656</t>
        </is>
      </c>
      <c r="AX1270" t="inlineStr">
        <is>
          <t>991005427389702656</t>
        </is>
      </c>
      <c r="AY1270" t="inlineStr">
        <is>
          <t>2266410000002656</t>
        </is>
      </c>
      <c r="AZ1270" t="inlineStr">
        <is>
          <t>BOOK</t>
        </is>
      </c>
      <c r="BB1270" t="inlineStr">
        <is>
          <t>9780192880031</t>
        </is>
      </c>
      <c r="BC1270" t="inlineStr">
        <is>
          <t>32285003662813</t>
        </is>
      </c>
      <c r="BD1270" t="inlineStr">
        <is>
          <t>893902712</t>
        </is>
      </c>
    </row>
    <row r="1271">
      <c r="A1271" t="inlineStr">
        <is>
          <t>No</t>
        </is>
      </c>
      <c r="B1271" t="inlineStr">
        <is>
          <t>DG63 .G54 1953</t>
        </is>
      </c>
      <c r="C1271" t="inlineStr">
        <is>
          <t>0                      DG 0063000G  54          1953</t>
        </is>
      </c>
      <c r="D1271" t="inlineStr">
        <is>
          <t>Early Rome.</t>
        </is>
      </c>
      <c r="E1271" t="inlineStr">
        <is>
          <t>V.6</t>
        </is>
      </c>
      <c r="F1271" t="inlineStr">
        <is>
          <t>Yes</t>
        </is>
      </c>
      <c r="G1271" t="inlineStr">
        <is>
          <t>1</t>
        </is>
      </c>
      <c r="H1271" t="inlineStr">
        <is>
          <t>No</t>
        </is>
      </c>
      <c r="I1271" t="inlineStr">
        <is>
          <t>No</t>
        </is>
      </c>
      <c r="J1271" t="inlineStr">
        <is>
          <t>0</t>
        </is>
      </c>
      <c r="K1271" t="inlineStr">
        <is>
          <t>Gjerstad, Einar, 1897-1988.</t>
        </is>
      </c>
      <c r="L1271" t="inlineStr">
        <is>
          <t>Lund, C. W. K. Gleerup, 1953-73.</t>
        </is>
      </c>
      <c r="M1271" t="inlineStr">
        <is>
          <t>1953</t>
        </is>
      </c>
      <c r="O1271" t="inlineStr">
        <is>
          <t>eng</t>
        </is>
      </c>
      <c r="P1271" t="inlineStr">
        <is>
          <t xml:space="preserve">sw </t>
        </is>
      </c>
      <c r="Q1271" t="inlineStr">
        <is>
          <t>Skrifter utg. av Svenska institutet i Rom = Acta Instituti Romani Regni Sueciae. 4o XVII</t>
        </is>
      </c>
      <c r="R1271" t="inlineStr">
        <is>
          <t xml:space="preserve">DG </t>
        </is>
      </c>
      <c r="S1271" t="n">
        <v>1</v>
      </c>
      <c r="T1271" t="n">
        <v>4</v>
      </c>
      <c r="U1271" t="inlineStr">
        <is>
          <t>2005-12-09</t>
        </is>
      </c>
      <c r="V1271" t="inlineStr">
        <is>
          <t>2005-12-09</t>
        </is>
      </c>
      <c r="W1271" t="inlineStr">
        <is>
          <t>1997-09-15</t>
        </is>
      </c>
      <c r="X1271" t="inlineStr">
        <is>
          <t>1997-09-16</t>
        </is>
      </c>
      <c r="Y1271" t="n">
        <v>214</v>
      </c>
      <c r="Z1271" t="n">
        <v>151</v>
      </c>
      <c r="AA1271" t="n">
        <v>161</v>
      </c>
      <c r="AB1271" t="n">
        <v>2</v>
      </c>
      <c r="AC1271" t="n">
        <v>2</v>
      </c>
      <c r="AD1271" t="n">
        <v>11</v>
      </c>
      <c r="AE1271" t="n">
        <v>12</v>
      </c>
      <c r="AF1271" t="n">
        <v>1</v>
      </c>
      <c r="AG1271" t="n">
        <v>1</v>
      </c>
      <c r="AH1271" t="n">
        <v>3</v>
      </c>
      <c r="AI1271" t="n">
        <v>4</v>
      </c>
      <c r="AJ1271" t="n">
        <v>9</v>
      </c>
      <c r="AK1271" t="n">
        <v>9</v>
      </c>
      <c r="AL1271" t="n">
        <v>1</v>
      </c>
      <c r="AM1271" t="n">
        <v>1</v>
      </c>
      <c r="AN1271" t="n">
        <v>0</v>
      </c>
      <c r="AO1271" t="n">
        <v>0</v>
      </c>
      <c r="AP1271" t="inlineStr">
        <is>
          <t>No</t>
        </is>
      </c>
      <c r="AQ1271" t="inlineStr">
        <is>
          <t>Yes</t>
        </is>
      </c>
      <c r="AR1271">
        <f>HYPERLINK("http://catalog.hathitrust.org/Record/000316626","HathiTrust Record")</f>
        <v/>
      </c>
      <c r="AS1271">
        <f>HYPERLINK("https://creighton-primo.hosted.exlibrisgroup.com/primo-explore/search?tab=default_tab&amp;search_scope=EVERYTHING&amp;vid=01CRU&amp;lang=en_US&amp;offset=0&amp;query=any,contains,991002469199702656","Catalog Record")</f>
        <v/>
      </c>
      <c r="AT1271">
        <f>HYPERLINK("http://www.worldcat.org/oclc/358344","WorldCat Record")</f>
        <v/>
      </c>
      <c r="AU1271" t="inlineStr">
        <is>
          <t>5534174574:eng</t>
        </is>
      </c>
      <c r="AV1271" t="inlineStr">
        <is>
          <t>358344</t>
        </is>
      </c>
      <c r="AW1271" t="inlineStr">
        <is>
          <t>991002469199702656</t>
        </is>
      </c>
      <c r="AX1271" t="inlineStr">
        <is>
          <t>991002469199702656</t>
        </is>
      </c>
      <c r="AY1271" t="inlineStr">
        <is>
          <t>2266102760002656</t>
        </is>
      </c>
      <c r="AZ1271" t="inlineStr">
        <is>
          <t>BOOK</t>
        </is>
      </c>
      <c r="BC1271" t="inlineStr">
        <is>
          <t>32285003176129</t>
        </is>
      </c>
      <c r="BD1271" t="inlineStr">
        <is>
          <t>893704118</t>
        </is>
      </c>
    </row>
    <row r="1272">
      <c r="A1272" t="inlineStr">
        <is>
          <t>No</t>
        </is>
      </c>
      <c r="B1272" t="inlineStr">
        <is>
          <t>DG63 .G54 1953</t>
        </is>
      </c>
      <c r="C1272" t="inlineStr">
        <is>
          <t>0                      DG 0063000G  54          1953</t>
        </is>
      </c>
      <c r="D1272" t="inlineStr">
        <is>
          <t>Early Rome.</t>
        </is>
      </c>
      <c r="E1272" t="inlineStr">
        <is>
          <t>V.4 PT.1</t>
        </is>
      </c>
      <c r="F1272" t="inlineStr">
        <is>
          <t>Yes</t>
        </is>
      </c>
      <c r="G1272" t="inlineStr">
        <is>
          <t>1</t>
        </is>
      </c>
      <c r="H1272" t="inlineStr">
        <is>
          <t>No</t>
        </is>
      </c>
      <c r="I1272" t="inlineStr">
        <is>
          <t>No</t>
        </is>
      </c>
      <c r="J1272" t="inlineStr">
        <is>
          <t>0</t>
        </is>
      </c>
      <c r="K1272" t="inlineStr">
        <is>
          <t>Gjerstad, Einar, 1897-1988.</t>
        </is>
      </c>
      <c r="L1272" t="inlineStr">
        <is>
          <t>Lund, C. W. K. Gleerup, 1953-73.</t>
        </is>
      </c>
      <c r="M1272" t="inlineStr">
        <is>
          <t>1953</t>
        </is>
      </c>
      <c r="O1272" t="inlineStr">
        <is>
          <t>eng</t>
        </is>
      </c>
      <c r="P1272" t="inlineStr">
        <is>
          <t xml:space="preserve">sw </t>
        </is>
      </c>
      <c r="Q1272" t="inlineStr">
        <is>
          <t>Skrifter utg. av Svenska institutet i Rom = Acta Instituti Romani Regni Sueciae. 4o XVII</t>
        </is>
      </c>
      <c r="R1272" t="inlineStr">
        <is>
          <t xml:space="preserve">DG </t>
        </is>
      </c>
      <c r="S1272" t="n">
        <v>1</v>
      </c>
      <c r="T1272" t="n">
        <v>4</v>
      </c>
      <c r="U1272" t="inlineStr">
        <is>
          <t>2005-12-09</t>
        </is>
      </c>
      <c r="V1272" t="inlineStr">
        <is>
          <t>2005-12-09</t>
        </is>
      </c>
      <c r="W1272" t="inlineStr">
        <is>
          <t>1997-09-15</t>
        </is>
      </c>
      <c r="X1272" t="inlineStr">
        <is>
          <t>1997-09-16</t>
        </is>
      </c>
      <c r="Y1272" t="n">
        <v>214</v>
      </c>
      <c r="Z1272" t="n">
        <v>151</v>
      </c>
      <c r="AA1272" t="n">
        <v>161</v>
      </c>
      <c r="AB1272" t="n">
        <v>2</v>
      </c>
      <c r="AC1272" t="n">
        <v>2</v>
      </c>
      <c r="AD1272" t="n">
        <v>11</v>
      </c>
      <c r="AE1272" t="n">
        <v>12</v>
      </c>
      <c r="AF1272" t="n">
        <v>1</v>
      </c>
      <c r="AG1272" t="n">
        <v>1</v>
      </c>
      <c r="AH1272" t="n">
        <v>3</v>
      </c>
      <c r="AI1272" t="n">
        <v>4</v>
      </c>
      <c r="AJ1272" t="n">
        <v>9</v>
      </c>
      <c r="AK1272" t="n">
        <v>9</v>
      </c>
      <c r="AL1272" t="n">
        <v>1</v>
      </c>
      <c r="AM1272" t="n">
        <v>1</v>
      </c>
      <c r="AN1272" t="n">
        <v>0</v>
      </c>
      <c r="AO1272" t="n">
        <v>0</v>
      </c>
      <c r="AP1272" t="inlineStr">
        <is>
          <t>No</t>
        </is>
      </c>
      <c r="AQ1272" t="inlineStr">
        <is>
          <t>Yes</t>
        </is>
      </c>
      <c r="AR1272">
        <f>HYPERLINK("http://catalog.hathitrust.org/Record/000316626","HathiTrust Record")</f>
        <v/>
      </c>
      <c r="AS1272">
        <f>HYPERLINK("https://creighton-primo.hosted.exlibrisgroup.com/primo-explore/search?tab=default_tab&amp;search_scope=EVERYTHING&amp;vid=01CRU&amp;lang=en_US&amp;offset=0&amp;query=any,contains,991002469199702656","Catalog Record")</f>
        <v/>
      </c>
      <c r="AT1272">
        <f>HYPERLINK("http://www.worldcat.org/oclc/358344","WorldCat Record")</f>
        <v/>
      </c>
      <c r="AU1272" t="inlineStr">
        <is>
          <t>5534174574:eng</t>
        </is>
      </c>
      <c r="AV1272" t="inlineStr">
        <is>
          <t>358344</t>
        </is>
      </c>
      <c r="AW1272" t="inlineStr">
        <is>
          <t>991002469199702656</t>
        </is>
      </c>
      <c r="AX1272" t="inlineStr">
        <is>
          <t>991002469199702656</t>
        </is>
      </c>
      <c r="AY1272" t="inlineStr">
        <is>
          <t>2266102760002656</t>
        </is>
      </c>
      <c r="AZ1272" t="inlineStr">
        <is>
          <t>BOOK</t>
        </is>
      </c>
      <c r="BC1272" t="inlineStr">
        <is>
          <t>32285003176103</t>
        </is>
      </c>
      <c r="BD1272" t="inlineStr">
        <is>
          <t>893716492</t>
        </is>
      </c>
    </row>
    <row r="1273">
      <c r="A1273" t="inlineStr">
        <is>
          <t>No</t>
        </is>
      </c>
      <c r="B1273" t="inlineStr">
        <is>
          <t>DG63 .G54 1953</t>
        </is>
      </c>
      <c r="C1273" t="inlineStr">
        <is>
          <t>0                      DG 0063000G  54          1953</t>
        </is>
      </c>
      <c r="D1273" t="inlineStr">
        <is>
          <t>Early Rome.</t>
        </is>
      </c>
      <c r="E1273" t="inlineStr">
        <is>
          <t>V.5</t>
        </is>
      </c>
      <c r="F1273" t="inlineStr">
        <is>
          <t>Yes</t>
        </is>
      </c>
      <c r="G1273" t="inlineStr">
        <is>
          <t>1</t>
        </is>
      </c>
      <c r="H1273" t="inlineStr">
        <is>
          <t>No</t>
        </is>
      </c>
      <c r="I1273" t="inlineStr">
        <is>
          <t>No</t>
        </is>
      </c>
      <c r="J1273" t="inlineStr">
        <is>
          <t>0</t>
        </is>
      </c>
      <c r="K1273" t="inlineStr">
        <is>
          <t>Gjerstad, Einar, 1897-1988.</t>
        </is>
      </c>
      <c r="L1273" t="inlineStr">
        <is>
          <t>Lund, C. W. K. Gleerup, 1953-73.</t>
        </is>
      </c>
      <c r="M1273" t="inlineStr">
        <is>
          <t>1953</t>
        </is>
      </c>
      <c r="O1273" t="inlineStr">
        <is>
          <t>eng</t>
        </is>
      </c>
      <c r="P1273" t="inlineStr">
        <is>
          <t xml:space="preserve">sw </t>
        </is>
      </c>
      <c r="Q1273" t="inlineStr">
        <is>
          <t>Skrifter utg. av Svenska institutet i Rom = Acta Instituti Romani Regni Sueciae. 4o XVII</t>
        </is>
      </c>
      <c r="R1273" t="inlineStr">
        <is>
          <t xml:space="preserve">DG </t>
        </is>
      </c>
      <c r="S1273" t="n">
        <v>1</v>
      </c>
      <c r="T1273" t="n">
        <v>4</v>
      </c>
      <c r="V1273" t="inlineStr">
        <is>
          <t>2005-12-09</t>
        </is>
      </c>
      <c r="W1273" t="inlineStr">
        <is>
          <t>1997-09-15</t>
        </is>
      </c>
      <c r="X1273" t="inlineStr">
        <is>
          <t>1997-09-16</t>
        </is>
      </c>
      <c r="Y1273" t="n">
        <v>214</v>
      </c>
      <c r="Z1273" t="n">
        <v>151</v>
      </c>
      <c r="AA1273" t="n">
        <v>161</v>
      </c>
      <c r="AB1273" t="n">
        <v>2</v>
      </c>
      <c r="AC1273" t="n">
        <v>2</v>
      </c>
      <c r="AD1273" t="n">
        <v>11</v>
      </c>
      <c r="AE1273" t="n">
        <v>12</v>
      </c>
      <c r="AF1273" t="n">
        <v>1</v>
      </c>
      <c r="AG1273" t="n">
        <v>1</v>
      </c>
      <c r="AH1273" t="n">
        <v>3</v>
      </c>
      <c r="AI1273" t="n">
        <v>4</v>
      </c>
      <c r="AJ1273" t="n">
        <v>9</v>
      </c>
      <c r="AK1273" t="n">
        <v>9</v>
      </c>
      <c r="AL1273" t="n">
        <v>1</v>
      </c>
      <c r="AM1273" t="n">
        <v>1</v>
      </c>
      <c r="AN1273" t="n">
        <v>0</v>
      </c>
      <c r="AO1273" t="n">
        <v>0</v>
      </c>
      <c r="AP1273" t="inlineStr">
        <is>
          <t>No</t>
        </is>
      </c>
      <c r="AQ1273" t="inlineStr">
        <is>
          <t>Yes</t>
        </is>
      </c>
      <c r="AR1273">
        <f>HYPERLINK("http://catalog.hathitrust.org/Record/000316626","HathiTrust Record")</f>
        <v/>
      </c>
      <c r="AS1273">
        <f>HYPERLINK("https://creighton-primo.hosted.exlibrisgroup.com/primo-explore/search?tab=default_tab&amp;search_scope=EVERYTHING&amp;vid=01CRU&amp;lang=en_US&amp;offset=0&amp;query=any,contains,991002469199702656","Catalog Record")</f>
        <v/>
      </c>
      <c r="AT1273">
        <f>HYPERLINK("http://www.worldcat.org/oclc/358344","WorldCat Record")</f>
        <v/>
      </c>
      <c r="AU1273" t="inlineStr">
        <is>
          <t>5534174574:eng</t>
        </is>
      </c>
      <c r="AV1273" t="inlineStr">
        <is>
          <t>358344</t>
        </is>
      </c>
      <c r="AW1273" t="inlineStr">
        <is>
          <t>991002469199702656</t>
        </is>
      </c>
      <c r="AX1273" t="inlineStr">
        <is>
          <t>991002469199702656</t>
        </is>
      </c>
      <c r="AY1273" t="inlineStr">
        <is>
          <t>2266102760002656</t>
        </is>
      </c>
      <c r="AZ1273" t="inlineStr">
        <is>
          <t>BOOK</t>
        </is>
      </c>
      <c r="BC1273" t="inlineStr">
        <is>
          <t>32285003176137</t>
        </is>
      </c>
      <c r="BD1273" t="inlineStr">
        <is>
          <t>893710326</t>
        </is>
      </c>
    </row>
    <row r="1274">
      <c r="A1274" t="inlineStr">
        <is>
          <t>No</t>
        </is>
      </c>
      <c r="B1274" t="inlineStr">
        <is>
          <t>DG63 .G54 1953</t>
        </is>
      </c>
      <c r="C1274" t="inlineStr">
        <is>
          <t>0                      DG 0063000G  54          1953</t>
        </is>
      </c>
      <c r="D1274" t="inlineStr">
        <is>
          <t>Early Rome.</t>
        </is>
      </c>
      <c r="E1274" t="inlineStr">
        <is>
          <t>V.4 PT.2</t>
        </is>
      </c>
      <c r="F1274" t="inlineStr">
        <is>
          <t>Yes</t>
        </is>
      </c>
      <c r="G1274" t="inlineStr">
        <is>
          <t>1</t>
        </is>
      </c>
      <c r="H1274" t="inlineStr">
        <is>
          <t>No</t>
        </is>
      </c>
      <c r="I1274" t="inlineStr">
        <is>
          <t>No</t>
        </is>
      </c>
      <c r="J1274" t="inlineStr">
        <is>
          <t>0</t>
        </is>
      </c>
      <c r="K1274" t="inlineStr">
        <is>
          <t>Gjerstad, Einar, 1897-1988.</t>
        </is>
      </c>
      <c r="L1274" t="inlineStr">
        <is>
          <t>Lund, C. W. K. Gleerup, 1953-73.</t>
        </is>
      </c>
      <c r="M1274" t="inlineStr">
        <is>
          <t>1953</t>
        </is>
      </c>
      <c r="O1274" t="inlineStr">
        <is>
          <t>eng</t>
        </is>
      </c>
      <c r="P1274" t="inlineStr">
        <is>
          <t xml:space="preserve">sw </t>
        </is>
      </c>
      <c r="Q1274" t="inlineStr">
        <is>
          <t>Skrifter utg. av Svenska institutet i Rom = Acta Instituti Romani Regni Sueciae. 4o XVII</t>
        </is>
      </c>
      <c r="R1274" t="inlineStr">
        <is>
          <t xml:space="preserve">DG </t>
        </is>
      </c>
      <c r="S1274" t="n">
        <v>1</v>
      </c>
      <c r="T1274" t="n">
        <v>4</v>
      </c>
      <c r="U1274" t="inlineStr">
        <is>
          <t>2005-12-09</t>
        </is>
      </c>
      <c r="V1274" t="inlineStr">
        <is>
          <t>2005-12-09</t>
        </is>
      </c>
      <c r="W1274" t="inlineStr">
        <is>
          <t>1997-09-16</t>
        </is>
      </c>
      <c r="X1274" t="inlineStr">
        <is>
          <t>1997-09-16</t>
        </is>
      </c>
      <c r="Y1274" t="n">
        <v>214</v>
      </c>
      <c r="Z1274" t="n">
        <v>151</v>
      </c>
      <c r="AA1274" t="n">
        <v>161</v>
      </c>
      <c r="AB1274" t="n">
        <v>2</v>
      </c>
      <c r="AC1274" t="n">
        <v>2</v>
      </c>
      <c r="AD1274" t="n">
        <v>11</v>
      </c>
      <c r="AE1274" t="n">
        <v>12</v>
      </c>
      <c r="AF1274" t="n">
        <v>1</v>
      </c>
      <c r="AG1274" t="n">
        <v>1</v>
      </c>
      <c r="AH1274" t="n">
        <v>3</v>
      </c>
      <c r="AI1274" t="n">
        <v>4</v>
      </c>
      <c r="AJ1274" t="n">
        <v>9</v>
      </c>
      <c r="AK1274" t="n">
        <v>9</v>
      </c>
      <c r="AL1274" t="n">
        <v>1</v>
      </c>
      <c r="AM1274" t="n">
        <v>1</v>
      </c>
      <c r="AN1274" t="n">
        <v>0</v>
      </c>
      <c r="AO1274" t="n">
        <v>0</v>
      </c>
      <c r="AP1274" t="inlineStr">
        <is>
          <t>No</t>
        </is>
      </c>
      <c r="AQ1274" t="inlineStr">
        <is>
          <t>Yes</t>
        </is>
      </c>
      <c r="AR1274">
        <f>HYPERLINK("http://catalog.hathitrust.org/Record/000316626","HathiTrust Record")</f>
        <v/>
      </c>
      <c r="AS1274">
        <f>HYPERLINK("https://creighton-primo.hosted.exlibrisgroup.com/primo-explore/search?tab=default_tab&amp;search_scope=EVERYTHING&amp;vid=01CRU&amp;lang=en_US&amp;offset=0&amp;query=any,contains,991002469199702656","Catalog Record")</f>
        <v/>
      </c>
      <c r="AT1274">
        <f>HYPERLINK("http://www.worldcat.org/oclc/358344","WorldCat Record")</f>
        <v/>
      </c>
      <c r="AU1274" t="inlineStr">
        <is>
          <t>5534174574:eng</t>
        </is>
      </c>
      <c r="AV1274" t="inlineStr">
        <is>
          <t>358344</t>
        </is>
      </c>
      <c r="AW1274" t="inlineStr">
        <is>
          <t>991002469199702656</t>
        </is>
      </c>
      <c r="AX1274" t="inlineStr">
        <is>
          <t>991002469199702656</t>
        </is>
      </c>
      <c r="AY1274" t="inlineStr">
        <is>
          <t>2266102760002656</t>
        </is>
      </c>
      <c r="AZ1274" t="inlineStr">
        <is>
          <t>BOOK</t>
        </is>
      </c>
      <c r="BC1274" t="inlineStr">
        <is>
          <t>32285003176111</t>
        </is>
      </c>
      <c r="BD1274" t="inlineStr">
        <is>
          <t>893704119</t>
        </is>
      </c>
    </row>
    <row r="1275">
      <c r="A1275" t="inlineStr">
        <is>
          <t>No</t>
        </is>
      </c>
      <c r="B1275" t="inlineStr">
        <is>
          <t>DG63 .L25 1979</t>
        </is>
      </c>
      <c r="C1275" t="inlineStr">
        <is>
          <t>0                      DG 0063000L  25          1979</t>
        </is>
      </c>
      <c r="D1275" t="inlineStr">
        <is>
          <t>The ruins and excavations of ancient Rome / Rodolfo Lanciani ; with a new foreword by Richard Brilliant.</t>
        </is>
      </c>
      <c r="F1275" t="inlineStr">
        <is>
          <t>No</t>
        </is>
      </c>
      <c r="G1275" t="inlineStr">
        <is>
          <t>1</t>
        </is>
      </c>
      <c r="H1275" t="inlineStr">
        <is>
          <t>No</t>
        </is>
      </c>
      <c r="I1275" t="inlineStr">
        <is>
          <t>No</t>
        </is>
      </c>
      <c r="J1275" t="inlineStr">
        <is>
          <t>0</t>
        </is>
      </c>
      <c r="K1275" t="inlineStr">
        <is>
          <t>Lanciani, Rodolfo Amedeo, 1847-1929.</t>
        </is>
      </c>
      <c r="L1275" t="inlineStr">
        <is>
          <t>New York : Bell Pub. Co., 1979.</t>
        </is>
      </c>
      <c r="M1275" t="inlineStr">
        <is>
          <t>1979</t>
        </is>
      </c>
      <c r="O1275" t="inlineStr">
        <is>
          <t>eng</t>
        </is>
      </c>
      <c r="P1275" t="inlineStr">
        <is>
          <t>nyu</t>
        </is>
      </c>
      <c r="R1275" t="inlineStr">
        <is>
          <t xml:space="preserve">DG </t>
        </is>
      </c>
      <c r="S1275" t="n">
        <v>5</v>
      </c>
      <c r="T1275" t="n">
        <v>5</v>
      </c>
      <c r="U1275" t="inlineStr">
        <is>
          <t>2005-12-01</t>
        </is>
      </c>
      <c r="V1275" t="inlineStr">
        <is>
          <t>2005-12-01</t>
        </is>
      </c>
      <c r="W1275" t="inlineStr">
        <is>
          <t>1991-02-25</t>
        </is>
      </c>
      <c r="X1275" t="inlineStr">
        <is>
          <t>1991-02-25</t>
        </is>
      </c>
      <c r="Y1275" t="n">
        <v>354</v>
      </c>
      <c r="Z1275" t="n">
        <v>333</v>
      </c>
      <c r="AA1275" t="n">
        <v>653</v>
      </c>
      <c r="AB1275" t="n">
        <v>3</v>
      </c>
      <c r="AC1275" t="n">
        <v>3</v>
      </c>
      <c r="AD1275" t="n">
        <v>11</v>
      </c>
      <c r="AE1275" t="n">
        <v>22</v>
      </c>
      <c r="AF1275" t="n">
        <v>4</v>
      </c>
      <c r="AG1275" t="n">
        <v>10</v>
      </c>
      <c r="AH1275" t="n">
        <v>1</v>
      </c>
      <c r="AI1275" t="n">
        <v>5</v>
      </c>
      <c r="AJ1275" t="n">
        <v>5</v>
      </c>
      <c r="AK1275" t="n">
        <v>7</v>
      </c>
      <c r="AL1275" t="n">
        <v>1</v>
      </c>
      <c r="AM1275" t="n">
        <v>1</v>
      </c>
      <c r="AN1275" t="n">
        <v>0</v>
      </c>
      <c r="AO1275" t="n">
        <v>0</v>
      </c>
      <c r="AP1275" t="inlineStr">
        <is>
          <t>No</t>
        </is>
      </c>
      <c r="AQ1275" t="inlineStr">
        <is>
          <t>Yes</t>
        </is>
      </c>
      <c r="AR1275">
        <f>HYPERLINK("http://catalog.hathitrust.org/Record/012204640","HathiTrust Record")</f>
        <v/>
      </c>
      <c r="AS1275">
        <f>HYPERLINK("https://creighton-primo.hosted.exlibrisgroup.com/primo-explore/search?tab=default_tab&amp;search_scope=EVERYTHING&amp;vid=01CRU&amp;lang=en_US&amp;offset=0&amp;query=any,contains,991004775589702656","Catalog Record")</f>
        <v/>
      </c>
      <c r="AT1275">
        <f>HYPERLINK("http://www.worldcat.org/oclc/5101132","WorldCat Record")</f>
        <v/>
      </c>
      <c r="AU1275" t="inlineStr">
        <is>
          <t>1596696:eng</t>
        </is>
      </c>
      <c r="AV1275" t="inlineStr">
        <is>
          <t>5101132</t>
        </is>
      </c>
      <c r="AW1275" t="inlineStr">
        <is>
          <t>991004775589702656</t>
        </is>
      </c>
      <c r="AX1275" t="inlineStr">
        <is>
          <t>991004775589702656</t>
        </is>
      </c>
      <c r="AY1275" t="inlineStr">
        <is>
          <t>2259282400002656</t>
        </is>
      </c>
      <c r="AZ1275" t="inlineStr">
        <is>
          <t>BOOK</t>
        </is>
      </c>
      <c r="BB1275" t="inlineStr">
        <is>
          <t>9780517289457</t>
        </is>
      </c>
      <c r="BC1275" t="inlineStr">
        <is>
          <t>32285000520873</t>
        </is>
      </c>
      <c r="BD1275" t="inlineStr">
        <is>
          <t>893436741</t>
        </is>
      </c>
    </row>
    <row r="1276">
      <c r="A1276" t="inlineStr">
        <is>
          <t>No</t>
        </is>
      </c>
      <c r="B1276" t="inlineStr">
        <is>
          <t>DG63 .L49 1993</t>
        </is>
      </c>
      <c r="C1276" t="inlineStr">
        <is>
          <t>0                      DG 0063000L  49          1993</t>
        </is>
      </c>
      <c r="D1276" t="inlineStr">
        <is>
          <t>Lexicon topographicum urbis Romae / a cura di Eva Margareta Steinby.</t>
        </is>
      </c>
      <c r="E1276" t="inlineStr">
        <is>
          <t>V. 2</t>
        </is>
      </c>
      <c r="F1276" t="inlineStr">
        <is>
          <t>Yes</t>
        </is>
      </c>
      <c r="G1276" t="inlineStr">
        <is>
          <t>1</t>
        </is>
      </c>
      <c r="H1276" t="inlineStr">
        <is>
          <t>No</t>
        </is>
      </c>
      <c r="I1276" t="inlineStr">
        <is>
          <t>No</t>
        </is>
      </c>
      <c r="J1276" t="inlineStr">
        <is>
          <t>0</t>
        </is>
      </c>
      <c r="L1276" t="inlineStr">
        <is>
          <t>Roma : Edizioni Quasar, c1993-c2000.</t>
        </is>
      </c>
      <c r="M1276" t="inlineStr">
        <is>
          <t>1993</t>
        </is>
      </c>
      <c r="O1276" t="inlineStr">
        <is>
          <t>ita</t>
        </is>
      </c>
      <c r="P1276" t="inlineStr">
        <is>
          <t xml:space="preserve">it </t>
        </is>
      </c>
      <c r="R1276" t="inlineStr">
        <is>
          <t xml:space="preserve">DG </t>
        </is>
      </c>
      <c r="S1276" t="n">
        <v>2</v>
      </c>
      <c r="T1276" t="n">
        <v>6</v>
      </c>
      <c r="U1276" t="inlineStr">
        <is>
          <t>2009-09-18</t>
        </is>
      </c>
      <c r="V1276" t="inlineStr">
        <is>
          <t>2009-09-18</t>
        </is>
      </c>
      <c r="W1276" t="inlineStr">
        <is>
          <t>2004-12-17</t>
        </is>
      </c>
      <c r="X1276" t="inlineStr">
        <is>
          <t>2005-01-21</t>
        </is>
      </c>
      <c r="Y1276" t="n">
        <v>278</v>
      </c>
      <c r="Z1276" t="n">
        <v>192</v>
      </c>
      <c r="AA1276" t="n">
        <v>194</v>
      </c>
      <c r="AB1276" t="n">
        <v>2</v>
      </c>
      <c r="AC1276" t="n">
        <v>2</v>
      </c>
      <c r="AD1276" t="n">
        <v>10</v>
      </c>
      <c r="AE1276" t="n">
        <v>10</v>
      </c>
      <c r="AF1276" t="n">
        <v>3</v>
      </c>
      <c r="AG1276" t="n">
        <v>3</v>
      </c>
      <c r="AH1276" t="n">
        <v>2</v>
      </c>
      <c r="AI1276" t="n">
        <v>2</v>
      </c>
      <c r="AJ1276" t="n">
        <v>7</v>
      </c>
      <c r="AK1276" t="n">
        <v>7</v>
      </c>
      <c r="AL1276" t="n">
        <v>1</v>
      </c>
      <c r="AM1276" t="n">
        <v>1</v>
      </c>
      <c r="AN1276" t="n">
        <v>0</v>
      </c>
      <c r="AO1276" t="n">
        <v>0</v>
      </c>
      <c r="AP1276" t="inlineStr">
        <is>
          <t>No</t>
        </is>
      </c>
      <c r="AQ1276" t="inlineStr">
        <is>
          <t>Yes</t>
        </is>
      </c>
      <c r="AR1276">
        <f>HYPERLINK("http://catalog.hathitrust.org/Record/002810278","HathiTrust Record")</f>
        <v/>
      </c>
      <c r="AS1276">
        <f>HYPERLINK("https://creighton-primo.hosted.exlibrisgroup.com/primo-explore/search?tab=default_tab&amp;search_scope=EVERYTHING&amp;vid=01CRU&amp;lang=en_US&amp;offset=0&amp;query=any,contains,991004020949702656","Catalog Record")</f>
        <v/>
      </c>
      <c r="AT1276">
        <f>HYPERLINK("http://www.worldcat.org/oclc/29363515","WorldCat Record")</f>
        <v/>
      </c>
      <c r="AU1276" t="inlineStr">
        <is>
          <t>4915223544:ita</t>
        </is>
      </c>
      <c r="AV1276" t="inlineStr">
        <is>
          <t>29363515</t>
        </is>
      </c>
      <c r="AW1276" t="inlineStr">
        <is>
          <t>991004020949702656</t>
        </is>
      </c>
      <c r="AX1276" t="inlineStr">
        <is>
          <t>991004020949702656</t>
        </is>
      </c>
      <c r="AY1276" t="inlineStr">
        <is>
          <t>2258154390002656</t>
        </is>
      </c>
      <c r="AZ1276" t="inlineStr">
        <is>
          <t>BOOK</t>
        </is>
      </c>
      <c r="BB1276" t="inlineStr">
        <is>
          <t>9788870970197</t>
        </is>
      </c>
      <c r="BC1276" t="inlineStr">
        <is>
          <t>32285004933098</t>
        </is>
      </c>
      <c r="BD1276" t="inlineStr">
        <is>
          <t>893699733</t>
        </is>
      </c>
    </row>
    <row r="1277">
      <c r="A1277" t="inlineStr">
        <is>
          <t>No</t>
        </is>
      </c>
      <c r="B1277" t="inlineStr">
        <is>
          <t>DG63 .L49 1993</t>
        </is>
      </c>
      <c r="C1277" t="inlineStr">
        <is>
          <t>0                      DG 0063000L  49          1993</t>
        </is>
      </c>
      <c r="D1277" t="inlineStr">
        <is>
          <t>Lexicon topographicum urbis Romae / a cura di Eva Margareta Steinby.</t>
        </is>
      </c>
      <c r="E1277" t="inlineStr">
        <is>
          <t>V. 4</t>
        </is>
      </c>
      <c r="F1277" t="inlineStr">
        <is>
          <t>Yes</t>
        </is>
      </c>
      <c r="G1277" t="inlineStr">
        <is>
          <t>1</t>
        </is>
      </c>
      <c r="H1277" t="inlineStr">
        <is>
          <t>No</t>
        </is>
      </c>
      <c r="I1277" t="inlineStr">
        <is>
          <t>No</t>
        </is>
      </c>
      <c r="J1277" t="inlineStr">
        <is>
          <t>0</t>
        </is>
      </c>
      <c r="L1277" t="inlineStr">
        <is>
          <t>Roma : Edizioni Quasar, c1993-c2000.</t>
        </is>
      </c>
      <c r="M1277" t="inlineStr">
        <is>
          <t>1993</t>
        </is>
      </c>
      <c r="O1277" t="inlineStr">
        <is>
          <t>ita</t>
        </is>
      </c>
      <c r="P1277" t="inlineStr">
        <is>
          <t xml:space="preserve">it </t>
        </is>
      </c>
      <c r="R1277" t="inlineStr">
        <is>
          <t xml:space="preserve">DG </t>
        </is>
      </c>
      <c r="S1277" t="n">
        <v>0</v>
      </c>
      <c r="T1277" t="n">
        <v>6</v>
      </c>
      <c r="V1277" t="inlineStr">
        <is>
          <t>2009-09-18</t>
        </is>
      </c>
      <c r="W1277" t="inlineStr">
        <is>
          <t>2004-12-10</t>
        </is>
      </c>
      <c r="X1277" t="inlineStr">
        <is>
          <t>2005-01-21</t>
        </is>
      </c>
      <c r="Y1277" t="n">
        <v>278</v>
      </c>
      <c r="Z1277" t="n">
        <v>192</v>
      </c>
      <c r="AA1277" t="n">
        <v>194</v>
      </c>
      <c r="AB1277" t="n">
        <v>2</v>
      </c>
      <c r="AC1277" t="n">
        <v>2</v>
      </c>
      <c r="AD1277" t="n">
        <v>10</v>
      </c>
      <c r="AE1277" t="n">
        <v>10</v>
      </c>
      <c r="AF1277" t="n">
        <v>3</v>
      </c>
      <c r="AG1277" t="n">
        <v>3</v>
      </c>
      <c r="AH1277" t="n">
        <v>2</v>
      </c>
      <c r="AI1277" t="n">
        <v>2</v>
      </c>
      <c r="AJ1277" t="n">
        <v>7</v>
      </c>
      <c r="AK1277" t="n">
        <v>7</v>
      </c>
      <c r="AL1277" t="n">
        <v>1</v>
      </c>
      <c r="AM1277" t="n">
        <v>1</v>
      </c>
      <c r="AN1277" t="n">
        <v>0</v>
      </c>
      <c r="AO1277" t="n">
        <v>0</v>
      </c>
      <c r="AP1277" t="inlineStr">
        <is>
          <t>No</t>
        </is>
      </c>
      <c r="AQ1277" t="inlineStr">
        <is>
          <t>Yes</t>
        </is>
      </c>
      <c r="AR1277">
        <f>HYPERLINK("http://catalog.hathitrust.org/Record/002810278","HathiTrust Record")</f>
        <v/>
      </c>
      <c r="AS1277">
        <f>HYPERLINK("https://creighton-primo.hosted.exlibrisgroup.com/primo-explore/search?tab=default_tab&amp;search_scope=EVERYTHING&amp;vid=01CRU&amp;lang=en_US&amp;offset=0&amp;query=any,contains,991004020949702656","Catalog Record")</f>
        <v/>
      </c>
      <c r="AT1277">
        <f>HYPERLINK("http://www.worldcat.org/oclc/29363515","WorldCat Record")</f>
        <v/>
      </c>
      <c r="AU1277" t="inlineStr">
        <is>
          <t>4915223544:ita</t>
        </is>
      </c>
      <c r="AV1277" t="inlineStr">
        <is>
          <t>29363515</t>
        </is>
      </c>
      <c r="AW1277" t="inlineStr">
        <is>
          <t>991004020949702656</t>
        </is>
      </c>
      <c r="AX1277" t="inlineStr">
        <is>
          <t>991004020949702656</t>
        </is>
      </c>
      <c r="AY1277" t="inlineStr">
        <is>
          <t>2258154390002656</t>
        </is>
      </c>
      <c r="AZ1277" t="inlineStr">
        <is>
          <t>BOOK</t>
        </is>
      </c>
      <c r="BB1277" t="inlineStr">
        <is>
          <t>9788870970197</t>
        </is>
      </c>
      <c r="BC1277" t="inlineStr">
        <is>
          <t>32285004932991</t>
        </is>
      </c>
      <c r="BD1277" t="inlineStr">
        <is>
          <t>893693425</t>
        </is>
      </c>
    </row>
    <row r="1278">
      <c r="A1278" t="inlineStr">
        <is>
          <t>No</t>
        </is>
      </c>
      <c r="B1278" t="inlineStr">
        <is>
          <t>DG63 .L49 1993</t>
        </is>
      </c>
      <c r="C1278" t="inlineStr">
        <is>
          <t>0                      DG 0063000L  49          1993</t>
        </is>
      </c>
      <c r="D1278" t="inlineStr">
        <is>
          <t>Lexicon topographicum urbis Romae / a cura di Eva Margareta Steinby.</t>
        </is>
      </c>
      <c r="E1278" t="inlineStr">
        <is>
          <t>V. 5</t>
        </is>
      </c>
      <c r="F1278" t="inlineStr">
        <is>
          <t>Yes</t>
        </is>
      </c>
      <c r="G1278" t="inlineStr">
        <is>
          <t>1</t>
        </is>
      </c>
      <c r="H1278" t="inlineStr">
        <is>
          <t>No</t>
        </is>
      </c>
      <c r="I1278" t="inlineStr">
        <is>
          <t>No</t>
        </is>
      </c>
      <c r="J1278" t="inlineStr">
        <is>
          <t>0</t>
        </is>
      </c>
      <c r="L1278" t="inlineStr">
        <is>
          <t>Roma : Edizioni Quasar, c1993-c2000.</t>
        </is>
      </c>
      <c r="M1278" t="inlineStr">
        <is>
          <t>1993</t>
        </is>
      </c>
      <c r="O1278" t="inlineStr">
        <is>
          <t>ita</t>
        </is>
      </c>
      <c r="P1278" t="inlineStr">
        <is>
          <t xml:space="preserve">it </t>
        </is>
      </c>
      <c r="R1278" t="inlineStr">
        <is>
          <t xml:space="preserve">DG </t>
        </is>
      </c>
      <c r="S1278" t="n">
        <v>1</v>
      </c>
      <c r="T1278" t="n">
        <v>6</v>
      </c>
      <c r="U1278" t="inlineStr">
        <is>
          <t>2005-01-21</t>
        </is>
      </c>
      <c r="V1278" t="inlineStr">
        <is>
          <t>2009-09-18</t>
        </is>
      </c>
      <c r="W1278" t="inlineStr">
        <is>
          <t>2005-01-21</t>
        </is>
      </c>
      <c r="X1278" t="inlineStr">
        <is>
          <t>2005-01-21</t>
        </is>
      </c>
      <c r="Y1278" t="n">
        <v>278</v>
      </c>
      <c r="Z1278" t="n">
        <v>192</v>
      </c>
      <c r="AA1278" t="n">
        <v>194</v>
      </c>
      <c r="AB1278" t="n">
        <v>2</v>
      </c>
      <c r="AC1278" t="n">
        <v>2</v>
      </c>
      <c r="AD1278" t="n">
        <v>10</v>
      </c>
      <c r="AE1278" t="n">
        <v>10</v>
      </c>
      <c r="AF1278" t="n">
        <v>3</v>
      </c>
      <c r="AG1278" t="n">
        <v>3</v>
      </c>
      <c r="AH1278" t="n">
        <v>2</v>
      </c>
      <c r="AI1278" t="n">
        <v>2</v>
      </c>
      <c r="AJ1278" t="n">
        <v>7</v>
      </c>
      <c r="AK1278" t="n">
        <v>7</v>
      </c>
      <c r="AL1278" t="n">
        <v>1</v>
      </c>
      <c r="AM1278" t="n">
        <v>1</v>
      </c>
      <c r="AN1278" t="n">
        <v>0</v>
      </c>
      <c r="AO1278" t="n">
        <v>0</v>
      </c>
      <c r="AP1278" t="inlineStr">
        <is>
          <t>No</t>
        </is>
      </c>
      <c r="AQ1278" t="inlineStr">
        <is>
          <t>Yes</t>
        </is>
      </c>
      <c r="AR1278">
        <f>HYPERLINK("http://catalog.hathitrust.org/Record/002810278","HathiTrust Record")</f>
        <v/>
      </c>
      <c r="AS1278">
        <f>HYPERLINK("https://creighton-primo.hosted.exlibrisgroup.com/primo-explore/search?tab=default_tab&amp;search_scope=EVERYTHING&amp;vid=01CRU&amp;lang=en_US&amp;offset=0&amp;query=any,contains,991004020949702656","Catalog Record")</f>
        <v/>
      </c>
      <c r="AT1278">
        <f>HYPERLINK("http://www.worldcat.org/oclc/29363515","WorldCat Record")</f>
        <v/>
      </c>
      <c r="AU1278" t="inlineStr">
        <is>
          <t>4915223544:ita</t>
        </is>
      </c>
      <c r="AV1278" t="inlineStr">
        <is>
          <t>29363515</t>
        </is>
      </c>
      <c r="AW1278" t="inlineStr">
        <is>
          <t>991004020949702656</t>
        </is>
      </c>
      <c r="AX1278" t="inlineStr">
        <is>
          <t>991004020949702656</t>
        </is>
      </c>
      <c r="AY1278" t="inlineStr">
        <is>
          <t>2258154390002656</t>
        </is>
      </c>
      <c r="AZ1278" t="inlineStr">
        <is>
          <t>BOOK</t>
        </is>
      </c>
      <c r="BB1278" t="inlineStr">
        <is>
          <t>9788870970197</t>
        </is>
      </c>
      <c r="BC1278" t="inlineStr">
        <is>
          <t>32285004933429</t>
        </is>
      </c>
      <c r="BD1278" t="inlineStr">
        <is>
          <t>893687262</t>
        </is>
      </c>
    </row>
    <row r="1279">
      <c r="A1279" t="inlineStr">
        <is>
          <t>No</t>
        </is>
      </c>
      <c r="B1279" t="inlineStr">
        <is>
          <t>DG63 .L49 1993</t>
        </is>
      </c>
      <c r="C1279" t="inlineStr">
        <is>
          <t>0                      DG 0063000L  49          1993</t>
        </is>
      </c>
      <c r="D1279" t="inlineStr">
        <is>
          <t>Lexicon topographicum urbis Romae / a cura di Eva Margareta Steinby.</t>
        </is>
      </c>
      <c r="E1279" t="inlineStr">
        <is>
          <t>V. 6</t>
        </is>
      </c>
      <c r="F1279" t="inlineStr">
        <is>
          <t>Yes</t>
        </is>
      </c>
      <c r="G1279" t="inlineStr">
        <is>
          <t>1</t>
        </is>
      </c>
      <c r="H1279" t="inlineStr">
        <is>
          <t>No</t>
        </is>
      </c>
      <c r="I1279" t="inlineStr">
        <is>
          <t>No</t>
        </is>
      </c>
      <c r="J1279" t="inlineStr">
        <is>
          <t>0</t>
        </is>
      </c>
      <c r="L1279" t="inlineStr">
        <is>
          <t>Roma : Edizioni Quasar, c1993-c2000.</t>
        </is>
      </c>
      <c r="M1279" t="inlineStr">
        <is>
          <t>1993</t>
        </is>
      </c>
      <c r="O1279" t="inlineStr">
        <is>
          <t>ita</t>
        </is>
      </c>
      <c r="P1279" t="inlineStr">
        <is>
          <t xml:space="preserve">it </t>
        </is>
      </c>
      <c r="R1279" t="inlineStr">
        <is>
          <t xml:space="preserve">DG </t>
        </is>
      </c>
      <c r="S1279" t="n">
        <v>1</v>
      </c>
      <c r="T1279" t="n">
        <v>6</v>
      </c>
      <c r="V1279" t="inlineStr">
        <is>
          <t>2009-09-18</t>
        </is>
      </c>
      <c r="W1279" t="inlineStr">
        <is>
          <t>2005-01-06</t>
        </is>
      </c>
      <c r="X1279" t="inlineStr">
        <is>
          <t>2005-01-21</t>
        </is>
      </c>
      <c r="Y1279" t="n">
        <v>278</v>
      </c>
      <c r="Z1279" t="n">
        <v>192</v>
      </c>
      <c r="AA1279" t="n">
        <v>194</v>
      </c>
      <c r="AB1279" t="n">
        <v>2</v>
      </c>
      <c r="AC1279" t="n">
        <v>2</v>
      </c>
      <c r="AD1279" t="n">
        <v>10</v>
      </c>
      <c r="AE1279" t="n">
        <v>10</v>
      </c>
      <c r="AF1279" t="n">
        <v>3</v>
      </c>
      <c r="AG1279" t="n">
        <v>3</v>
      </c>
      <c r="AH1279" t="n">
        <v>2</v>
      </c>
      <c r="AI1279" t="n">
        <v>2</v>
      </c>
      <c r="AJ1279" t="n">
        <v>7</v>
      </c>
      <c r="AK1279" t="n">
        <v>7</v>
      </c>
      <c r="AL1279" t="n">
        <v>1</v>
      </c>
      <c r="AM1279" t="n">
        <v>1</v>
      </c>
      <c r="AN1279" t="n">
        <v>0</v>
      </c>
      <c r="AO1279" t="n">
        <v>0</v>
      </c>
      <c r="AP1279" t="inlineStr">
        <is>
          <t>No</t>
        </is>
      </c>
      <c r="AQ1279" t="inlineStr">
        <is>
          <t>Yes</t>
        </is>
      </c>
      <c r="AR1279">
        <f>HYPERLINK("http://catalog.hathitrust.org/Record/002810278","HathiTrust Record")</f>
        <v/>
      </c>
      <c r="AS1279">
        <f>HYPERLINK("https://creighton-primo.hosted.exlibrisgroup.com/primo-explore/search?tab=default_tab&amp;search_scope=EVERYTHING&amp;vid=01CRU&amp;lang=en_US&amp;offset=0&amp;query=any,contains,991004020949702656","Catalog Record")</f>
        <v/>
      </c>
      <c r="AT1279">
        <f>HYPERLINK("http://www.worldcat.org/oclc/29363515","WorldCat Record")</f>
        <v/>
      </c>
      <c r="AU1279" t="inlineStr">
        <is>
          <t>4915223544:ita</t>
        </is>
      </c>
      <c r="AV1279" t="inlineStr">
        <is>
          <t>29363515</t>
        </is>
      </c>
      <c r="AW1279" t="inlineStr">
        <is>
          <t>991004020949702656</t>
        </is>
      </c>
      <c r="AX1279" t="inlineStr">
        <is>
          <t>991004020949702656</t>
        </is>
      </c>
      <c r="AY1279" t="inlineStr">
        <is>
          <t>2258154390002656</t>
        </is>
      </c>
      <c r="AZ1279" t="inlineStr">
        <is>
          <t>BOOK</t>
        </is>
      </c>
      <c r="BB1279" t="inlineStr">
        <is>
          <t>9788870970197</t>
        </is>
      </c>
      <c r="BC1279" t="inlineStr">
        <is>
          <t>32285004933296</t>
        </is>
      </c>
      <c r="BD1279" t="inlineStr">
        <is>
          <t>893699732</t>
        </is>
      </c>
    </row>
    <row r="1280">
      <c r="A1280" t="inlineStr">
        <is>
          <t>No</t>
        </is>
      </c>
      <c r="B1280" t="inlineStr">
        <is>
          <t>DG63 .L83</t>
        </is>
      </c>
      <c r="C1280" t="inlineStr">
        <is>
          <t>0                      DG 0063000L  83</t>
        </is>
      </c>
      <c r="D1280" t="inlineStr">
        <is>
          <t>Fontes ad topographiam veteris urbis Romae pertinentes.</t>
        </is>
      </c>
      <c r="E1280" t="inlineStr">
        <is>
          <t>V. 8</t>
        </is>
      </c>
      <c r="F1280" t="inlineStr">
        <is>
          <t>No</t>
        </is>
      </c>
      <c r="G1280" t="inlineStr">
        <is>
          <t>1</t>
        </is>
      </c>
      <c r="H1280" t="inlineStr">
        <is>
          <t>No</t>
        </is>
      </c>
      <c r="I1280" t="inlineStr">
        <is>
          <t>No</t>
        </is>
      </c>
      <c r="J1280" t="inlineStr">
        <is>
          <t>0</t>
        </is>
      </c>
      <c r="K1280" t="inlineStr">
        <is>
          <t>Lugli, Giuseppe, 1890-1967.</t>
        </is>
      </c>
      <c r="L1280" t="inlineStr">
        <is>
          <t>Romae, Università di Roma, Istituto di topografia antica, 1952-</t>
        </is>
      </c>
      <c r="M1280" t="inlineStr">
        <is>
          <t>1952</t>
        </is>
      </c>
      <c r="O1280" t="inlineStr">
        <is>
          <t>ita</t>
        </is>
      </c>
      <c r="P1280" t="inlineStr">
        <is>
          <t xml:space="preserve">it </t>
        </is>
      </c>
      <c r="R1280" t="inlineStr">
        <is>
          <t xml:space="preserve">DG </t>
        </is>
      </c>
      <c r="S1280" t="n">
        <v>1</v>
      </c>
      <c r="T1280" t="n">
        <v>1</v>
      </c>
      <c r="U1280" t="inlineStr">
        <is>
          <t>2004-02-26</t>
        </is>
      </c>
      <c r="V1280" t="inlineStr">
        <is>
          <t>2004-02-26</t>
        </is>
      </c>
      <c r="W1280" t="inlineStr">
        <is>
          <t>2004-02-26</t>
        </is>
      </c>
      <c r="X1280" t="inlineStr">
        <is>
          <t>2004-02-26</t>
        </is>
      </c>
      <c r="Y1280" t="n">
        <v>93</v>
      </c>
      <c r="Z1280" t="n">
        <v>61</v>
      </c>
      <c r="AA1280" t="n">
        <v>62</v>
      </c>
      <c r="AB1280" t="n">
        <v>1</v>
      </c>
      <c r="AC1280" t="n">
        <v>1</v>
      </c>
      <c r="AD1280" t="n">
        <v>1</v>
      </c>
      <c r="AE1280" t="n">
        <v>1</v>
      </c>
      <c r="AF1280" t="n">
        <v>1</v>
      </c>
      <c r="AG1280" t="n">
        <v>1</v>
      </c>
      <c r="AH1280" t="n">
        <v>0</v>
      </c>
      <c r="AI1280" t="n">
        <v>0</v>
      </c>
      <c r="AJ1280" t="n">
        <v>1</v>
      </c>
      <c r="AK1280" t="n">
        <v>1</v>
      </c>
      <c r="AL1280" t="n">
        <v>0</v>
      </c>
      <c r="AM1280" t="n">
        <v>0</v>
      </c>
      <c r="AN1280" t="n">
        <v>0</v>
      </c>
      <c r="AO1280" t="n">
        <v>0</v>
      </c>
      <c r="AP1280" t="inlineStr">
        <is>
          <t>No</t>
        </is>
      </c>
      <c r="AQ1280" t="inlineStr">
        <is>
          <t>Yes</t>
        </is>
      </c>
      <c r="AR1280">
        <f>HYPERLINK("http://catalog.hathitrust.org/Record/000828416","HathiTrust Record")</f>
        <v/>
      </c>
      <c r="AS1280">
        <f>HYPERLINK("https://creighton-primo.hosted.exlibrisgroup.com/primo-explore/search?tab=default_tab&amp;search_scope=EVERYTHING&amp;vid=01CRU&amp;lang=en_US&amp;offset=0&amp;query=any,contains,991004182669702656","Catalog Record")</f>
        <v/>
      </c>
      <c r="AT1280">
        <f>HYPERLINK("http://www.worldcat.org/oclc/1947863","WorldCat Record")</f>
        <v/>
      </c>
      <c r="AU1280" t="inlineStr">
        <is>
          <t>9020813945:ita</t>
        </is>
      </c>
      <c r="AV1280" t="inlineStr">
        <is>
          <t>1947863</t>
        </is>
      </c>
      <c r="AW1280" t="inlineStr">
        <is>
          <t>991004182669702656</t>
        </is>
      </c>
      <c r="AX1280" t="inlineStr">
        <is>
          <t>991004182669702656</t>
        </is>
      </c>
      <c r="AY1280" t="inlineStr">
        <is>
          <t>2263996670002656</t>
        </is>
      </c>
      <c r="AZ1280" t="inlineStr">
        <is>
          <t>BOOK</t>
        </is>
      </c>
      <c r="BC1280" t="inlineStr">
        <is>
          <t>32285004848247</t>
        </is>
      </c>
      <c r="BD1280" t="inlineStr">
        <is>
          <t>893794570</t>
        </is>
      </c>
    </row>
    <row r="1281">
      <c r="A1281" t="inlineStr">
        <is>
          <t>No</t>
        </is>
      </c>
      <c r="B1281" t="inlineStr">
        <is>
          <t>DG66.5 .G7 1970b</t>
        </is>
      </c>
      <c r="C1281" t="inlineStr">
        <is>
          <t>0                      DG 0066500G  7           1970b</t>
        </is>
      </c>
      <c r="D1281" t="inlineStr">
        <is>
          <t>The Roman forum / photographs by Werner Forman.</t>
        </is>
      </c>
      <c r="F1281" t="inlineStr">
        <is>
          <t>No</t>
        </is>
      </c>
      <c r="G1281" t="inlineStr">
        <is>
          <t>1</t>
        </is>
      </c>
      <c r="H1281" t="inlineStr">
        <is>
          <t>No</t>
        </is>
      </c>
      <c r="I1281" t="inlineStr">
        <is>
          <t>No</t>
        </is>
      </c>
      <c r="J1281" t="inlineStr">
        <is>
          <t>0</t>
        </is>
      </c>
      <c r="K1281" t="inlineStr">
        <is>
          <t>Grant, Michael, 1914-2004.</t>
        </is>
      </c>
      <c r="L1281" t="inlineStr">
        <is>
          <t>London : Weidenfeld &amp; Nicolson, 1970.</t>
        </is>
      </c>
      <c r="M1281" t="inlineStr">
        <is>
          <t>1970</t>
        </is>
      </c>
      <c r="O1281" t="inlineStr">
        <is>
          <t>eng</t>
        </is>
      </c>
      <c r="P1281" t="inlineStr">
        <is>
          <t>enk</t>
        </is>
      </c>
      <c r="R1281" t="inlineStr">
        <is>
          <t xml:space="preserve">DG </t>
        </is>
      </c>
      <c r="S1281" t="n">
        <v>3</v>
      </c>
      <c r="T1281" t="n">
        <v>3</v>
      </c>
      <c r="U1281" t="inlineStr">
        <is>
          <t>2007-10-26</t>
        </is>
      </c>
      <c r="V1281" t="inlineStr">
        <is>
          <t>2007-10-26</t>
        </is>
      </c>
      <c r="W1281" t="inlineStr">
        <is>
          <t>1991-02-06</t>
        </is>
      </c>
      <c r="X1281" t="inlineStr">
        <is>
          <t>1991-02-06</t>
        </is>
      </c>
      <c r="Y1281" t="n">
        <v>245</v>
      </c>
      <c r="Z1281" t="n">
        <v>95</v>
      </c>
      <c r="AA1281" t="n">
        <v>663</v>
      </c>
      <c r="AB1281" t="n">
        <v>1</v>
      </c>
      <c r="AC1281" t="n">
        <v>4</v>
      </c>
      <c r="AD1281" t="n">
        <v>6</v>
      </c>
      <c r="AE1281" t="n">
        <v>24</v>
      </c>
      <c r="AF1281" t="n">
        <v>2</v>
      </c>
      <c r="AG1281" t="n">
        <v>10</v>
      </c>
      <c r="AH1281" t="n">
        <v>2</v>
      </c>
      <c r="AI1281" t="n">
        <v>6</v>
      </c>
      <c r="AJ1281" t="n">
        <v>6</v>
      </c>
      <c r="AK1281" t="n">
        <v>13</v>
      </c>
      <c r="AL1281" t="n">
        <v>0</v>
      </c>
      <c r="AM1281" t="n">
        <v>3</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HYPERLINK("https://creighton-primo.hosted.exlibrisgroup.com/primo-explore/search?tab=default_tab&amp;search_scope=EVERYTHING&amp;vid=01CRU&amp;lang=en_US&amp;offset=0&amp;query=any,contains,991000678219702656","Catalog Record")</f>
        <v/>
      </c>
      <c r="AT1281">
        <f>HYPERLINK("http://www.worldcat.org/oclc/120666","WorldCat Record")</f>
        <v/>
      </c>
      <c r="AU1281" t="inlineStr">
        <is>
          <t>115522447:eng</t>
        </is>
      </c>
      <c r="AV1281" t="inlineStr">
        <is>
          <t>120666</t>
        </is>
      </c>
      <c r="AW1281" t="inlineStr">
        <is>
          <t>991000678219702656</t>
        </is>
      </c>
      <c r="AX1281" t="inlineStr">
        <is>
          <t>991000678219702656</t>
        </is>
      </c>
      <c r="AY1281" t="inlineStr">
        <is>
          <t>2264165860002656</t>
        </is>
      </c>
      <c r="AZ1281" t="inlineStr">
        <is>
          <t>BOOK</t>
        </is>
      </c>
      <c r="BB1281" t="inlineStr">
        <is>
          <t>9780297001997</t>
        </is>
      </c>
      <c r="BC1281" t="inlineStr">
        <is>
          <t>32285000473578</t>
        </is>
      </c>
      <c r="BD1281" t="inlineStr">
        <is>
          <t>893808784</t>
        </is>
      </c>
    </row>
    <row r="1282">
      <c r="A1282" t="inlineStr">
        <is>
          <t>No</t>
        </is>
      </c>
      <c r="B1282" t="inlineStr">
        <is>
          <t>DG66.5 .L8</t>
        </is>
      </c>
      <c r="C1282" t="inlineStr">
        <is>
          <t>0                      DG 0066500L  8</t>
        </is>
      </c>
      <c r="D1282" t="inlineStr">
        <is>
          <t>Stories in stone from the Roman Forum, by Isabel Lovell.</t>
        </is>
      </c>
      <c r="F1282" t="inlineStr">
        <is>
          <t>No</t>
        </is>
      </c>
      <c r="G1282" t="inlineStr">
        <is>
          <t>1</t>
        </is>
      </c>
      <c r="H1282" t="inlineStr">
        <is>
          <t>No</t>
        </is>
      </c>
      <c r="I1282" t="inlineStr">
        <is>
          <t>No</t>
        </is>
      </c>
      <c r="J1282" t="inlineStr">
        <is>
          <t>0</t>
        </is>
      </c>
      <c r="K1282" t="inlineStr">
        <is>
          <t>Lovell, Isabel.</t>
        </is>
      </c>
      <c r="L1282" t="inlineStr">
        <is>
          <t>New York, The Macmillan company; London, Macmillan and co., ltd., 1902.</t>
        </is>
      </c>
      <c r="M1282" t="inlineStr">
        <is>
          <t>1926</t>
        </is>
      </c>
      <c r="O1282" t="inlineStr">
        <is>
          <t>eng</t>
        </is>
      </c>
      <c r="P1282" t="inlineStr">
        <is>
          <t>nyu</t>
        </is>
      </c>
      <c r="R1282" t="inlineStr">
        <is>
          <t xml:space="preserve">DG </t>
        </is>
      </c>
      <c r="S1282" t="n">
        <v>5</v>
      </c>
      <c r="T1282" t="n">
        <v>5</v>
      </c>
      <c r="U1282" t="inlineStr">
        <is>
          <t>2008-02-04</t>
        </is>
      </c>
      <c r="V1282" t="inlineStr">
        <is>
          <t>2008-02-04</t>
        </is>
      </c>
      <c r="W1282" t="inlineStr">
        <is>
          <t>1991-02-25</t>
        </is>
      </c>
      <c r="X1282" t="inlineStr">
        <is>
          <t>1991-02-25</t>
        </is>
      </c>
      <c r="Y1282" t="n">
        <v>118</v>
      </c>
      <c r="Z1282" t="n">
        <v>107</v>
      </c>
      <c r="AA1282" t="n">
        <v>172</v>
      </c>
      <c r="AB1282" t="n">
        <v>4</v>
      </c>
      <c r="AC1282" t="n">
        <v>5</v>
      </c>
      <c r="AD1282" t="n">
        <v>5</v>
      </c>
      <c r="AE1282" t="n">
        <v>9</v>
      </c>
      <c r="AF1282" t="n">
        <v>1</v>
      </c>
      <c r="AG1282" t="n">
        <v>1</v>
      </c>
      <c r="AH1282" t="n">
        <v>1</v>
      </c>
      <c r="AI1282" t="n">
        <v>2</v>
      </c>
      <c r="AJ1282" t="n">
        <v>1</v>
      </c>
      <c r="AK1282" t="n">
        <v>3</v>
      </c>
      <c r="AL1282" t="n">
        <v>3</v>
      </c>
      <c r="AM1282" t="n">
        <v>4</v>
      </c>
      <c r="AN1282" t="n">
        <v>0</v>
      </c>
      <c r="AO1282" t="n">
        <v>0</v>
      </c>
      <c r="AP1282" t="inlineStr">
        <is>
          <t>Yes</t>
        </is>
      </c>
      <c r="AQ1282" t="inlineStr">
        <is>
          <t>No</t>
        </is>
      </c>
      <c r="AR1282">
        <f>HYPERLINK("http://catalog.hathitrust.org/Record/012409541","HathiTrust Record")</f>
        <v/>
      </c>
      <c r="AS1282">
        <f>HYPERLINK("https://creighton-primo.hosted.exlibrisgroup.com/primo-explore/search?tab=default_tab&amp;search_scope=EVERYTHING&amp;vid=01CRU&amp;lang=en_US&amp;offset=0&amp;query=any,contains,991004491689702656","Catalog Record")</f>
        <v/>
      </c>
      <c r="AT1282">
        <f>HYPERLINK("http://www.worldcat.org/oclc/3667226","WorldCat Record")</f>
        <v/>
      </c>
      <c r="AU1282" t="inlineStr">
        <is>
          <t>1792308:eng</t>
        </is>
      </c>
      <c r="AV1282" t="inlineStr">
        <is>
          <t>3667226</t>
        </is>
      </c>
      <c r="AW1282" t="inlineStr">
        <is>
          <t>991004491689702656</t>
        </is>
      </c>
      <c r="AX1282" t="inlineStr">
        <is>
          <t>991004491689702656</t>
        </is>
      </c>
      <c r="AY1282" t="inlineStr">
        <is>
          <t>2263765490002656</t>
        </is>
      </c>
      <c r="AZ1282" t="inlineStr">
        <is>
          <t>BOOK</t>
        </is>
      </c>
      <c r="BC1282" t="inlineStr">
        <is>
          <t>32285000520881</t>
        </is>
      </c>
      <c r="BD1282" t="inlineStr">
        <is>
          <t>893624787</t>
        </is>
      </c>
    </row>
    <row r="1283">
      <c r="A1283" t="inlineStr">
        <is>
          <t>No</t>
        </is>
      </c>
      <c r="B1283" t="inlineStr">
        <is>
          <t>DG66.5 .W38 2009</t>
        </is>
      </c>
      <c r="C1283" t="inlineStr">
        <is>
          <t>0                      DG 0066500W  38          2009</t>
        </is>
      </c>
      <c r="D1283" t="inlineStr">
        <is>
          <t>The Roman Forum / David Watkin.</t>
        </is>
      </c>
      <c r="F1283" t="inlineStr">
        <is>
          <t>No</t>
        </is>
      </c>
      <c r="G1283" t="inlineStr">
        <is>
          <t>1</t>
        </is>
      </c>
      <c r="H1283" t="inlineStr">
        <is>
          <t>No</t>
        </is>
      </c>
      <c r="I1283" t="inlineStr">
        <is>
          <t>No</t>
        </is>
      </c>
      <c r="J1283" t="inlineStr">
        <is>
          <t>0</t>
        </is>
      </c>
      <c r="K1283" t="inlineStr">
        <is>
          <t>Watkin, David, 1941-2018.</t>
        </is>
      </c>
      <c r="L1283" t="inlineStr">
        <is>
          <t>Cambridge, Mass. : Harvard University Press, 2009.</t>
        </is>
      </c>
      <c r="M1283" t="inlineStr">
        <is>
          <t>2009</t>
        </is>
      </c>
      <c r="O1283" t="inlineStr">
        <is>
          <t>eng</t>
        </is>
      </c>
      <c r="P1283" t="inlineStr">
        <is>
          <t>mau</t>
        </is>
      </c>
      <c r="Q1283" t="inlineStr">
        <is>
          <t>Wonders of the world</t>
        </is>
      </c>
      <c r="R1283" t="inlineStr">
        <is>
          <t xml:space="preserve">DG </t>
        </is>
      </c>
      <c r="S1283" t="n">
        <v>3</v>
      </c>
      <c r="T1283" t="n">
        <v>3</v>
      </c>
      <c r="U1283" t="inlineStr">
        <is>
          <t>2010-03-16</t>
        </is>
      </c>
      <c r="V1283" t="inlineStr">
        <is>
          <t>2010-03-16</t>
        </is>
      </c>
      <c r="W1283" t="inlineStr">
        <is>
          <t>2010-01-19</t>
        </is>
      </c>
      <c r="X1283" t="inlineStr">
        <is>
          <t>2010-01-19</t>
        </is>
      </c>
      <c r="Y1283" t="n">
        <v>502</v>
      </c>
      <c r="Z1283" t="n">
        <v>454</v>
      </c>
      <c r="AA1283" t="n">
        <v>924</v>
      </c>
      <c r="AB1283" t="n">
        <v>5</v>
      </c>
      <c r="AC1283" t="n">
        <v>9</v>
      </c>
      <c r="AD1283" t="n">
        <v>17</v>
      </c>
      <c r="AE1283" t="n">
        <v>35</v>
      </c>
      <c r="AF1283" t="n">
        <v>6</v>
      </c>
      <c r="AG1283" t="n">
        <v>12</v>
      </c>
      <c r="AH1283" t="n">
        <v>5</v>
      </c>
      <c r="AI1283" t="n">
        <v>9</v>
      </c>
      <c r="AJ1283" t="n">
        <v>6</v>
      </c>
      <c r="AK1283" t="n">
        <v>13</v>
      </c>
      <c r="AL1283" t="n">
        <v>4</v>
      </c>
      <c r="AM1283" t="n">
        <v>7</v>
      </c>
      <c r="AN1283" t="n">
        <v>0</v>
      </c>
      <c r="AO1283" t="n">
        <v>1</v>
      </c>
      <c r="AP1283" t="inlineStr">
        <is>
          <t>No</t>
        </is>
      </c>
      <c r="AQ1283" t="inlineStr">
        <is>
          <t>No</t>
        </is>
      </c>
      <c r="AS1283">
        <f>HYPERLINK("https://creighton-primo.hosted.exlibrisgroup.com/primo-explore/search?tab=default_tab&amp;search_scope=EVERYTHING&amp;vid=01CRU&amp;lang=en_US&amp;offset=0&amp;query=any,contains,991005349719702656","Catalog Record")</f>
        <v/>
      </c>
      <c r="AT1283">
        <f>HYPERLINK("http://www.worldcat.org/oclc/288915916","WorldCat Record")</f>
        <v/>
      </c>
      <c r="AU1283" t="inlineStr">
        <is>
          <t>176043960:eng</t>
        </is>
      </c>
      <c r="AV1283" t="inlineStr">
        <is>
          <t>288915916</t>
        </is>
      </c>
      <c r="AW1283" t="inlineStr">
        <is>
          <t>991005349719702656</t>
        </is>
      </c>
      <c r="AX1283" t="inlineStr">
        <is>
          <t>991005349719702656</t>
        </is>
      </c>
      <c r="AY1283" t="inlineStr">
        <is>
          <t>2258568380002656</t>
        </is>
      </c>
      <c r="AZ1283" t="inlineStr">
        <is>
          <t>BOOK</t>
        </is>
      </c>
      <c r="BB1283" t="inlineStr">
        <is>
          <t>9780674033412</t>
        </is>
      </c>
      <c r="BC1283" t="inlineStr">
        <is>
          <t>32285005558126</t>
        </is>
      </c>
      <c r="BD1283" t="inlineStr">
        <is>
          <t>893242572</t>
        </is>
      </c>
    </row>
    <row r="1284">
      <c r="A1284" t="inlineStr">
        <is>
          <t>No</t>
        </is>
      </c>
      <c r="B1284" t="inlineStr">
        <is>
          <t>DG67 .T63 1978</t>
        </is>
      </c>
      <c r="C1284" t="inlineStr">
        <is>
          <t>0                      DG 0067000T  63          1978</t>
        </is>
      </c>
      <c r="D1284" t="inlineStr">
        <is>
          <t>The walls of Rome / Malcolm Todd.</t>
        </is>
      </c>
      <c r="F1284" t="inlineStr">
        <is>
          <t>No</t>
        </is>
      </c>
      <c r="G1284" t="inlineStr">
        <is>
          <t>1</t>
        </is>
      </c>
      <c r="H1284" t="inlineStr">
        <is>
          <t>No</t>
        </is>
      </c>
      <c r="I1284" t="inlineStr">
        <is>
          <t>No</t>
        </is>
      </c>
      <c r="J1284" t="inlineStr">
        <is>
          <t>0</t>
        </is>
      </c>
      <c r="K1284" t="inlineStr">
        <is>
          <t>Todd, Malcolm, FSA.</t>
        </is>
      </c>
      <c r="L1284" t="inlineStr">
        <is>
          <t>Totowa, N.J. : Rowman and Littlefield, 1978.</t>
        </is>
      </c>
      <c r="M1284" t="inlineStr">
        <is>
          <t>1978</t>
        </is>
      </c>
      <c r="O1284" t="inlineStr">
        <is>
          <t>eng</t>
        </is>
      </c>
      <c r="P1284" t="inlineStr">
        <is>
          <t>nju</t>
        </is>
      </c>
      <c r="R1284" t="inlineStr">
        <is>
          <t xml:space="preserve">DG </t>
        </is>
      </c>
      <c r="S1284" t="n">
        <v>2</v>
      </c>
      <c r="T1284" t="n">
        <v>2</v>
      </c>
      <c r="U1284" t="inlineStr">
        <is>
          <t>2005-11-07</t>
        </is>
      </c>
      <c r="V1284" t="inlineStr">
        <is>
          <t>2005-11-07</t>
        </is>
      </c>
      <c r="W1284" t="inlineStr">
        <is>
          <t>1991-02-25</t>
        </is>
      </c>
      <c r="X1284" t="inlineStr">
        <is>
          <t>1991-02-25</t>
        </is>
      </c>
      <c r="Y1284" t="n">
        <v>237</v>
      </c>
      <c r="Z1284" t="n">
        <v>217</v>
      </c>
      <c r="AA1284" t="n">
        <v>275</v>
      </c>
      <c r="AB1284" t="n">
        <v>1</v>
      </c>
      <c r="AC1284" t="n">
        <v>2</v>
      </c>
      <c r="AD1284" t="n">
        <v>9</v>
      </c>
      <c r="AE1284" t="n">
        <v>14</v>
      </c>
      <c r="AF1284" t="n">
        <v>2</v>
      </c>
      <c r="AG1284" t="n">
        <v>2</v>
      </c>
      <c r="AH1284" t="n">
        <v>5</v>
      </c>
      <c r="AI1284" t="n">
        <v>5</v>
      </c>
      <c r="AJ1284" t="n">
        <v>5</v>
      </c>
      <c r="AK1284" t="n">
        <v>9</v>
      </c>
      <c r="AL1284" t="n">
        <v>0</v>
      </c>
      <c r="AM1284" t="n">
        <v>1</v>
      </c>
      <c r="AN1284" t="n">
        <v>0</v>
      </c>
      <c r="AO1284" t="n">
        <v>0</v>
      </c>
      <c r="AP1284" t="inlineStr">
        <is>
          <t>No</t>
        </is>
      </c>
      <c r="AQ1284" t="inlineStr">
        <is>
          <t>Yes</t>
        </is>
      </c>
      <c r="AR1284">
        <f>HYPERLINK("http://catalog.hathitrust.org/Record/006038402","HathiTrust Record")</f>
        <v/>
      </c>
      <c r="AS1284">
        <f>HYPERLINK("https://creighton-primo.hosted.exlibrisgroup.com/primo-explore/search?tab=default_tab&amp;search_scope=EVERYTHING&amp;vid=01CRU&amp;lang=en_US&amp;offset=0&amp;query=any,contains,991004592749702656","Catalog Record")</f>
        <v/>
      </c>
      <c r="AT1284">
        <f>HYPERLINK("http://www.worldcat.org/oclc/4135476","WorldCat Record")</f>
        <v/>
      </c>
      <c r="AU1284" t="inlineStr">
        <is>
          <t>144167109:eng</t>
        </is>
      </c>
      <c r="AV1284" t="inlineStr">
        <is>
          <t>4135476</t>
        </is>
      </c>
      <c r="AW1284" t="inlineStr">
        <is>
          <t>991004592749702656</t>
        </is>
      </c>
      <c r="AX1284" t="inlineStr">
        <is>
          <t>991004592749702656</t>
        </is>
      </c>
      <c r="AY1284" t="inlineStr">
        <is>
          <t>2254733610002656</t>
        </is>
      </c>
      <c r="AZ1284" t="inlineStr">
        <is>
          <t>BOOK</t>
        </is>
      </c>
      <c r="BB1284" t="inlineStr">
        <is>
          <t>9780847660377</t>
        </is>
      </c>
      <c r="BC1284" t="inlineStr">
        <is>
          <t>32285000520899</t>
        </is>
      </c>
      <c r="BD1284" t="inlineStr">
        <is>
          <t>893807251</t>
        </is>
      </c>
    </row>
    <row r="1285">
      <c r="A1285" t="inlineStr">
        <is>
          <t>No</t>
        </is>
      </c>
      <c r="B1285" t="inlineStr">
        <is>
          <t>DG674 .M3 1963</t>
        </is>
      </c>
      <c r="C1285" t="inlineStr">
        <is>
          <t>0                      DG 0674000M  3           1963</t>
        </is>
      </c>
      <c r="D1285" t="inlineStr">
        <is>
          <t>Venice observed / Mary McCarthy.</t>
        </is>
      </c>
      <c r="F1285" t="inlineStr">
        <is>
          <t>No</t>
        </is>
      </c>
      <c r="G1285" t="inlineStr">
        <is>
          <t>1</t>
        </is>
      </c>
      <c r="H1285" t="inlineStr">
        <is>
          <t>No</t>
        </is>
      </c>
      <c r="I1285" t="inlineStr">
        <is>
          <t>No</t>
        </is>
      </c>
      <c r="J1285" t="inlineStr">
        <is>
          <t>0</t>
        </is>
      </c>
      <c r="K1285" t="inlineStr">
        <is>
          <t>McCarthy, Mary, 1912-1989.</t>
        </is>
      </c>
      <c r="L1285" t="inlineStr">
        <is>
          <t>New York, Harcourt, Brace, &amp; World, [1963]</t>
        </is>
      </c>
      <c r="M1285" t="inlineStr">
        <is>
          <t>1963</t>
        </is>
      </c>
      <c r="O1285" t="inlineStr">
        <is>
          <t>eng</t>
        </is>
      </c>
      <c r="P1285" t="inlineStr">
        <is>
          <t>___</t>
        </is>
      </c>
      <c r="Q1285" t="inlineStr">
        <is>
          <t>A Harvest Book</t>
        </is>
      </c>
      <c r="R1285" t="inlineStr">
        <is>
          <t xml:space="preserve">DG </t>
        </is>
      </c>
      <c r="S1285" t="n">
        <v>1</v>
      </c>
      <c r="T1285" t="n">
        <v>1</v>
      </c>
      <c r="U1285" t="inlineStr">
        <is>
          <t>2005-03-22</t>
        </is>
      </c>
      <c r="V1285" t="inlineStr">
        <is>
          <t>2005-03-22</t>
        </is>
      </c>
      <c r="W1285" t="inlineStr">
        <is>
          <t>1991-04-15</t>
        </is>
      </c>
      <c r="X1285" t="inlineStr">
        <is>
          <t>1991-04-15</t>
        </is>
      </c>
      <c r="Y1285" t="n">
        <v>302</v>
      </c>
      <c r="Z1285" t="n">
        <v>271</v>
      </c>
      <c r="AA1285" t="n">
        <v>1089</v>
      </c>
      <c r="AB1285" t="n">
        <v>1</v>
      </c>
      <c r="AC1285" t="n">
        <v>5</v>
      </c>
      <c r="AD1285" t="n">
        <v>9</v>
      </c>
      <c r="AE1285" t="n">
        <v>36</v>
      </c>
      <c r="AF1285" t="n">
        <v>2</v>
      </c>
      <c r="AG1285" t="n">
        <v>15</v>
      </c>
      <c r="AH1285" t="n">
        <v>3</v>
      </c>
      <c r="AI1285" t="n">
        <v>8</v>
      </c>
      <c r="AJ1285" t="n">
        <v>6</v>
      </c>
      <c r="AK1285" t="n">
        <v>19</v>
      </c>
      <c r="AL1285" t="n">
        <v>0</v>
      </c>
      <c r="AM1285" t="n">
        <v>4</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HYPERLINK("https://creighton-primo.hosted.exlibrisgroup.com/primo-explore/search?tab=default_tab&amp;search_scope=EVERYTHING&amp;vid=01CRU&amp;lang=en_US&amp;offset=0&amp;query=any,contains,991003664919702656","Catalog Record")</f>
        <v/>
      </c>
      <c r="AT1285">
        <f>HYPERLINK("http://www.worldcat.org/oclc/1277834","WorldCat Record")</f>
        <v/>
      </c>
      <c r="AU1285" t="inlineStr">
        <is>
          <t>57756644:eng</t>
        </is>
      </c>
      <c r="AV1285" t="inlineStr">
        <is>
          <t>1277834</t>
        </is>
      </c>
      <c r="AW1285" t="inlineStr">
        <is>
          <t>991003664919702656</t>
        </is>
      </c>
      <c r="AX1285" t="inlineStr">
        <is>
          <t>991003664919702656</t>
        </is>
      </c>
      <c r="AY1285" t="inlineStr">
        <is>
          <t>2261390710002656</t>
        </is>
      </c>
      <c r="AZ1285" t="inlineStr">
        <is>
          <t>BOOK</t>
        </is>
      </c>
      <c r="BC1285" t="inlineStr">
        <is>
          <t>32285000522226</t>
        </is>
      </c>
      <c r="BD1285" t="inlineStr">
        <is>
          <t>893617580</t>
        </is>
      </c>
    </row>
    <row r="1286">
      <c r="A1286" t="inlineStr">
        <is>
          <t>No</t>
        </is>
      </c>
      <c r="B1286" t="inlineStr">
        <is>
          <t>DG674 .Y93 1896</t>
        </is>
      </c>
      <c r="C1286" t="inlineStr">
        <is>
          <t>0                      DG 0674000Y  93          1896</t>
        </is>
      </c>
      <c r="D1286" t="inlineStr">
        <is>
          <t>Venice : its history, art, industries and modern life / by Charles Yriatre ; tr. from the French by F. J. Sitwell.</t>
        </is>
      </c>
      <c r="F1286" t="inlineStr">
        <is>
          <t>No</t>
        </is>
      </c>
      <c r="G1286" t="inlineStr">
        <is>
          <t>1</t>
        </is>
      </c>
      <c r="H1286" t="inlineStr">
        <is>
          <t>No</t>
        </is>
      </c>
      <c r="I1286" t="inlineStr">
        <is>
          <t>No</t>
        </is>
      </c>
      <c r="J1286" t="inlineStr">
        <is>
          <t>0</t>
        </is>
      </c>
      <c r="K1286" t="inlineStr">
        <is>
          <t>Yriarte, Charles, 1832-1898.</t>
        </is>
      </c>
      <c r="L1286" t="inlineStr">
        <is>
          <t>Philadelphia : H. T. Coates &amp; co., [1896]</t>
        </is>
      </c>
      <c r="M1286" t="inlineStr">
        <is>
          <t>1896</t>
        </is>
      </c>
      <c r="O1286" t="inlineStr">
        <is>
          <t>eng</t>
        </is>
      </c>
      <c r="P1286" t="inlineStr">
        <is>
          <t>pau</t>
        </is>
      </c>
      <c r="R1286" t="inlineStr">
        <is>
          <t xml:space="preserve">DG </t>
        </is>
      </c>
      <c r="S1286" t="n">
        <v>3</v>
      </c>
      <c r="T1286" t="n">
        <v>3</v>
      </c>
      <c r="U1286" t="inlineStr">
        <is>
          <t>2002-07-19</t>
        </is>
      </c>
      <c r="V1286" t="inlineStr">
        <is>
          <t>2002-07-19</t>
        </is>
      </c>
      <c r="W1286" t="inlineStr">
        <is>
          <t>1991-04-15</t>
        </is>
      </c>
      <c r="X1286" t="inlineStr">
        <is>
          <t>1991-04-15</t>
        </is>
      </c>
      <c r="Y1286" t="n">
        <v>159</v>
      </c>
      <c r="Z1286" t="n">
        <v>152</v>
      </c>
      <c r="AA1286" t="n">
        <v>287</v>
      </c>
      <c r="AB1286" t="n">
        <v>3</v>
      </c>
      <c r="AC1286" t="n">
        <v>3</v>
      </c>
      <c r="AD1286" t="n">
        <v>7</v>
      </c>
      <c r="AE1286" t="n">
        <v>10</v>
      </c>
      <c r="AF1286" t="n">
        <v>1</v>
      </c>
      <c r="AG1286" t="n">
        <v>2</v>
      </c>
      <c r="AH1286" t="n">
        <v>3</v>
      </c>
      <c r="AI1286" t="n">
        <v>4</v>
      </c>
      <c r="AJ1286" t="n">
        <v>5</v>
      </c>
      <c r="AK1286" t="n">
        <v>7</v>
      </c>
      <c r="AL1286" t="n">
        <v>1</v>
      </c>
      <c r="AM1286" t="n">
        <v>1</v>
      </c>
      <c r="AN1286" t="n">
        <v>0</v>
      </c>
      <c r="AO1286" t="n">
        <v>0</v>
      </c>
      <c r="AP1286" t="inlineStr">
        <is>
          <t>Yes</t>
        </is>
      </c>
      <c r="AQ1286" t="inlineStr">
        <is>
          <t>No</t>
        </is>
      </c>
      <c r="AR1286">
        <f>HYPERLINK("http://catalog.hathitrust.org/Record/008733962","HathiTrust Record")</f>
        <v/>
      </c>
      <c r="AS1286">
        <f>HYPERLINK("https://creighton-primo.hosted.exlibrisgroup.com/primo-explore/search?tab=default_tab&amp;search_scope=EVERYTHING&amp;vid=01CRU&amp;lang=en_US&amp;offset=0&amp;query=any,contains,991002702459702656","Catalog Record")</f>
        <v/>
      </c>
      <c r="AT1286">
        <f>HYPERLINK("http://www.worldcat.org/oclc/406085","WorldCat Record")</f>
        <v/>
      </c>
      <c r="AU1286" t="inlineStr">
        <is>
          <t>4160942862:eng</t>
        </is>
      </c>
      <c r="AV1286" t="inlineStr">
        <is>
          <t>406085</t>
        </is>
      </c>
      <c r="AW1286" t="inlineStr">
        <is>
          <t>991002702459702656</t>
        </is>
      </c>
      <c r="AX1286" t="inlineStr">
        <is>
          <t>991002702459702656</t>
        </is>
      </c>
      <c r="AY1286" t="inlineStr">
        <is>
          <t>2261226100002656</t>
        </is>
      </c>
      <c r="AZ1286" t="inlineStr">
        <is>
          <t>BOOK</t>
        </is>
      </c>
      <c r="BC1286" t="inlineStr">
        <is>
          <t>32285000522234</t>
        </is>
      </c>
      <c r="BD1286" t="inlineStr">
        <is>
          <t>893610172</t>
        </is>
      </c>
    </row>
    <row r="1287">
      <c r="A1287" t="inlineStr">
        <is>
          <t>No</t>
        </is>
      </c>
      <c r="B1287" t="inlineStr">
        <is>
          <t>DG674.2 .B47 2005</t>
        </is>
      </c>
      <c r="C1287" t="inlineStr">
        <is>
          <t>0                      DG 0674200B  47          2005</t>
        </is>
      </c>
      <c r="D1287" t="inlineStr">
        <is>
          <t>The city of falling angels / John Berendt.</t>
        </is>
      </c>
      <c r="F1287" t="inlineStr">
        <is>
          <t>No</t>
        </is>
      </c>
      <c r="G1287" t="inlineStr">
        <is>
          <t>1</t>
        </is>
      </c>
      <c r="H1287" t="inlineStr">
        <is>
          <t>No</t>
        </is>
      </c>
      <c r="I1287" t="inlineStr">
        <is>
          <t>No</t>
        </is>
      </c>
      <c r="J1287" t="inlineStr">
        <is>
          <t>0</t>
        </is>
      </c>
      <c r="K1287" t="inlineStr">
        <is>
          <t>Berendt, John, 1939-</t>
        </is>
      </c>
      <c r="L1287" t="inlineStr">
        <is>
          <t>New York : Penguin Press, 2005.</t>
        </is>
      </c>
      <c r="M1287" t="inlineStr">
        <is>
          <t>2005</t>
        </is>
      </c>
      <c r="O1287" t="inlineStr">
        <is>
          <t>eng</t>
        </is>
      </c>
      <c r="P1287" t="inlineStr">
        <is>
          <t>nyu</t>
        </is>
      </c>
      <c r="R1287" t="inlineStr">
        <is>
          <t xml:space="preserve">DG </t>
        </is>
      </c>
      <c r="S1287" t="n">
        <v>3</v>
      </c>
      <c r="T1287" t="n">
        <v>3</v>
      </c>
      <c r="U1287" t="inlineStr">
        <is>
          <t>2006-01-23</t>
        </is>
      </c>
      <c r="V1287" t="inlineStr">
        <is>
          <t>2006-01-23</t>
        </is>
      </c>
      <c r="W1287" t="inlineStr">
        <is>
          <t>2005-10-20</t>
        </is>
      </c>
      <c r="X1287" t="inlineStr">
        <is>
          <t>2005-10-20</t>
        </is>
      </c>
      <c r="Y1287" t="n">
        <v>2694</v>
      </c>
      <c r="Z1287" t="n">
        <v>2554</v>
      </c>
      <c r="AA1287" t="n">
        <v>2846</v>
      </c>
      <c r="AB1287" t="n">
        <v>29</v>
      </c>
      <c r="AC1287" t="n">
        <v>35</v>
      </c>
      <c r="AD1287" t="n">
        <v>29</v>
      </c>
      <c r="AE1287" t="n">
        <v>30</v>
      </c>
      <c r="AF1287" t="n">
        <v>13</v>
      </c>
      <c r="AG1287" t="n">
        <v>14</v>
      </c>
      <c r="AH1287" t="n">
        <v>5</v>
      </c>
      <c r="AI1287" t="n">
        <v>5</v>
      </c>
      <c r="AJ1287" t="n">
        <v>12</v>
      </c>
      <c r="AK1287" t="n">
        <v>12</v>
      </c>
      <c r="AL1287" t="n">
        <v>4</v>
      </c>
      <c r="AM1287" t="n">
        <v>4</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HYPERLINK("https://creighton-primo.hosted.exlibrisgroup.com/primo-explore/search?tab=default_tab&amp;search_scope=EVERYTHING&amp;vid=01CRU&amp;lang=en_US&amp;offset=0&amp;query=any,contains,991004675199702656","Catalog Record")</f>
        <v/>
      </c>
      <c r="AT1287">
        <f>HYPERLINK("http://www.worldcat.org/oclc/59359996","WorldCat Record")</f>
        <v/>
      </c>
      <c r="AU1287" t="inlineStr">
        <is>
          <t>46030780:eng</t>
        </is>
      </c>
      <c r="AV1287" t="inlineStr">
        <is>
          <t>59359996</t>
        </is>
      </c>
      <c r="AW1287" t="inlineStr">
        <is>
          <t>991004675199702656</t>
        </is>
      </c>
      <c r="AX1287" t="inlineStr">
        <is>
          <t>991004675199702656</t>
        </is>
      </c>
      <c r="AY1287" t="inlineStr">
        <is>
          <t>2261514130002656</t>
        </is>
      </c>
      <c r="AZ1287" t="inlineStr">
        <is>
          <t>BOOK</t>
        </is>
      </c>
      <c r="BB1287" t="inlineStr">
        <is>
          <t>9781594200588</t>
        </is>
      </c>
      <c r="BC1287" t="inlineStr">
        <is>
          <t>32285005141253</t>
        </is>
      </c>
      <c r="BD1287" t="inlineStr">
        <is>
          <t>893776299</t>
        </is>
      </c>
    </row>
    <row r="1288">
      <c r="A1288" t="inlineStr">
        <is>
          <t>No</t>
        </is>
      </c>
      <c r="B1288" t="inlineStr">
        <is>
          <t>DG675.6 .B7 1996</t>
        </is>
      </c>
      <c r="C1288" t="inlineStr">
        <is>
          <t>0                      DG 0675600B  7           1996</t>
        </is>
      </c>
      <c r="D1288" t="inlineStr">
        <is>
          <t>Venice &amp; antiquity : the Venetian sense of the past / Patricia Fortini Brown.</t>
        </is>
      </c>
      <c r="F1288" t="inlineStr">
        <is>
          <t>No</t>
        </is>
      </c>
      <c r="G1288" t="inlineStr">
        <is>
          <t>1</t>
        </is>
      </c>
      <c r="H1288" t="inlineStr">
        <is>
          <t>No</t>
        </is>
      </c>
      <c r="I1288" t="inlineStr">
        <is>
          <t>No</t>
        </is>
      </c>
      <c r="J1288" t="inlineStr">
        <is>
          <t>0</t>
        </is>
      </c>
      <c r="K1288" t="inlineStr">
        <is>
          <t>Brown, Patricia Fortini, 1936-</t>
        </is>
      </c>
      <c r="L1288" t="inlineStr">
        <is>
          <t>New Haven : Yale University Press, c1996.</t>
        </is>
      </c>
      <c r="M1288" t="inlineStr">
        <is>
          <t>1996</t>
        </is>
      </c>
      <c r="O1288" t="inlineStr">
        <is>
          <t>eng</t>
        </is>
      </c>
      <c r="P1288" t="inlineStr">
        <is>
          <t>ctu</t>
        </is>
      </c>
      <c r="R1288" t="inlineStr">
        <is>
          <t xml:space="preserve">DG </t>
        </is>
      </c>
      <c r="S1288" t="n">
        <v>4</v>
      </c>
      <c r="T1288" t="n">
        <v>4</v>
      </c>
      <c r="U1288" t="inlineStr">
        <is>
          <t>1999-03-23</t>
        </is>
      </c>
      <c r="V1288" t="inlineStr">
        <is>
          <t>1999-03-23</t>
        </is>
      </c>
      <c r="W1288" t="inlineStr">
        <is>
          <t>1997-10-03</t>
        </is>
      </c>
      <c r="X1288" t="inlineStr">
        <is>
          <t>1997-10-03</t>
        </is>
      </c>
      <c r="Y1288" t="n">
        <v>615</v>
      </c>
      <c r="Z1288" t="n">
        <v>481</v>
      </c>
      <c r="AA1288" t="n">
        <v>640</v>
      </c>
      <c r="AB1288" t="n">
        <v>3</v>
      </c>
      <c r="AC1288" t="n">
        <v>5</v>
      </c>
      <c r="AD1288" t="n">
        <v>31</v>
      </c>
      <c r="AE1288" t="n">
        <v>42</v>
      </c>
      <c r="AF1288" t="n">
        <v>12</v>
      </c>
      <c r="AG1288" t="n">
        <v>16</v>
      </c>
      <c r="AH1288" t="n">
        <v>7</v>
      </c>
      <c r="AI1288" t="n">
        <v>11</v>
      </c>
      <c r="AJ1288" t="n">
        <v>20</v>
      </c>
      <c r="AK1288" t="n">
        <v>24</v>
      </c>
      <c r="AL1288" t="n">
        <v>2</v>
      </c>
      <c r="AM1288" t="n">
        <v>4</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HYPERLINK("https://creighton-primo.hosted.exlibrisgroup.com/primo-explore/search?tab=default_tab&amp;search_scope=EVERYTHING&amp;vid=01CRU&amp;lang=en_US&amp;offset=0&amp;query=any,contains,991002607199702656","Catalog Record")</f>
        <v/>
      </c>
      <c r="AT1288">
        <f>HYPERLINK("http://www.worldcat.org/oclc/34150377","WorldCat Record")</f>
        <v/>
      </c>
      <c r="AU1288" t="inlineStr">
        <is>
          <t>15869904:eng</t>
        </is>
      </c>
      <c r="AV1288" t="inlineStr">
        <is>
          <t>34150377</t>
        </is>
      </c>
      <c r="AW1288" t="inlineStr">
        <is>
          <t>991002607199702656</t>
        </is>
      </c>
      <c r="AX1288" t="inlineStr">
        <is>
          <t>991002607199702656</t>
        </is>
      </c>
      <c r="AY1288" t="inlineStr">
        <is>
          <t>2260172120002656</t>
        </is>
      </c>
      <c r="AZ1288" t="inlineStr">
        <is>
          <t>BOOK</t>
        </is>
      </c>
      <c r="BB1288" t="inlineStr">
        <is>
          <t>9780300067002</t>
        </is>
      </c>
      <c r="BC1288" t="inlineStr">
        <is>
          <t>32285003252854</t>
        </is>
      </c>
      <c r="BD1288" t="inlineStr">
        <is>
          <t>893873737</t>
        </is>
      </c>
    </row>
    <row r="1289">
      <c r="A1289" t="inlineStr">
        <is>
          <t>No</t>
        </is>
      </c>
      <c r="B1289" t="inlineStr">
        <is>
          <t>DG675.6 .D38 1994</t>
        </is>
      </c>
      <c r="C1289" t="inlineStr">
        <is>
          <t>0                      DG 0675600D  38          1994</t>
        </is>
      </c>
      <c r="D1289" t="inlineStr">
        <is>
          <t>The war of the fists : popular culture and public violence in late Renaissance Venice / Robert C. Davis.</t>
        </is>
      </c>
      <c r="F1289" t="inlineStr">
        <is>
          <t>No</t>
        </is>
      </c>
      <c r="G1289" t="inlineStr">
        <is>
          <t>1</t>
        </is>
      </c>
      <c r="H1289" t="inlineStr">
        <is>
          <t>No</t>
        </is>
      </c>
      <c r="I1289" t="inlineStr">
        <is>
          <t>No</t>
        </is>
      </c>
      <c r="J1289" t="inlineStr">
        <is>
          <t>0</t>
        </is>
      </c>
      <c r="K1289" t="inlineStr">
        <is>
          <t>Davis, Robert C. (Robert Charles), 1948-</t>
        </is>
      </c>
      <c r="L1289" t="inlineStr">
        <is>
          <t>New York : Oxford University Press, 1994.</t>
        </is>
      </c>
      <c r="M1289" t="inlineStr">
        <is>
          <t>1994</t>
        </is>
      </c>
      <c r="O1289" t="inlineStr">
        <is>
          <t>eng</t>
        </is>
      </c>
      <c r="P1289" t="inlineStr">
        <is>
          <t>nyu</t>
        </is>
      </c>
      <c r="R1289" t="inlineStr">
        <is>
          <t xml:space="preserve">DG </t>
        </is>
      </c>
      <c r="S1289" t="n">
        <v>4</v>
      </c>
      <c r="T1289" t="n">
        <v>4</v>
      </c>
      <c r="U1289" t="inlineStr">
        <is>
          <t>1999-03-23</t>
        </is>
      </c>
      <c r="V1289" t="inlineStr">
        <is>
          <t>1999-03-23</t>
        </is>
      </c>
      <c r="W1289" t="inlineStr">
        <is>
          <t>1995-03-28</t>
        </is>
      </c>
      <c r="X1289" t="inlineStr">
        <is>
          <t>1995-03-28</t>
        </is>
      </c>
      <c r="Y1289" t="n">
        <v>485</v>
      </c>
      <c r="Z1289" t="n">
        <v>372</v>
      </c>
      <c r="AA1289" t="n">
        <v>377</v>
      </c>
      <c r="AB1289" t="n">
        <v>3</v>
      </c>
      <c r="AC1289" t="n">
        <v>3</v>
      </c>
      <c r="AD1289" t="n">
        <v>26</v>
      </c>
      <c r="AE1289" t="n">
        <v>26</v>
      </c>
      <c r="AF1289" t="n">
        <v>8</v>
      </c>
      <c r="AG1289" t="n">
        <v>8</v>
      </c>
      <c r="AH1289" t="n">
        <v>8</v>
      </c>
      <c r="AI1289" t="n">
        <v>8</v>
      </c>
      <c r="AJ1289" t="n">
        <v>16</v>
      </c>
      <c r="AK1289" t="n">
        <v>16</v>
      </c>
      <c r="AL1289" t="n">
        <v>2</v>
      </c>
      <c r="AM1289" t="n">
        <v>2</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HYPERLINK("https://creighton-primo.hosted.exlibrisgroup.com/primo-explore/search?tab=default_tab&amp;search_scope=EVERYTHING&amp;vid=01CRU&amp;lang=en_US&amp;offset=0&amp;query=any,contains,991002185439702656","Catalog Record")</f>
        <v/>
      </c>
      <c r="AT1289">
        <f>HYPERLINK("http://www.worldcat.org/oclc/28147955","WorldCat Record")</f>
        <v/>
      </c>
      <c r="AU1289" t="inlineStr">
        <is>
          <t>478755698:eng</t>
        </is>
      </c>
      <c r="AV1289" t="inlineStr">
        <is>
          <t>28147955</t>
        </is>
      </c>
      <c r="AW1289" t="inlineStr">
        <is>
          <t>991002185439702656</t>
        </is>
      </c>
      <c r="AX1289" t="inlineStr">
        <is>
          <t>991002185439702656</t>
        </is>
      </c>
      <c r="AY1289" t="inlineStr">
        <is>
          <t>2254800910002656</t>
        </is>
      </c>
      <c r="AZ1289" t="inlineStr">
        <is>
          <t>BOOK</t>
        </is>
      </c>
      <c r="BB1289" t="inlineStr">
        <is>
          <t>9780195084030</t>
        </is>
      </c>
      <c r="BC1289" t="inlineStr">
        <is>
          <t>32285002004785</t>
        </is>
      </c>
      <c r="BD1289" t="inlineStr">
        <is>
          <t>893703767</t>
        </is>
      </c>
    </row>
    <row r="1290">
      <c r="A1290" t="inlineStr">
        <is>
          <t>No</t>
        </is>
      </c>
      <c r="B1290" t="inlineStr">
        <is>
          <t>DG676 .L28</t>
        </is>
      </c>
      <c r="C1290" t="inlineStr">
        <is>
          <t>0                      DG 0676000L  28</t>
        </is>
      </c>
      <c r="D1290" t="inlineStr">
        <is>
          <t>Venice, a maritime republic / [by] Frederic C. Lane.</t>
        </is>
      </c>
      <c r="F1290" t="inlineStr">
        <is>
          <t>No</t>
        </is>
      </c>
      <c r="G1290" t="inlineStr">
        <is>
          <t>1</t>
        </is>
      </c>
      <c r="H1290" t="inlineStr">
        <is>
          <t>No</t>
        </is>
      </c>
      <c r="I1290" t="inlineStr">
        <is>
          <t>No</t>
        </is>
      </c>
      <c r="J1290" t="inlineStr">
        <is>
          <t>0</t>
        </is>
      </c>
      <c r="K1290" t="inlineStr">
        <is>
          <t>Lane, Frederic Chapin, 1900-1984.</t>
        </is>
      </c>
      <c r="L1290" t="inlineStr">
        <is>
          <t>Baltimore : Johns Hopkins University Press, [1973]</t>
        </is>
      </c>
      <c r="M1290" t="inlineStr">
        <is>
          <t>1973</t>
        </is>
      </c>
      <c r="O1290" t="inlineStr">
        <is>
          <t>eng</t>
        </is>
      </c>
      <c r="P1290" t="inlineStr">
        <is>
          <t>mdu</t>
        </is>
      </c>
      <c r="R1290" t="inlineStr">
        <is>
          <t xml:space="preserve">DG </t>
        </is>
      </c>
      <c r="S1290" t="n">
        <v>1</v>
      </c>
      <c r="T1290" t="n">
        <v>1</v>
      </c>
      <c r="U1290" t="inlineStr">
        <is>
          <t>2005-09-21</t>
        </is>
      </c>
      <c r="V1290" t="inlineStr">
        <is>
          <t>2005-09-21</t>
        </is>
      </c>
      <c r="W1290" t="inlineStr">
        <is>
          <t>1991-07-22</t>
        </is>
      </c>
      <c r="X1290" t="inlineStr">
        <is>
          <t>1991-07-22</t>
        </is>
      </c>
      <c r="Y1290" t="n">
        <v>1412</v>
      </c>
      <c r="Z1290" t="n">
        <v>1173</v>
      </c>
      <c r="AA1290" t="n">
        <v>1266</v>
      </c>
      <c r="AB1290" t="n">
        <v>6</v>
      </c>
      <c r="AC1290" t="n">
        <v>7</v>
      </c>
      <c r="AD1290" t="n">
        <v>47</v>
      </c>
      <c r="AE1290" t="n">
        <v>51</v>
      </c>
      <c r="AF1290" t="n">
        <v>21</v>
      </c>
      <c r="AG1290" t="n">
        <v>23</v>
      </c>
      <c r="AH1290" t="n">
        <v>11</v>
      </c>
      <c r="AI1290" t="n">
        <v>11</v>
      </c>
      <c r="AJ1290" t="n">
        <v>24</v>
      </c>
      <c r="AK1290" t="n">
        <v>25</v>
      </c>
      <c r="AL1290" t="n">
        <v>5</v>
      </c>
      <c r="AM1290" t="n">
        <v>6</v>
      </c>
      <c r="AN1290" t="n">
        <v>0</v>
      </c>
      <c r="AO1290" t="n">
        <v>0</v>
      </c>
      <c r="AP1290" t="inlineStr">
        <is>
          <t>No</t>
        </is>
      </c>
      <c r="AQ1290" t="inlineStr">
        <is>
          <t>Yes</t>
        </is>
      </c>
      <c r="AR1290">
        <f>HYPERLINK("http://catalog.hathitrust.org/Record/000376213","HathiTrust Record")</f>
        <v/>
      </c>
      <c r="AS1290">
        <f>HYPERLINK("https://creighton-primo.hosted.exlibrisgroup.com/primo-explore/search?tab=default_tab&amp;search_scope=EVERYTHING&amp;vid=01CRU&amp;lang=en_US&amp;offset=0&amp;query=any,contains,991003060429702656","Catalog Record")</f>
        <v/>
      </c>
      <c r="AT1290">
        <f>HYPERLINK("http://www.worldcat.org/oclc/617914","WorldCat Record")</f>
        <v/>
      </c>
      <c r="AU1290" t="inlineStr">
        <is>
          <t>290382988:eng</t>
        </is>
      </c>
      <c r="AV1290" t="inlineStr">
        <is>
          <t>617914</t>
        </is>
      </c>
      <c r="AW1290" t="inlineStr">
        <is>
          <t>991003060429702656</t>
        </is>
      </c>
      <c r="AX1290" t="inlineStr">
        <is>
          <t>991003060429702656</t>
        </is>
      </c>
      <c r="AY1290" t="inlineStr">
        <is>
          <t>2270848270002656</t>
        </is>
      </c>
      <c r="AZ1290" t="inlineStr">
        <is>
          <t>BOOK</t>
        </is>
      </c>
      <c r="BB1290" t="inlineStr">
        <is>
          <t>9780801814457</t>
        </is>
      </c>
      <c r="BC1290" t="inlineStr">
        <is>
          <t>32285000678036</t>
        </is>
      </c>
      <c r="BD1290" t="inlineStr">
        <is>
          <t>893535331</t>
        </is>
      </c>
    </row>
    <row r="1291">
      <c r="A1291" t="inlineStr">
        <is>
          <t>No</t>
        </is>
      </c>
      <c r="B1291" t="inlineStr">
        <is>
          <t>DG676 .O4 1930</t>
        </is>
      </c>
      <c r="C1291" t="inlineStr">
        <is>
          <t>0                      DG 0676000O  4           1930</t>
        </is>
      </c>
      <c r="D1291" t="inlineStr">
        <is>
          <t>Venice and its story, by T. Okey; illustrated by Nelly Erichsen, W. K. Hinchliff and O. F. M. Ward.</t>
        </is>
      </c>
      <c r="F1291" t="inlineStr">
        <is>
          <t>No</t>
        </is>
      </c>
      <c r="G1291" t="inlineStr">
        <is>
          <t>1</t>
        </is>
      </c>
      <c r="H1291" t="inlineStr">
        <is>
          <t>No</t>
        </is>
      </c>
      <c r="I1291" t="inlineStr">
        <is>
          <t>No</t>
        </is>
      </c>
      <c r="J1291" t="inlineStr">
        <is>
          <t>0</t>
        </is>
      </c>
      <c r="K1291" t="inlineStr">
        <is>
          <t>Okey, Thomas, 1852-1935.</t>
        </is>
      </c>
      <c r="L1291" t="inlineStr">
        <is>
          <t>London Toronto, J.M. Dent and sons, ltd.; New York, E.P. Dutton &amp; co., inc. 1930.</t>
        </is>
      </c>
      <c r="M1291" t="inlineStr">
        <is>
          <t>1930</t>
        </is>
      </c>
      <c r="N1291" t="inlineStr">
        <is>
          <t>[4th ed.]</t>
        </is>
      </c>
      <c r="O1291" t="inlineStr">
        <is>
          <t>eng</t>
        </is>
      </c>
      <c r="P1291" t="inlineStr">
        <is>
          <t xml:space="preserve">xx </t>
        </is>
      </c>
      <c r="R1291" t="inlineStr">
        <is>
          <t xml:space="preserve">DG </t>
        </is>
      </c>
      <c r="S1291" t="n">
        <v>1</v>
      </c>
      <c r="T1291" t="n">
        <v>1</v>
      </c>
      <c r="U1291" t="inlineStr">
        <is>
          <t>2004-06-14</t>
        </is>
      </c>
      <c r="V1291" t="inlineStr">
        <is>
          <t>2004-06-14</t>
        </is>
      </c>
      <c r="W1291" t="inlineStr">
        <is>
          <t>1996-05-30</t>
        </is>
      </c>
      <c r="X1291" t="inlineStr">
        <is>
          <t>1996-05-30</t>
        </is>
      </c>
      <c r="Y1291" t="n">
        <v>126</v>
      </c>
      <c r="Z1291" t="n">
        <v>114</v>
      </c>
      <c r="AA1291" t="n">
        <v>315</v>
      </c>
      <c r="AB1291" t="n">
        <v>2</v>
      </c>
      <c r="AC1291" t="n">
        <v>3</v>
      </c>
      <c r="AD1291" t="n">
        <v>6</v>
      </c>
      <c r="AE1291" t="n">
        <v>16</v>
      </c>
      <c r="AF1291" t="n">
        <v>3</v>
      </c>
      <c r="AG1291" t="n">
        <v>8</v>
      </c>
      <c r="AH1291" t="n">
        <v>1</v>
      </c>
      <c r="AI1291" t="n">
        <v>4</v>
      </c>
      <c r="AJ1291" t="n">
        <v>3</v>
      </c>
      <c r="AK1291" t="n">
        <v>8</v>
      </c>
      <c r="AL1291" t="n">
        <v>1</v>
      </c>
      <c r="AM1291" t="n">
        <v>2</v>
      </c>
      <c r="AN1291" t="n">
        <v>0</v>
      </c>
      <c r="AO1291" t="n">
        <v>0</v>
      </c>
      <c r="AP1291" t="inlineStr">
        <is>
          <t>No</t>
        </is>
      </c>
      <c r="AQ1291" t="inlineStr">
        <is>
          <t>No</t>
        </is>
      </c>
      <c r="AR1291">
        <f>HYPERLINK("http://catalog.hathitrust.org/Record/000376222","HathiTrust Record")</f>
        <v/>
      </c>
      <c r="AS1291">
        <f>HYPERLINK("https://creighton-primo.hosted.exlibrisgroup.com/primo-explore/search?tab=default_tab&amp;search_scope=EVERYTHING&amp;vid=01CRU&amp;lang=en_US&amp;offset=0&amp;query=any,contains,991003834209702656","Catalog Record")</f>
        <v/>
      </c>
      <c r="AT1291">
        <f>HYPERLINK("http://www.worldcat.org/oclc/1598311","WorldCat Record")</f>
        <v/>
      </c>
      <c r="AU1291" t="inlineStr">
        <is>
          <t>1398464:eng</t>
        </is>
      </c>
      <c r="AV1291" t="inlineStr">
        <is>
          <t>1598311</t>
        </is>
      </c>
      <c r="AW1291" t="inlineStr">
        <is>
          <t>991003834209702656</t>
        </is>
      </c>
      <c r="AX1291" t="inlineStr">
        <is>
          <t>991003834209702656</t>
        </is>
      </c>
      <c r="AY1291" t="inlineStr">
        <is>
          <t>2264460440002656</t>
        </is>
      </c>
      <c r="AZ1291" t="inlineStr">
        <is>
          <t>BOOK</t>
        </is>
      </c>
      <c r="BC1291" t="inlineStr">
        <is>
          <t>32285002164704</t>
        </is>
      </c>
      <c r="BD1291" t="inlineStr">
        <is>
          <t>893775242</t>
        </is>
      </c>
    </row>
    <row r="1292">
      <c r="A1292" t="inlineStr">
        <is>
          <t>No</t>
        </is>
      </c>
      <c r="B1292" t="inlineStr">
        <is>
          <t>DG676 .W55 2001</t>
        </is>
      </c>
      <c r="C1292" t="inlineStr">
        <is>
          <t>0                      DG 0676000W  55          2001</t>
        </is>
      </c>
      <c r="D1292" t="inlineStr">
        <is>
          <t>Venice: lion city : the religion of empire / Garry Wills.</t>
        </is>
      </c>
      <c r="F1292" t="inlineStr">
        <is>
          <t>No</t>
        </is>
      </c>
      <c r="G1292" t="inlineStr">
        <is>
          <t>1</t>
        </is>
      </c>
      <c r="H1292" t="inlineStr">
        <is>
          <t>No</t>
        </is>
      </c>
      <c r="I1292" t="inlineStr">
        <is>
          <t>No</t>
        </is>
      </c>
      <c r="J1292" t="inlineStr">
        <is>
          <t>0</t>
        </is>
      </c>
      <c r="K1292" t="inlineStr">
        <is>
          <t>Wills, Garry, 1934-</t>
        </is>
      </c>
      <c r="L1292" t="inlineStr">
        <is>
          <t>New York : Simon &amp; Schuster, c2001.</t>
        </is>
      </c>
      <c r="M1292" t="inlineStr">
        <is>
          <t>2001</t>
        </is>
      </c>
      <c r="O1292" t="inlineStr">
        <is>
          <t>eng</t>
        </is>
      </c>
      <c r="P1292" t="inlineStr">
        <is>
          <t>nyu</t>
        </is>
      </c>
      <c r="R1292" t="inlineStr">
        <is>
          <t xml:space="preserve">DG </t>
        </is>
      </c>
      <c r="S1292" t="n">
        <v>2</v>
      </c>
      <c r="T1292" t="n">
        <v>2</v>
      </c>
      <c r="U1292" t="inlineStr">
        <is>
          <t>2002-07-19</t>
        </is>
      </c>
      <c r="V1292" t="inlineStr">
        <is>
          <t>2002-07-19</t>
        </is>
      </c>
      <c r="W1292" t="inlineStr">
        <is>
          <t>2002-02-11</t>
        </is>
      </c>
      <c r="X1292" t="inlineStr">
        <is>
          <t>2002-02-11</t>
        </is>
      </c>
      <c r="Y1292" t="n">
        <v>1284</v>
      </c>
      <c r="Z1292" t="n">
        <v>1173</v>
      </c>
      <c r="AA1292" t="n">
        <v>1257</v>
      </c>
      <c r="AB1292" t="n">
        <v>10</v>
      </c>
      <c r="AC1292" t="n">
        <v>11</v>
      </c>
      <c r="AD1292" t="n">
        <v>33</v>
      </c>
      <c r="AE1292" t="n">
        <v>38</v>
      </c>
      <c r="AF1292" t="n">
        <v>15</v>
      </c>
      <c r="AG1292" t="n">
        <v>17</v>
      </c>
      <c r="AH1292" t="n">
        <v>8</v>
      </c>
      <c r="AI1292" t="n">
        <v>9</v>
      </c>
      <c r="AJ1292" t="n">
        <v>15</v>
      </c>
      <c r="AK1292" t="n">
        <v>17</v>
      </c>
      <c r="AL1292" t="n">
        <v>4</v>
      </c>
      <c r="AM1292" t="n">
        <v>5</v>
      </c>
      <c r="AN1292" t="n">
        <v>0</v>
      </c>
      <c r="AO1292" t="n">
        <v>0</v>
      </c>
      <c r="AP1292" t="inlineStr">
        <is>
          <t>No</t>
        </is>
      </c>
      <c r="AQ1292" t="inlineStr">
        <is>
          <t>Yes</t>
        </is>
      </c>
      <c r="AR1292">
        <f>HYPERLINK("http://catalog.hathitrust.org/Record/004201073","HathiTrust Record")</f>
        <v/>
      </c>
      <c r="AS1292">
        <f>HYPERLINK("https://creighton-primo.hosted.exlibrisgroup.com/primo-explore/search?tab=default_tab&amp;search_scope=EVERYTHING&amp;vid=01CRU&amp;lang=en_US&amp;offset=0&amp;query=any,contains,991003720189702656","Catalog Record")</f>
        <v/>
      </c>
      <c r="AT1292">
        <f>HYPERLINK("http://www.worldcat.org/oclc/46992006","WorldCat Record")</f>
        <v/>
      </c>
      <c r="AU1292" t="inlineStr">
        <is>
          <t>793967086:eng</t>
        </is>
      </c>
      <c r="AV1292" t="inlineStr">
        <is>
          <t>46992006</t>
        </is>
      </c>
      <c r="AW1292" t="inlineStr">
        <is>
          <t>991003720189702656</t>
        </is>
      </c>
      <c r="AX1292" t="inlineStr">
        <is>
          <t>991003720189702656</t>
        </is>
      </c>
      <c r="AY1292" t="inlineStr">
        <is>
          <t>2254957280002656</t>
        </is>
      </c>
      <c r="AZ1292" t="inlineStr">
        <is>
          <t>BOOK</t>
        </is>
      </c>
      <c r="BB1292" t="inlineStr">
        <is>
          <t>9780684871905</t>
        </is>
      </c>
      <c r="BC1292" t="inlineStr">
        <is>
          <t>32285004453402</t>
        </is>
      </c>
      <c r="BD1292" t="inlineStr">
        <is>
          <t>893349052</t>
        </is>
      </c>
    </row>
    <row r="1293">
      <c r="A1293" t="inlineStr">
        <is>
          <t>No</t>
        </is>
      </c>
      <c r="B1293" t="inlineStr">
        <is>
          <t>DG676.8 .M34 1984</t>
        </is>
      </c>
      <c r="C1293" t="inlineStr">
        <is>
          <t>0                      DG 0676800M  34          1984</t>
        </is>
      </c>
      <c r="D1293" t="inlineStr">
        <is>
          <t>The military organization of a Renaissance state : Venice, c. 1400 to 1617 / M.E. Mallett and J.R. Hale.</t>
        </is>
      </c>
      <c r="F1293" t="inlineStr">
        <is>
          <t>No</t>
        </is>
      </c>
      <c r="G1293" t="inlineStr">
        <is>
          <t>1</t>
        </is>
      </c>
      <c r="H1293" t="inlineStr">
        <is>
          <t>No</t>
        </is>
      </c>
      <c r="I1293" t="inlineStr">
        <is>
          <t>No</t>
        </is>
      </c>
      <c r="J1293" t="inlineStr">
        <is>
          <t>0</t>
        </is>
      </c>
      <c r="K1293" t="inlineStr">
        <is>
          <t>Mallett, Michael Edward.</t>
        </is>
      </c>
      <c r="L1293" t="inlineStr">
        <is>
          <t>Cambridge [Cambridgeshire] ; New York : Cambridge University Press, 1984.</t>
        </is>
      </c>
      <c r="M1293" t="inlineStr">
        <is>
          <t>1984</t>
        </is>
      </c>
      <c r="O1293" t="inlineStr">
        <is>
          <t>eng</t>
        </is>
      </c>
      <c r="P1293" t="inlineStr">
        <is>
          <t>enk</t>
        </is>
      </c>
      <c r="Q1293" t="inlineStr">
        <is>
          <t>Cambridge studies in early modern history</t>
        </is>
      </c>
      <c r="R1293" t="inlineStr">
        <is>
          <t xml:space="preserve">DG </t>
        </is>
      </c>
      <c r="S1293" t="n">
        <v>3</v>
      </c>
      <c r="T1293" t="n">
        <v>3</v>
      </c>
      <c r="U1293" t="inlineStr">
        <is>
          <t>2005-11-09</t>
        </is>
      </c>
      <c r="V1293" t="inlineStr">
        <is>
          <t>2005-11-09</t>
        </is>
      </c>
      <c r="W1293" t="inlineStr">
        <is>
          <t>1991-04-15</t>
        </is>
      </c>
      <c r="X1293" t="inlineStr">
        <is>
          <t>1991-04-15</t>
        </is>
      </c>
      <c r="Y1293" t="n">
        <v>430</v>
      </c>
      <c r="Z1293" t="n">
        <v>281</v>
      </c>
      <c r="AA1293" t="n">
        <v>292</v>
      </c>
      <c r="AB1293" t="n">
        <v>2</v>
      </c>
      <c r="AC1293" t="n">
        <v>2</v>
      </c>
      <c r="AD1293" t="n">
        <v>14</v>
      </c>
      <c r="AE1293" t="n">
        <v>14</v>
      </c>
      <c r="AF1293" t="n">
        <v>4</v>
      </c>
      <c r="AG1293" t="n">
        <v>4</v>
      </c>
      <c r="AH1293" t="n">
        <v>6</v>
      </c>
      <c r="AI1293" t="n">
        <v>6</v>
      </c>
      <c r="AJ1293" t="n">
        <v>6</v>
      </c>
      <c r="AK1293" t="n">
        <v>6</v>
      </c>
      <c r="AL1293" t="n">
        <v>1</v>
      </c>
      <c r="AM1293" t="n">
        <v>1</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HYPERLINK("https://creighton-primo.hosted.exlibrisgroup.com/primo-explore/search?tab=default_tab&amp;search_scope=EVERYTHING&amp;vid=01CRU&amp;lang=en_US&amp;offset=0&amp;query=any,contains,991000170119702656","Catalog Record")</f>
        <v/>
      </c>
      <c r="AT1293">
        <f>HYPERLINK("http://www.worldcat.org/oclc/9323418","WorldCat Record")</f>
        <v/>
      </c>
      <c r="AU1293" t="inlineStr">
        <is>
          <t>836717110:eng</t>
        </is>
      </c>
      <c r="AV1293" t="inlineStr">
        <is>
          <t>9323418</t>
        </is>
      </c>
      <c r="AW1293" t="inlineStr">
        <is>
          <t>991000170119702656</t>
        </is>
      </c>
      <c r="AX1293" t="inlineStr">
        <is>
          <t>991000170119702656</t>
        </is>
      </c>
      <c r="AY1293" t="inlineStr">
        <is>
          <t>2257757610002656</t>
        </is>
      </c>
      <c r="AZ1293" t="inlineStr">
        <is>
          <t>BOOK</t>
        </is>
      </c>
      <c r="BB1293" t="inlineStr">
        <is>
          <t>9780521248426</t>
        </is>
      </c>
      <c r="BC1293" t="inlineStr">
        <is>
          <t>32285000522242</t>
        </is>
      </c>
      <c r="BD1293" t="inlineStr">
        <is>
          <t>893406994</t>
        </is>
      </c>
    </row>
    <row r="1294">
      <c r="A1294" t="inlineStr">
        <is>
          <t>No</t>
        </is>
      </c>
      <c r="B1294" t="inlineStr">
        <is>
          <t>DG678 .B78 1984</t>
        </is>
      </c>
      <c r="C1294" t="inlineStr">
        <is>
          <t>0                      DG 0678000B  78          1984</t>
        </is>
      </c>
      <c r="D1294" t="inlineStr">
        <is>
          <t>Venice and the defense of republican liberty : Renaissance values in the age of the Counter Reformation / by William J. Bouwsma.</t>
        </is>
      </c>
      <c r="F1294" t="inlineStr">
        <is>
          <t>No</t>
        </is>
      </c>
      <c r="G1294" t="inlineStr">
        <is>
          <t>1</t>
        </is>
      </c>
      <c r="H1294" t="inlineStr">
        <is>
          <t>No</t>
        </is>
      </c>
      <c r="I1294" t="inlineStr">
        <is>
          <t>No</t>
        </is>
      </c>
      <c r="J1294" t="inlineStr">
        <is>
          <t>0</t>
        </is>
      </c>
      <c r="K1294" t="inlineStr">
        <is>
          <t>Bouwsma, William J. (William James), 1923-2004.</t>
        </is>
      </c>
      <c r="L1294" t="inlineStr">
        <is>
          <t>Berkeley, University of California Press, 1984, c1968.</t>
        </is>
      </c>
      <c r="M1294" t="inlineStr">
        <is>
          <t>1984</t>
        </is>
      </c>
      <c r="O1294" t="inlineStr">
        <is>
          <t>eng</t>
        </is>
      </c>
      <c r="P1294" t="inlineStr">
        <is>
          <t>cau</t>
        </is>
      </c>
      <c r="R1294" t="inlineStr">
        <is>
          <t xml:space="preserve">DG </t>
        </is>
      </c>
      <c r="S1294" t="n">
        <v>6</v>
      </c>
      <c r="T1294" t="n">
        <v>6</v>
      </c>
      <c r="U1294" t="inlineStr">
        <is>
          <t>2005-11-09</t>
        </is>
      </c>
      <c r="V1294" t="inlineStr">
        <is>
          <t>2005-11-09</t>
        </is>
      </c>
      <c r="W1294" t="inlineStr">
        <is>
          <t>1991-04-15</t>
        </is>
      </c>
      <c r="X1294" t="inlineStr">
        <is>
          <t>1991-04-15</t>
        </is>
      </c>
      <c r="Y1294" t="n">
        <v>49</v>
      </c>
      <c r="Z1294" t="n">
        <v>39</v>
      </c>
      <c r="AA1294" t="n">
        <v>811</v>
      </c>
      <c r="AB1294" t="n">
        <v>1</v>
      </c>
      <c r="AC1294" t="n">
        <v>6</v>
      </c>
      <c r="AD1294" t="n">
        <v>5</v>
      </c>
      <c r="AE1294" t="n">
        <v>45</v>
      </c>
      <c r="AF1294" t="n">
        <v>2</v>
      </c>
      <c r="AG1294" t="n">
        <v>18</v>
      </c>
      <c r="AH1294" t="n">
        <v>1</v>
      </c>
      <c r="AI1294" t="n">
        <v>10</v>
      </c>
      <c r="AJ1294" t="n">
        <v>3</v>
      </c>
      <c r="AK1294" t="n">
        <v>25</v>
      </c>
      <c r="AL1294" t="n">
        <v>0</v>
      </c>
      <c r="AM1294" t="n">
        <v>5</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HYPERLINK("https://creighton-primo.hosted.exlibrisgroup.com/primo-explore/search?tab=default_tab&amp;search_scope=EVERYTHING&amp;vid=01CRU&amp;lang=en_US&amp;offset=0&amp;query=any,contains,991001030869702656","Catalog Record")</f>
        <v/>
      </c>
      <c r="AT1294">
        <f>HYPERLINK("http://www.worldcat.org/oclc/15515692","WorldCat Record")</f>
        <v/>
      </c>
      <c r="AU1294" t="inlineStr">
        <is>
          <t>316975608:eng</t>
        </is>
      </c>
      <c r="AV1294" t="inlineStr">
        <is>
          <t>15515692</t>
        </is>
      </c>
      <c r="AW1294" t="inlineStr">
        <is>
          <t>991001030869702656</t>
        </is>
      </c>
      <c r="AX1294" t="inlineStr">
        <is>
          <t>991001030869702656</t>
        </is>
      </c>
      <c r="AY1294" t="inlineStr">
        <is>
          <t>2262696500002656</t>
        </is>
      </c>
      <c r="AZ1294" t="inlineStr">
        <is>
          <t>BOOK</t>
        </is>
      </c>
      <c r="BC1294" t="inlineStr">
        <is>
          <t>32285000522267</t>
        </is>
      </c>
      <c r="BD1294" t="inlineStr">
        <is>
          <t>893333991</t>
        </is>
      </c>
    </row>
    <row r="1295">
      <c r="A1295" t="inlineStr">
        <is>
          <t>No</t>
        </is>
      </c>
      <c r="B1295" t="inlineStr">
        <is>
          <t>DG678.235 .F56</t>
        </is>
      </c>
      <c r="C1295" t="inlineStr">
        <is>
          <t>0                      DG 0678235F  56</t>
        </is>
      </c>
      <c r="D1295" t="inlineStr">
        <is>
          <t>Politics in Renaissance Venice / Robert Finlay.</t>
        </is>
      </c>
      <c r="F1295" t="inlineStr">
        <is>
          <t>No</t>
        </is>
      </c>
      <c r="G1295" t="inlineStr">
        <is>
          <t>1</t>
        </is>
      </c>
      <c r="H1295" t="inlineStr">
        <is>
          <t>No</t>
        </is>
      </c>
      <c r="I1295" t="inlineStr">
        <is>
          <t>No</t>
        </is>
      </c>
      <c r="J1295" t="inlineStr">
        <is>
          <t>0</t>
        </is>
      </c>
      <c r="K1295" t="inlineStr">
        <is>
          <t>Finlay, Robert, 1940-</t>
        </is>
      </c>
      <c r="L1295" t="inlineStr">
        <is>
          <t>New Brunswick, N.J. : Rutgers University Press, c1980.</t>
        </is>
      </c>
      <c r="M1295" t="inlineStr">
        <is>
          <t>1980</t>
        </is>
      </c>
      <c r="O1295" t="inlineStr">
        <is>
          <t>eng</t>
        </is>
      </c>
      <c r="P1295" t="inlineStr">
        <is>
          <t>nju</t>
        </is>
      </c>
      <c r="R1295" t="inlineStr">
        <is>
          <t xml:space="preserve">DG </t>
        </is>
      </c>
      <c r="S1295" t="n">
        <v>4</v>
      </c>
      <c r="T1295" t="n">
        <v>4</v>
      </c>
      <c r="U1295" t="inlineStr">
        <is>
          <t>2005-11-09</t>
        </is>
      </c>
      <c r="V1295" t="inlineStr">
        <is>
          <t>2005-11-09</t>
        </is>
      </c>
      <c r="W1295" t="inlineStr">
        <is>
          <t>1991-04-15</t>
        </is>
      </c>
      <c r="X1295" t="inlineStr">
        <is>
          <t>1991-04-15</t>
        </is>
      </c>
      <c r="Y1295" t="n">
        <v>518</v>
      </c>
      <c r="Z1295" t="n">
        <v>442</v>
      </c>
      <c r="AA1295" t="n">
        <v>594</v>
      </c>
      <c r="AB1295" t="n">
        <v>3</v>
      </c>
      <c r="AC1295" t="n">
        <v>5</v>
      </c>
      <c r="AD1295" t="n">
        <v>25</v>
      </c>
      <c r="AE1295" t="n">
        <v>33</v>
      </c>
      <c r="AF1295" t="n">
        <v>9</v>
      </c>
      <c r="AG1295" t="n">
        <v>12</v>
      </c>
      <c r="AH1295" t="n">
        <v>10</v>
      </c>
      <c r="AI1295" t="n">
        <v>10</v>
      </c>
      <c r="AJ1295" t="n">
        <v>13</v>
      </c>
      <c r="AK1295" t="n">
        <v>16</v>
      </c>
      <c r="AL1295" t="n">
        <v>2</v>
      </c>
      <c r="AM1295" t="n">
        <v>4</v>
      </c>
      <c r="AN1295" t="n">
        <v>0</v>
      </c>
      <c r="AO1295" t="n">
        <v>0</v>
      </c>
      <c r="AP1295" t="inlineStr">
        <is>
          <t>No</t>
        </is>
      </c>
      <c r="AQ1295" t="inlineStr">
        <is>
          <t>Yes</t>
        </is>
      </c>
      <c r="AR1295">
        <f>HYPERLINK("http://catalog.hathitrust.org/Record/000698220","HathiTrust Record")</f>
        <v/>
      </c>
      <c r="AS1295">
        <f>HYPERLINK("https://creighton-primo.hosted.exlibrisgroup.com/primo-explore/search?tab=default_tab&amp;search_scope=EVERYTHING&amp;vid=01CRU&amp;lang=en_US&amp;offset=0&amp;query=any,contains,991004820559702656","Catalog Record")</f>
        <v/>
      </c>
      <c r="AT1295">
        <f>HYPERLINK("http://www.worldcat.org/oclc/5333626","WorldCat Record")</f>
        <v/>
      </c>
      <c r="AU1295" t="inlineStr">
        <is>
          <t>117860980:eng</t>
        </is>
      </c>
      <c r="AV1295" t="inlineStr">
        <is>
          <t>5333626</t>
        </is>
      </c>
      <c r="AW1295" t="inlineStr">
        <is>
          <t>991004820559702656</t>
        </is>
      </c>
      <c r="AX1295" t="inlineStr">
        <is>
          <t>991004820559702656</t>
        </is>
      </c>
      <c r="AY1295" t="inlineStr">
        <is>
          <t>2265696720002656</t>
        </is>
      </c>
      <c r="AZ1295" t="inlineStr">
        <is>
          <t>BOOK</t>
        </is>
      </c>
      <c r="BB1295" t="inlineStr">
        <is>
          <t>9780813508887</t>
        </is>
      </c>
      <c r="BC1295" t="inlineStr">
        <is>
          <t>32285000522275</t>
        </is>
      </c>
      <c r="BD1295" t="inlineStr">
        <is>
          <t>893443089</t>
        </is>
      </c>
    </row>
    <row r="1296">
      <c r="A1296" t="inlineStr">
        <is>
          <t>No</t>
        </is>
      </c>
      <c r="B1296" t="inlineStr">
        <is>
          <t>DG678.235 .H34 1973b</t>
        </is>
      </c>
      <c r="C1296" t="inlineStr">
        <is>
          <t>0                      DG 0678235H  34          1973b</t>
        </is>
      </c>
      <c r="D1296" t="inlineStr">
        <is>
          <t>Renaissance Venice / edited by J. R. Hale.</t>
        </is>
      </c>
      <c r="F1296" t="inlineStr">
        <is>
          <t>No</t>
        </is>
      </c>
      <c r="G1296" t="inlineStr">
        <is>
          <t>1</t>
        </is>
      </c>
      <c r="H1296" t="inlineStr">
        <is>
          <t>No</t>
        </is>
      </c>
      <c r="I1296" t="inlineStr">
        <is>
          <t>No</t>
        </is>
      </c>
      <c r="J1296" t="inlineStr">
        <is>
          <t>0</t>
        </is>
      </c>
      <c r="K1296" t="inlineStr">
        <is>
          <t>Hale, J. R. (John Rigby), 1923-1999.</t>
        </is>
      </c>
      <c r="L1296" t="inlineStr">
        <is>
          <t>London : Faber, 1973.</t>
        </is>
      </c>
      <c r="M1296" t="inlineStr">
        <is>
          <t>1973</t>
        </is>
      </c>
      <c r="O1296" t="inlineStr">
        <is>
          <t>eng</t>
        </is>
      </c>
      <c r="P1296" t="inlineStr">
        <is>
          <t>enk</t>
        </is>
      </c>
      <c r="R1296" t="inlineStr">
        <is>
          <t xml:space="preserve">DG </t>
        </is>
      </c>
      <c r="S1296" t="n">
        <v>2</v>
      </c>
      <c r="T1296" t="n">
        <v>2</v>
      </c>
      <c r="U1296" t="inlineStr">
        <is>
          <t>1999-03-23</t>
        </is>
      </c>
      <c r="V1296" t="inlineStr">
        <is>
          <t>1999-03-23</t>
        </is>
      </c>
      <c r="W1296" t="inlineStr">
        <is>
          <t>1991-04-10</t>
        </is>
      </c>
      <c r="X1296" t="inlineStr">
        <is>
          <t>1991-04-10</t>
        </is>
      </c>
      <c r="Y1296" t="n">
        <v>249</v>
      </c>
      <c r="Z1296" t="n">
        <v>116</v>
      </c>
      <c r="AA1296" t="n">
        <v>481</v>
      </c>
      <c r="AB1296" t="n">
        <v>2</v>
      </c>
      <c r="AC1296" t="n">
        <v>4</v>
      </c>
      <c r="AD1296" t="n">
        <v>12</v>
      </c>
      <c r="AE1296" t="n">
        <v>29</v>
      </c>
      <c r="AF1296" t="n">
        <v>5</v>
      </c>
      <c r="AG1296" t="n">
        <v>9</v>
      </c>
      <c r="AH1296" t="n">
        <v>2</v>
      </c>
      <c r="AI1296" t="n">
        <v>9</v>
      </c>
      <c r="AJ1296" t="n">
        <v>7</v>
      </c>
      <c r="AK1296" t="n">
        <v>17</v>
      </c>
      <c r="AL1296" t="n">
        <v>1</v>
      </c>
      <c r="AM1296" t="n">
        <v>3</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HYPERLINK("https://creighton-primo.hosted.exlibrisgroup.com/primo-explore/search?tab=default_tab&amp;search_scope=EVERYTHING&amp;vid=01CRU&amp;lang=en_US&amp;offset=0&amp;query=any,contains,991003215699702656","Catalog Record")</f>
        <v/>
      </c>
      <c r="AT1296">
        <f>HYPERLINK("http://www.worldcat.org/oclc/741545","WorldCat Record")</f>
        <v/>
      </c>
      <c r="AU1296" t="inlineStr">
        <is>
          <t>5513605465:eng</t>
        </is>
      </c>
      <c r="AV1296" t="inlineStr">
        <is>
          <t>741545</t>
        </is>
      </c>
      <c r="AW1296" t="inlineStr">
        <is>
          <t>991003215699702656</t>
        </is>
      </c>
      <c r="AX1296" t="inlineStr">
        <is>
          <t>991003215699702656</t>
        </is>
      </c>
      <c r="AY1296" t="inlineStr">
        <is>
          <t>2270074190002656</t>
        </is>
      </c>
      <c r="AZ1296" t="inlineStr">
        <is>
          <t>BOOK</t>
        </is>
      </c>
      <c r="BB1296" t="inlineStr">
        <is>
          <t>9780571089758</t>
        </is>
      </c>
      <c r="BC1296" t="inlineStr">
        <is>
          <t>32285000580455</t>
        </is>
      </c>
      <c r="BD1296" t="inlineStr">
        <is>
          <t>893893485</t>
        </is>
      </c>
    </row>
    <row r="1297">
      <c r="A1297" t="inlineStr">
        <is>
          <t>No</t>
        </is>
      </c>
      <c r="B1297" t="inlineStr">
        <is>
          <t>DG678.235 .M83 1981</t>
        </is>
      </c>
      <c r="C1297" t="inlineStr">
        <is>
          <t>0                      DG 0678235M  83          1981</t>
        </is>
      </c>
      <c r="D1297" t="inlineStr">
        <is>
          <t>Civic ritual in Renaissance Venice / Edward Muir.</t>
        </is>
      </c>
      <c r="F1297" t="inlineStr">
        <is>
          <t>No</t>
        </is>
      </c>
      <c r="G1297" t="inlineStr">
        <is>
          <t>1</t>
        </is>
      </c>
      <c r="H1297" t="inlineStr">
        <is>
          <t>No</t>
        </is>
      </c>
      <c r="I1297" t="inlineStr">
        <is>
          <t>No</t>
        </is>
      </c>
      <c r="J1297" t="inlineStr">
        <is>
          <t>0</t>
        </is>
      </c>
      <c r="K1297" t="inlineStr">
        <is>
          <t>Muir, Edward, 1946-</t>
        </is>
      </c>
      <c r="L1297" t="inlineStr">
        <is>
          <t>Princeton, N.J. : Princeton University Press, c1981.</t>
        </is>
      </c>
      <c r="M1297" t="inlineStr">
        <is>
          <t>1986</t>
        </is>
      </c>
      <c r="O1297" t="inlineStr">
        <is>
          <t>eng</t>
        </is>
      </c>
      <c r="P1297" t="inlineStr">
        <is>
          <t>nju</t>
        </is>
      </c>
      <c r="R1297" t="inlineStr">
        <is>
          <t xml:space="preserve">DG </t>
        </is>
      </c>
      <c r="S1297" t="n">
        <v>1</v>
      </c>
      <c r="T1297" t="n">
        <v>1</v>
      </c>
      <c r="U1297" t="inlineStr">
        <is>
          <t>2010-05-26</t>
        </is>
      </c>
      <c r="V1297" t="inlineStr">
        <is>
          <t>2010-05-26</t>
        </is>
      </c>
      <c r="W1297" t="inlineStr">
        <is>
          <t>2010-05-26</t>
        </is>
      </c>
      <c r="X1297" t="inlineStr">
        <is>
          <t>2010-05-26</t>
        </is>
      </c>
      <c r="Y1297" t="n">
        <v>41</v>
      </c>
      <c r="Z1297" t="n">
        <v>27</v>
      </c>
      <c r="AA1297" t="n">
        <v>697</v>
      </c>
      <c r="AB1297" t="n">
        <v>1</v>
      </c>
      <c r="AC1297" t="n">
        <v>4</v>
      </c>
      <c r="AD1297" t="n">
        <v>1</v>
      </c>
      <c r="AE1297" t="n">
        <v>34</v>
      </c>
      <c r="AF1297" t="n">
        <v>1</v>
      </c>
      <c r="AG1297" t="n">
        <v>12</v>
      </c>
      <c r="AH1297" t="n">
        <v>0</v>
      </c>
      <c r="AI1297" t="n">
        <v>11</v>
      </c>
      <c r="AJ1297" t="n">
        <v>0</v>
      </c>
      <c r="AK1297" t="n">
        <v>18</v>
      </c>
      <c r="AL1297" t="n">
        <v>0</v>
      </c>
      <c r="AM1297" t="n">
        <v>3</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HYPERLINK("https://creighton-primo.hosted.exlibrisgroup.com/primo-explore/search?tab=default_tab&amp;search_scope=EVERYTHING&amp;vid=01CRU&amp;lang=en_US&amp;offset=0&amp;query=any,contains,991005401279702656","Catalog Record")</f>
        <v/>
      </c>
      <c r="AT1297">
        <f>HYPERLINK("http://www.worldcat.org/oclc/15930110","WorldCat Record")</f>
        <v/>
      </c>
      <c r="AU1297" t="inlineStr">
        <is>
          <t>117975544:eng</t>
        </is>
      </c>
      <c r="AV1297" t="inlineStr">
        <is>
          <t>15930110</t>
        </is>
      </c>
      <c r="AW1297" t="inlineStr">
        <is>
          <t>991005401279702656</t>
        </is>
      </c>
      <c r="AX1297" t="inlineStr">
        <is>
          <t>991005401279702656</t>
        </is>
      </c>
      <c r="AY1297" t="inlineStr">
        <is>
          <t>2270915850002656</t>
        </is>
      </c>
      <c r="AZ1297" t="inlineStr">
        <is>
          <t>BOOK</t>
        </is>
      </c>
      <c r="BB1297" t="inlineStr">
        <is>
          <t>9780691102009</t>
        </is>
      </c>
      <c r="BC1297" t="inlineStr">
        <is>
          <t>32285005586374</t>
        </is>
      </c>
      <c r="BD1297" t="inlineStr">
        <is>
          <t>893412843</t>
        </is>
      </c>
    </row>
    <row r="1298">
      <c r="A1298" t="inlineStr">
        <is>
          <t>No</t>
        </is>
      </c>
      <c r="B1298" t="inlineStr">
        <is>
          <t>DG678.3 .M3</t>
        </is>
      </c>
      <c r="C1298" t="inlineStr">
        <is>
          <t>0                      DG 0678300M  3</t>
        </is>
      </c>
      <c r="D1298" t="inlineStr">
        <is>
          <t>Venice : the hinge of Europe, 1081-1797 / William H. McNeill.</t>
        </is>
      </c>
      <c r="F1298" t="inlineStr">
        <is>
          <t>No</t>
        </is>
      </c>
      <c r="G1298" t="inlineStr">
        <is>
          <t>1</t>
        </is>
      </c>
      <c r="H1298" t="inlineStr">
        <is>
          <t>No</t>
        </is>
      </c>
      <c r="I1298" t="inlineStr">
        <is>
          <t>No</t>
        </is>
      </c>
      <c r="J1298" t="inlineStr">
        <is>
          <t>0</t>
        </is>
      </c>
      <c r="K1298" t="inlineStr">
        <is>
          <t>McNeill, William Hardy, 1917-2016.</t>
        </is>
      </c>
      <c r="L1298" t="inlineStr">
        <is>
          <t>Chicago : University of Chicago Press, 1974.</t>
        </is>
      </c>
      <c r="M1298" t="inlineStr">
        <is>
          <t>1974</t>
        </is>
      </c>
      <c r="O1298" t="inlineStr">
        <is>
          <t>eng</t>
        </is>
      </c>
      <c r="P1298" t="inlineStr">
        <is>
          <t>ilu</t>
        </is>
      </c>
      <c r="R1298" t="inlineStr">
        <is>
          <t xml:space="preserve">DG </t>
        </is>
      </c>
      <c r="S1298" t="n">
        <v>14</v>
      </c>
      <c r="T1298" t="n">
        <v>14</v>
      </c>
      <c r="U1298" t="inlineStr">
        <is>
          <t>2010-03-04</t>
        </is>
      </c>
      <c r="V1298" t="inlineStr">
        <is>
          <t>2010-03-04</t>
        </is>
      </c>
      <c r="W1298" t="inlineStr">
        <is>
          <t>1997-02-05</t>
        </is>
      </c>
      <c r="X1298" t="inlineStr">
        <is>
          <t>1997-02-05</t>
        </is>
      </c>
      <c r="Y1298" t="n">
        <v>980</v>
      </c>
      <c r="Z1298" t="n">
        <v>816</v>
      </c>
      <c r="AA1298" t="n">
        <v>1113</v>
      </c>
      <c r="AB1298" t="n">
        <v>6</v>
      </c>
      <c r="AC1298" t="n">
        <v>7</v>
      </c>
      <c r="AD1298" t="n">
        <v>31</v>
      </c>
      <c r="AE1298" t="n">
        <v>36</v>
      </c>
      <c r="AF1298" t="n">
        <v>10</v>
      </c>
      <c r="AG1298" t="n">
        <v>13</v>
      </c>
      <c r="AH1298" t="n">
        <v>8</v>
      </c>
      <c r="AI1298" t="n">
        <v>9</v>
      </c>
      <c r="AJ1298" t="n">
        <v>15</v>
      </c>
      <c r="AK1298" t="n">
        <v>17</v>
      </c>
      <c r="AL1298" t="n">
        <v>5</v>
      </c>
      <c r="AM1298" t="n">
        <v>6</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HYPERLINK("https://creighton-primo.hosted.exlibrisgroup.com/primo-explore/search?tab=default_tab&amp;search_scope=EVERYTHING&amp;vid=01CRU&amp;lang=en_US&amp;offset=0&amp;query=any,contains,991004144229702656","Catalog Record")</f>
        <v/>
      </c>
      <c r="AT1298">
        <f>HYPERLINK("http://www.worldcat.org/oclc/2507014","WorldCat Record")</f>
        <v/>
      </c>
      <c r="AU1298" t="inlineStr">
        <is>
          <t>14224306:eng</t>
        </is>
      </c>
      <c r="AV1298" t="inlineStr">
        <is>
          <t>2507014</t>
        </is>
      </c>
      <c r="AW1298" t="inlineStr">
        <is>
          <t>991004144229702656</t>
        </is>
      </c>
      <c r="AX1298" t="inlineStr">
        <is>
          <t>991004144229702656</t>
        </is>
      </c>
      <c r="AY1298" t="inlineStr">
        <is>
          <t>2255410250002656</t>
        </is>
      </c>
      <c r="AZ1298" t="inlineStr">
        <is>
          <t>BOOK</t>
        </is>
      </c>
      <c r="BB1298" t="inlineStr">
        <is>
          <t>9780226561486</t>
        </is>
      </c>
      <c r="BC1298" t="inlineStr">
        <is>
          <t>32285002422789</t>
        </is>
      </c>
      <c r="BD1298" t="inlineStr">
        <is>
          <t>893611973</t>
        </is>
      </c>
    </row>
    <row r="1299">
      <c r="A1299" t="inlineStr">
        <is>
          <t>No</t>
        </is>
      </c>
      <c r="B1299" t="inlineStr">
        <is>
          <t>DG68.1 .H67 2005</t>
        </is>
      </c>
      <c r="C1299" t="inlineStr">
        <is>
          <t>0                      DG 0068100H  67          2005</t>
        </is>
      </c>
      <c r="D1299" t="inlineStr">
        <is>
          <t>The Colosseum / Keith Hopkins and Mary Beard.</t>
        </is>
      </c>
      <c r="F1299" t="inlineStr">
        <is>
          <t>No</t>
        </is>
      </c>
      <c r="G1299" t="inlineStr">
        <is>
          <t>1</t>
        </is>
      </c>
      <c r="H1299" t="inlineStr">
        <is>
          <t>No</t>
        </is>
      </c>
      <c r="I1299" t="inlineStr">
        <is>
          <t>No</t>
        </is>
      </c>
      <c r="J1299" t="inlineStr">
        <is>
          <t>0</t>
        </is>
      </c>
      <c r="K1299" t="inlineStr">
        <is>
          <t>Hopkins, Keith, 1934-2004.</t>
        </is>
      </c>
      <c r="L1299" t="inlineStr">
        <is>
          <t>Cambridge, Mass. : Harvard University Press, 2005.</t>
        </is>
      </c>
      <c r="M1299" t="inlineStr">
        <is>
          <t>2005</t>
        </is>
      </c>
      <c r="O1299" t="inlineStr">
        <is>
          <t>eng</t>
        </is>
      </c>
      <c r="P1299" t="inlineStr">
        <is>
          <t>mau</t>
        </is>
      </c>
      <c r="Q1299" t="inlineStr">
        <is>
          <t>Wonders of the world</t>
        </is>
      </c>
      <c r="R1299" t="inlineStr">
        <is>
          <t xml:space="preserve">DG </t>
        </is>
      </c>
      <c r="S1299" t="n">
        <v>4</v>
      </c>
      <c r="T1299" t="n">
        <v>4</v>
      </c>
      <c r="U1299" t="inlineStr">
        <is>
          <t>2006-11-10</t>
        </is>
      </c>
      <c r="V1299" t="inlineStr">
        <is>
          <t>2006-11-10</t>
        </is>
      </c>
      <c r="W1299" t="inlineStr">
        <is>
          <t>2005-12-05</t>
        </is>
      </c>
      <c r="X1299" t="inlineStr">
        <is>
          <t>2005-12-05</t>
        </is>
      </c>
      <c r="Y1299" t="n">
        <v>1055</v>
      </c>
      <c r="Z1299" t="n">
        <v>944</v>
      </c>
      <c r="AA1299" t="n">
        <v>1143</v>
      </c>
      <c r="AB1299" t="n">
        <v>9</v>
      </c>
      <c r="AC1299" t="n">
        <v>12</v>
      </c>
      <c r="AD1299" t="n">
        <v>26</v>
      </c>
      <c r="AE1299" t="n">
        <v>38</v>
      </c>
      <c r="AF1299" t="n">
        <v>7</v>
      </c>
      <c r="AG1299" t="n">
        <v>14</v>
      </c>
      <c r="AH1299" t="n">
        <v>6</v>
      </c>
      <c r="AI1299" t="n">
        <v>9</v>
      </c>
      <c r="AJ1299" t="n">
        <v>12</v>
      </c>
      <c r="AK1299" t="n">
        <v>14</v>
      </c>
      <c r="AL1299" t="n">
        <v>6</v>
      </c>
      <c r="AM1299" t="n">
        <v>8</v>
      </c>
      <c r="AN1299" t="n">
        <v>0</v>
      </c>
      <c r="AO1299" t="n">
        <v>0</v>
      </c>
      <c r="AP1299" t="inlineStr">
        <is>
          <t>No</t>
        </is>
      </c>
      <c r="AQ1299" t="inlineStr">
        <is>
          <t>Yes</t>
        </is>
      </c>
      <c r="AR1299">
        <f>HYPERLINK("http://catalog.hathitrust.org/Record/005091093","HathiTrust Record")</f>
        <v/>
      </c>
      <c r="AS1299">
        <f>HYPERLINK("https://creighton-primo.hosted.exlibrisgroup.com/primo-explore/search?tab=default_tab&amp;search_scope=EVERYTHING&amp;vid=01CRU&amp;lang=en_US&amp;offset=0&amp;query=any,contains,991004693129702656","Catalog Record")</f>
        <v/>
      </c>
      <c r="AT1299">
        <f>HYPERLINK("http://www.worldcat.org/oclc/58594999","WorldCat Record")</f>
        <v/>
      </c>
      <c r="AU1299" t="inlineStr">
        <is>
          <t>2677784:eng</t>
        </is>
      </c>
      <c r="AV1299" t="inlineStr">
        <is>
          <t>58594999</t>
        </is>
      </c>
      <c r="AW1299" t="inlineStr">
        <is>
          <t>991004693129702656</t>
        </is>
      </c>
      <c r="AX1299" t="inlineStr">
        <is>
          <t>991004693129702656</t>
        </is>
      </c>
      <c r="AY1299" t="inlineStr">
        <is>
          <t>2268813060002656</t>
        </is>
      </c>
      <c r="AZ1299" t="inlineStr">
        <is>
          <t>BOOK</t>
        </is>
      </c>
      <c r="BB1299" t="inlineStr">
        <is>
          <t>9780674018952</t>
        </is>
      </c>
      <c r="BC1299" t="inlineStr">
        <is>
          <t>32285005151187</t>
        </is>
      </c>
      <c r="BD1299" t="inlineStr">
        <is>
          <t>893338023</t>
        </is>
      </c>
    </row>
    <row r="1300">
      <c r="A1300" t="inlineStr">
        <is>
          <t>No</t>
        </is>
      </c>
      <c r="B1300" t="inlineStr">
        <is>
          <t>DG70.A1 L54 2003</t>
        </is>
      </c>
      <c r="C1300" t="inlineStr">
        <is>
          <t>0                      DG 0070000A  1                  L  54          2003</t>
        </is>
      </c>
      <c r="D1300" t="inlineStr">
        <is>
          <t>The decline and fall of the Roman city / J.H.W.G. Liebeschuetz.</t>
        </is>
      </c>
      <c r="F1300" t="inlineStr">
        <is>
          <t>No</t>
        </is>
      </c>
      <c r="G1300" t="inlineStr">
        <is>
          <t>1</t>
        </is>
      </c>
      <c r="H1300" t="inlineStr">
        <is>
          <t>No</t>
        </is>
      </c>
      <c r="I1300" t="inlineStr">
        <is>
          <t>No</t>
        </is>
      </c>
      <c r="J1300" t="inlineStr">
        <is>
          <t>0</t>
        </is>
      </c>
      <c r="K1300" t="inlineStr">
        <is>
          <t>Liebeschuetz, J. H. W. G. (John Hugo Wolfgang Gideon)</t>
        </is>
      </c>
      <c r="L1300" t="inlineStr">
        <is>
          <t>Oxford : Oxford University Press, 2003.</t>
        </is>
      </c>
      <c r="M1300" t="inlineStr">
        <is>
          <t>2003</t>
        </is>
      </c>
      <c r="O1300" t="inlineStr">
        <is>
          <t>eng</t>
        </is>
      </c>
      <c r="P1300" t="inlineStr">
        <is>
          <t>enk</t>
        </is>
      </c>
      <c r="R1300" t="inlineStr">
        <is>
          <t xml:space="preserve">DG </t>
        </is>
      </c>
      <c r="S1300" t="n">
        <v>4</v>
      </c>
      <c r="T1300" t="n">
        <v>4</v>
      </c>
      <c r="U1300" t="inlineStr">
        <is>
          <t>2003-09-22</t>
        </is>
      </c>
      <c r="V1300" t="inlineStr">
        <is>
          <t>2003-09-22</t>
        </is>
      </c>
      <c r="W1300" t="inlineStr">
        <is>
          <t>2003-07-30</t>
        </is>
      </c>
      <c r="X1300" t="inlineStr">
        <is>
          <t>2003-07-30</t>
        </is>
      </c>
      <c r="Y1300" t="n">
        <v>62</v>
      </c>
      <c r="Z1300" t="n">
        <v>29</v>
      </c>
      <c r="AA1300" t="n">
        <v>298</v>
      </c>
      <c r="AB1300" t="n">
        <v>1</v>
      </c>
      <c r="AC1300" t="n">
        <v>3</v>
      </c>
      <c r="AD1300" t="n">
        <v>0</v>
      </c>
      <c r="AE1300" t="n">
        <v>22</v>
      </c>
      <c r="AF1300" t="n">
        <v>0</v>
      </c>
      <c r="AG1300" t="n">
        <v>9</v>
      </c>
      <c r="AH1300" t="n">
        <v>0</v>
      </c>
      <c r="AI1300" t="n">
        <v>6</v>
      </c>
      <c r="AJ1300" t="n">
        <v>0</v>
      </c>
      <c r="AK1300" t="n">
        <v>15</v>
      </c>
      <c r="AL1300" t="n">
        <v>0</v>
      </c>
      <c r="AM1300" t="n">
        <v>2</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HYPERLINK("https://creighton-primo.hosted.exlibrisgroup.com/primo-explore/search?tab=default_tab&amp;search_scope=EVERYTHING&amp;vid=01CRU&amp;lang=en_US&amp;offset=0&amp;query=any,contains,991004075499702656","Catalog Record")</f>
        <v/>
      </c>
      <c r="AT1300">
        <f>HYPERLINK("http://www.worldcat.org/oclc/50782687","WorldCat Record")</f>
        <v/>
      </c>
      <c r="AU1300" t="inlineStr">
        <is>
          <t>7754026:eng</t>
        </is>
      </c>
      <c r="AV1300" t="inlineStr">
        <is>
          <t>50782687</t>
        </is>
      </c>
      <c r="AW1300" t="inlineStr">
        <is>
          <t>991004075499702656</t>
        </is>
      </c>
      <c r="AX1300" t="inlineStr">
        <is>
          <t>991004075499702656</t>
        </is>
      </c>
      <c r="AY1300" t="inlineStr">
        <is>
          <t>2261320720002656</t>
        </is>
      </c>
      <c r="AZ1300" t="inlineStr">
        <is>
          <t>BOOK</t>
        </is>
      </c>
      <c r="BB1300" t="inlineStr">
        <is>
          <t>9780199261093</t>
        </is>
      </c>
      <c r="BC1300" t="inlineStr">
        <is>
          <t>32285004758008</t>
        </is>
      </c>
      <c r="BD1300" t="inlineStr">
        <is>
          <t>893531956</t>
        </is>
      </c>
    </row>
    <row r="1301">
      <c r="A1301" t="inlineStr">
        <is>
          <t>No</t>
        </is>
      </c>
      <c r="B1301" t="inlineStr">
        <is>
          <t>DG70.A587 B76 1980</t>
        </is>
      </c>
      <c r="C1301" t="inlineStr">
        <is>
          <t>0                      DG 0070000A  587                B  76          1980</t>
        </is>
      </c>
      <c r="D1301" t="inlineStr">
        <is>
          <t>Cosa, the making of a Roman town / Frank E. Brown.</t>
        </is>
      </c>
      <c r="F1301" t="inlineStr">
        <is>
          <t>No</t>
        </is>
      </c>
      <c r="G1301" t="inlineStr">
        <is>
          <t>1</t>
        </is>
      </c>
      <c r="H1301" t="inlineStr">
        <is>
          <t>No</t>
        </is>
      </c>
      <c r="I1301" t="inlineStr">
        <is>
          <t>No</t>
        </is>
      </c>
      <c r="J1301" t="inlineStr">
        <is>
          <t>0</t>
        </is>
      </c>
      <c r="K1301" t="inlineStr">
        <is>
          <t>Brown, Frank Edward, 1908-1988.</t>
        </is>
      </c>
      <c r="L1301" t="inlineStr">
        <is>
          <t>Ann Arbor : University of Michigan Press, c1980.</t>
        </is>
      </c>
      <c r="M1301" t="inlineStr">
        <is>
          <t>1980</t>
        </is>
      </c>
      <c r="O1301" t="inlineStr">
        <is>
          <t>eng</t>
        </is>
      </c>
      <c r="P1301" t="inlineStr">
        <is>
          <t>miu</t>
        </is>
      </c>
      <c r="Q1301" t="inlineStr">
        <is>
          <t>Jerome lectures ; 13th ser.</t>
        </is>
      </c>
      <c r="R1301" t="inlineStr">
        <is>
          <t xml:space="preserve">DG </t>
        </is>
      </c>
      <c r="S1301" t="n">
        <v>1</v>
      </c>
      <c r="T1301" t="n">
        <v>1</v>
      </c>
      <c r="U1301" t="inlineStr">
        <is>
          <t>2008-05-07</t>
        </is>
      </c>
      <c r="V1301" t="inlineStr">
        <is>
          <t>2008-05-07</t>
        </is>
      </c>
      <c r="W1301" t="inlineStr">
        <is>
          <t>1991-02-25</t>
        </is>
      </c>
      <c r="X1301" t="inlineStr">
        <is>
          <t>1991-02-25</t>
        </is>
      </c>
      <c r="Y1301" t="n">
        <v>459</v>
      </c>
      <c r="Z1301" t="n">
        <v>345</v>
      </c>
      <c r="AA1301" t="n">
        <v>348</v>
      </c>
      <c r="AB1301" t="n">
        <v>2</v>
      </c>
      <c r="AC1301" t="n">
        <v>2</v>
      </c>
      <c r="AD1301" t="n">
        <v>20</v>
      </c>
      <c r="AE1301" t="n">
        <v>20</v>
      </c>
      <c r="AF1301" t="n">
        <v>10</v>
      </c>
      <c r="AG1301" t="n">
        <v>10</v>
      </c>
      <c r="AH1301" t="n">
        <v>3</v>
      </c>
      <c r="AI1301" t="n">
        <v>3</v>
      </c>
      <c r="AJ1301" t="n">
        <v>12</v>
      </c>
      <c r="AK1301" t="n">
        <v>12</v>
      </c>
      <c r="AL1301" t="n">
        <v>1</v>
      </c>
      <c r="AM1301" t="n">
        <v>1</v>
      </c>
      <c r="AN1301" t="n">
        <v>0</v>
      </c>
      <c r="AO1301" t="n">
        <v>0</v>
      </c>
      <c r="AP1301" t="inlineStr">
        <is>
          <t>No</t>
        </is>
      </c>
      <c r="AQ1301" t="inlineStr">
        <is>
          <t>Yes</t>
        </is>
      </c>
      <c r="AR1301">
        <f>HYPERLINK("http://catalog.hathitrust.org/Record/000759813","HathiTrust Record")</f>
        <v/>
      </c>
      <c r="AS1301">
        <f>HYPERLINK("https://creighton-primo.hosted.exlibrisgroup.com/primo-explore/search?tab=default_tab&amp;search_scope=EVERYTHING&amp;vid=01CRU&amp;lang=en_US&amp;offset=0&amp;query=any,contains,991004856549702656","Catalog Record")</f>
        <v/>
      </c>
      <c r="AT1301">
        <f>HYPERLINK("http://www.worldcat.org/oclc/5675403","WorldCat Record")</f>
        <v/>
      </c>
      <c r="AU1301" t="inlineStr">
        <is>
          <t>146823683:eng</t>
        </is>
      </c>
      <c r="AV1301" t="inlineStr">
        <is>
          <t>5675403</t>
        </is>
      </c>
      <c r="AW1301" t="inlineStr">
        <is>
          <t>991004856549702656</t>
        </is>
      </c>
      <c r="AX1301" t="inlineStr">
        <is>
          <t>991004856549702656</t>
        </is>
      </c>
      <c r="AY1301" t="inlineStr">
        <is>
          <t>2260690570002656</t>
        </is>
      </c>
      <c r="AZ1301" t="inlineStr">
        <is>
          <t>BOOK</t>
        </is>
      </c>
      <c r="BB1301" t="inlineStr">
        <is>
          <t>9780472041008</t>
        </is>
      </c>
      <c r="BC1301" t="inlineStr">
        <is>
          <t>32285000520915</t>
        </is>
      </c>
      <c r="BD1301" t="inlineStr">
        <is>
          <t>893254170</t>
        </is>
      </c>
    </row>
    <row r="1302">
      <c r="A1302" t="inlineStr">
        <is>
          <t>No</t>
        </is>
      </c>
      <c r="B1302" t="inlineStr">
        <is>
          <t>DG70.C25 V47 1971</t>
        </is>
      </c>
      <c r="C1302" t="inlineStr">
        <is>
          <t>0                      DG 0070000C  25                 V  47          1971</t>
        </is>
      </c>
      <c r="D1302" t="inlineStr">
        <is>
          <t>The mithraeum at S. Maria Capua Vetere / [by] M. J. Vermaseren.</t>
        </is>
      </c>
      <c r="F1302" t="inlineStr">
        <is>
          <t>No</t>
        </is>
      </c>
      <c r="G1302" t="inlineStr">
        <is>
          <t>1</t>
        </is>
      </c>
      <c r="H1302" t="inlineStr">
        <is>
          <t>No</t>
        </is>
      </c>
      <c r="I1302" t="inlineStr">
        <is>
          <t>No</t>
        </is>
      </c>
      <c r="J1302" t="inlineStr">
        <is>
          <t>0</t>
        </is>
      </c>
      <c r="K1302" t="inlineStr">
        <is>
          <t>Vermaseren, M. J. (Maarten Jozef)</t>
        </is>
      </c>
      <c r="L1302" t="inlineStr">
        <is>
          <t>Leiden, Brill, 1971.</t>
        </is>
      </c>
      <c r="M1302" t="inlineStr">
        <is>
          <t>1971</t>
        </is>
      </c>
      <c r="O1302" t="inlineStr">
        <is>
          <t>eng</t>
        </is>
      </c>
      <c r="P1302" t="inlineStr">
        <is>
          <t xml:space="preserve">ne </t>
        </is>
      </c>
      <c r="Q1302" t="inlineStr">
        <is>
          <t>Etudes préliminaires aux religions orientales dans l'Empire romain ; t. 16</t>
        </is>
      </c>
      <c r="R1302" t="inlineStr">
        <is>
          <t xml:space="preserve">DG </t>
        </is>
      </c>
      <c r="S1302" t="n">
        <v>1</v>
      </c>
      <c r="T1302" t="n">
        <v>1</v>
      </c>
      <c r="U1302" t="inlineStr">
        <is>
          <t>2003-03-16</t>
        </is>
      </c>
      <c r="V1302" t="inlineStr">
        <is>
          <t>2003-03-16</t>
        </is>
      </c>
      <c r="W1302" t="inlineStr">
        <is>
          <t>1991-02-25</t>
        </is>
      </c>
      <c r="X1302" t="inlineStr">
        <is>
          <t>1991-02-25</t>
        </is>
      </c>
      <c r="Y1302" t="n">
        <v>185</v>
      </c>
      <c r="Z1302" t="n">
        <v>138</v>
      </c>
      <c r="AA1302" t="n">
        <v>151</v>
      </c>
      <c r="AB1302" t="n">
        <v>2</v>
      </c>
      <c r="AC1302" t="n">
        <v>2</v>
      </c>
      <c r="AD1302" t="n">
        <v>9</v>
      </c>
      <c r="AE1302" t="n">
        <v>9</v>
      </c>
      <c r="AF1302" t="n">
        <v>2</v>
      </c>
      <c r="AG1302" t="n">
        <v>2</v>
      </c>
      <c r="AH1302" t="n">
        <v>2</v>
      </c>
      <c r="AI1302" t="n">
        <v>2</v>
      </c>
      <c r="AJ1302" t="n">
        <v>6</v>
      </c>
      <c r="AK1302" t="n">
        <v>6</v>
      </c>
      <c r="AL1302" t="n">
        <v>1</v>
      </c>
      <c r="AM1302" t="n">
        <v>1</v>
      </c>
      <c r="AN1302" t="n">
        <v>0</v>
      </c>
      <c r="AO1302" t="n">
        <v>0</v>
      </c>
      <c r="AP1302" t="inlineStr">
        <is>
          <t>No</t>
        </is>
      </c>
      <c r="AQ1302" t="inlineStr">
        <is>
          <t>Yes</t>
        </is>
      </c>
      <c r="AR1302">
        <f>HYPERLINK("http://catalog.hathitrust.org/Record/001947180","HathiTrust Record")</f>
        <v/>
      </c>
      <c r="AS1302">
        <f>HYPERLINK("https://creighton-primo.hosted.exlibrisgroup.com/primo-explore/search?tab=default_tab&amp;search_scope=EVERYTHING&amp;vid=01CRU&amp;lang=en_US&amp;offset=0&amp;query=any,contains,991002730299702656","Catalog Record")</f>
        <v/>
      </c>
      <c r="AT1302">
        <f>HYPERLINK("http://www.worldcat.org/oclc/416020","WorldCat Record")</f>
        <v/>
      </c>
      <c r="AU1302" t="inlineStr">
        <is>
          <t>5218527233:eng</t>
        </is>
      </c>
      <c r="AV1302" t="inlineStr">
        <is>
          <t>416020</t>
        </is>
      </c>
      <c r="AW1302" t="inlineStr">
        <is>
          <t>991002730299702656</t>
        </is>
      </c>
      <c r="AX1302" t="inlineStr">
        <is>
          <t>991002730299702656</t>
        </is>
      </c>
      <c r="AY1302" t="inlineStr">
        <is>
          <t>2266548820002656</t>
        </is>
      </c>
      <c r="AZ1302" t="inlineStr">
        <is>
          <t>BOOK</t>
        </is>
      </c>
      <c r="BC1302" t="inlineStr">
        <is>
          <t>32285000520923</t>
        </is>
      </c>
      <c r="BD1302" t="inlineStr">
        <is>
          <t>893257634</t>
        </is>
      </c>
    </row>
    <row r="1303">
      <c r="A1303" t="inlineStr">
        <is>
          <t>No</t>
        </is>
      </c>
      <c r="B1303" t="inlineStr">
        <is>
          <t>DG70.C63 M33 1987</t>
        </is>
      </c>
      <c r="C1303" t="inlineStr">
        <is>
          <t>0                      DG 0070000C  63                 M  33          1987</t>
        </is>
      </c>
      <c r="D1303" t="inlineStr">
        <is>
          <t>The Roman port and fishery of Cosa : a center of ancient trade / by Anna Marguerite McCann and Joanne Bourgeois ... [et al.].</t>
        </is>
      </c>
      <c r="F1303" t="inlineStr">
        <is>
          <t>No</t>
        </is>
      </c>
      <c r="G1303" t="inlineStr">
        <is>
          <t>1</t>
        </is>
      </c>
      <c r="H1303" t="inlineStr">
        <is>
          <t>No</t>
        </is>
      </c>
      <c r="I1303" t="inlineStr">
        <is>
          <t>Yes</t>
        </is>
      </c>
      <c r="J1303" t="inlineStr">
        <is>
          <t>0</t>
        </is>
      </c>
      <c r="K1303" t="inlineStr">
        <is>
          <t>McCann, Anna Marguerite.</t>
        </is>
      </c>
      <c r="L1303" t="inlineStr">
        <is>
          <t>Princeton, N.J. : Princeton University, c1987.</t>
        </is>
      </c>
      <c r="M1303" t="inlineStr">
        <is>
          <t>1986</t>
        </is>
      </c>
      <c r="O1303" t="inlineStr">
        <is>
          <t>eng</t>
        </is>
      </c>
      <c r="P1303" t="inlineStr">
        <is>
          <t>nju</t>
        </is>
      </c>
      <c r="R1303" t="inlineStr">
        <is>
          <t xml:space="preserve">DG </t>
        </is>
      </c>
      <c r="S1303" t="n">
        <v>4</v>
      </c>
      <c r="T1303" t="n">
        <v>4</v>
      </c>
      <c r="U1303" t="inlineStr">
        <is>
          <t>2008-05-07</t>
        </is>
      </c>
      <c r="V1303" t="inlineStr">
        <is>
          <t>2008-05-07</t>
        </is>
      </c>
      <c r="W1303" t="inlineStr">
        <is>
          <t>1991-02-25</t>
        </is>
      </c>
      <c r="X1303" t="inlineStr">
        <is>
          <t>1991-02-25</t>
        </is>
      </c>
      <c r="Y1303" t="n">
        <v>252</v>
      </c>
      <c r="Z1303" t="n">
        <v>174</v>
      </c>
      <c r="AA1303" t="n">
        <v>403</v>
      </c>
      <c r="AB1303" t="n">
        <v>2</v>
      </c>
      <c r="AC1303" t="n">
        <v>3</v>
      </c>
      <c r="AD1303" t="n">
        <v>7</v>
      </c>
      <c r="AE1303" t="n">
        <v>20</v>
      </c>
      <c r="AF1303" t="n">
        <v>2</v>
      </c>
      <c r="AG1303" t="n">
        <v>8</v>
      </c>
      <c r="AH1303" t="n">
        <v>2</v>
      </c>
      <c r="AI1303" t="n">
        <v>5</v>
      </c>
      <c r="AJ1303" t="n">
        <v>4</v>
      </c>
      <c r="AK1303" t="n">
        <v>11</v>
      </c>
      <c r="AL1303" t="n">
        <v>1</v>
      </c>
      <c r="AM1303" t="n">
        <v>2</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HYPERLINK("https://creighton-primo.hosted.exlibrisgroup.com/primo-explore/search?tab=default_tab&amp;search_scope=EVERYTHING&amp;vid=01CRU&amp;lang=en_US&amp;offset=0&amp;query=any,contains,991000609629702656","Catalog Record")</f>
        <v/>
      </c>
      <c r="AT1303">
        <f>HYPERLINK("http://www.worldcat.org/oclc/11890421","WorldCat Record")</f>
        <v/>
      </c>
      <c r="AU1303" t="inlineStr">
        <is>
          <t>890388467:eng</t>
        </is>
      </c>
      <c r="AV1303" t="inlineStr">
        <is>
          <t>11890421</t>
        </is>
      </c>
      <c r="AW1303" t="inlineStr">
        <is>
          <t>991000609629702656</t>
        </is>
      </c>
      <c r="AX1303" t="inlineStr">
        <is>
          <t>991000609629702656</t>
        </is>
      </c>
      <c r="AY1303" t="inlineStr">
        <is>
          <t>2268836240002656</t>
        </is>
      </c>
      <c r="AZ1303" t="inlineStr">
        <is>
          <t>BOOK</t>
        </is>
      </c>
      <c r="BB1303" t="inlineStr">
        <is>
          <t>9780691035819</t>
        </is>
      </c>
      <c r="BC1303" t="inlineStr">
        <is>
          <t>32285000520931</t>
        </is>
      </c>
      <c r="BD1303" t="inlineStr">
        <is>
          <t>893496406</t>
        </is>
      </c>
    </row>
    <row r="1304">
      <c r="A1304" t="inlineStr">
        <is>
          <t>No</t>
        </is>
      </c>
      <c r="B1304" t="inlineStr">
        <is>
          <t>DG70.C63 M34 2002</t>
        </is>
      </c>
      <c r="C1304" t="inlineStr">
        <is>
          <t>0                      DG 0070000C  63                 M  34          2002</t>
        </is>
      </c>
      <c r="D1304" t="inlineStr">
        <is>
          <t>The Roman port and fishery of Cosa : a short guide = Il porto romano e la peschiera di Cosa : guida breve / Anna Marguerite McCann.</t>
        </is>
      </c>
      <c r="F1304" t="inlineStr">
        <is>
          <t>No</t>
        </is>
      </c>
      <c r="G1304" t="inlineStr">
        <is>
          <t>1</t>
        </is>
      </c>
      <c r="H1304" t="inlineStr">
        <is>
          <t>No</t>
        </is>
      </c>
      <c r="I1304" t="inlineStr">
        <is>
          <t>Yes</t>
        </is>
      </c>
      <c r="J1304" t="inlineStr">
        <is>
          <t>0</t>
        </is>
      </c>
      <c r="K1304" t="inlineStr">
        <is>
          <t>McCann, Anna Marguerite.</t>
        </is>
      </c>
      <c r="L1304" t="inlineStr">
        <is>
          <t>[Rome] : American Academy in Rome, [2002]</t>
        </is>
      </c>
      <c r="M1304" t="inlineStr">
        <is>
          <t>2002</t>
        </is>
      </c>
      <c r="O1304" t="inlineStr">
        <is>
          <t>eng</t>
        </is>
      </c>
      <c r="P1304" t="inlineStr">
        <is>
          <t xml:space="preserve">it </t>
        </is>
      </c>
      <c r="R1304" t="inlineStr">
        <is>
          <t xml:space="preserve">DG </t>
        </is>
      </c>
      <c r="S1304" t="n">
        <v>2</v>
      </c>
      <c r="T1304" t="n">
        <v>2</v>
      </c>
      <c r="U1304" t="inlineStr">
        <is>
          <t>2008-05-07</t>
        </is>
      </c>
      <c r="V1304" t="inlineStr">
        <is>
          <t>2008-05-07</t>
        </is>
      </c>
      <c r="W1304" t="inlineStr">
        <is>
          <t>2003-04-22</t>
        </is>
      </c>
      <c r="X1304" t="inlineStr">
        <is>
          <t>2003-04-22</t>
        </is>
      </c>
      <c r="Y1304" t="n">
        <v>87</v>
      </c>
      <c r="Z1304" t="n">
        <v>71</v>
      </c>
      <c r="AA1304" t="n">
        <v>403</v>
      </c>
      <c r="AB1304" t="n">
        <v>1</v>
      </c>
      <c r="AC1304" t="n">
        <v>3</v>
      </c>
      <c r="AD1304" t="n">
        <v>3</v>
      </c>
      <c r="AE1304" t="n">
        <v>20</v>
      </c>
      <c r="AF1304" t="n">
        <v>0</v>
      </c>
      <c r="AG1304" t="n">
        <v>8</v>
      </c>
      <c r="AH1304" t="n">
        <v>0</v>
      </c>
      <c r="AI1304" t="n">
        <v>5</v>
      </c>
      <c r="AJ1304" t="n">
        <v>3</v>
      </c>
      <c r="AK1304" t="n">
        <v>11</v>
      </c>
      <c r="AL1304" t="n">
        <v>0</v>
      </c>
      <c r="AM1304" t="n">
        <v>2</v>
      </c>
      <c r="AN1304" t="n">
        <v>0</v>
      </c>
      <c r="AO1304" t="n">
        <v>0</v>
      </c>
      <c r="AP1304" t="inlineStr">
        <is>
          <t>No</t>
        </is>
      </c>
      <c r="AQ1304" t="inlineStr">
        <is>
          <t>Yes</t>
        </is>
      </c>
      <c r="AR1304">
        <f>HYPERLINK("http://catalog.hathitrust.org/Record/004964310","HathiTrust Record")</f>
        <v/>
      </c>
      <c r="AS1304">
        <f>HYPERLINK("https://creighton-primo.hosted.exlibrisgroup.com/primo-explore/search?tab=default_tab&amp;search_scope=EVERYTHING&amp;vid=01CRU&amp;lang=en_US&amp;offset=0&amp;query=any,contains,991004039469702656","Catalog Record")</f>
        <v/>
      </c>
      <c r="AT1304">
        <f>HYPERLINK("http://www.worldcat.org/oclc/51870683","WorldCat Record")</f>
        <v/>
      </c>
      <c r="AU1304" t="inlineStr">
        <is>
          <t>890388467:eng</t>
        </is>
      </c>
      <c r="AV1304" t="inlineStr">
        <is>
          <t>51870683</t>
        </is>
      </c>
      <c r="AW1304" t="inlineStr">
        <is>
          <t>991004039469702656</t>
        </is>
      </c>
      <c r="AX1304" t="inlineStr">
        <is>
          <t>991004039469702656</t>
        </is>
      </c>
      <c r="AY1304" t="inlineStr">
        <is>
          <t>2256717340002656</t>
        </is>
      </c>
      <c r="AZ1304" t="inlineStr">
        <is>
          <t>BOOK</t>
        </is>
      </c>
      <c r="BC1304" t="inlineStr">
        <is>
          <t>32285004743356</t>
        </is>
      </c>
      <c r="BD1304" t="inlineStr">
        <is>
          <t>893535776</t>
        </is>
      </c>
    </row>
    <row r="1305">
      <c r="A1305" t="inlineStr">
        <is>
          <t>No</t>
        </is>
      </c>
      <c r="B1305" t="inlineStr">
        <is>
          <t>DG70.P7 P63 1984</t>
        </is>
      </c>
      <c r="C1305" t="inlineStr">
        <is>
          <t>0                      DG 0070000P  7                  P  63          1984</t>
        </is>
      </c>
      <c r="D1305" t="inlineStr">
        <is>
          <t>Pompei 79 : raccolta di studi per il decimonono centenario dell'eruzione vesuviana / a cura di Fausto Zevi.</t>
        </is>
      </c>
      <c r="F1305" t="inlineStr">
        <is>
          <t>No</t>
        </is>
      </c>
      <c r="G1305" t="inlineStr">
        <is>
          <t>1</t>
        </is>
      </c>
      <c r="H1305" t="inlineStr">
        <is>
          <t>No</t>
        </is>
      </c>
      <c r="I1305" t="inlineStr">
        <is>
          <t>No</t>
        </is>
      </c>
      <c r="J1305" t="inlineStr">
        <is>
          <t>0</t>
        </is>
      </c>
      <c r="L1305" t="inlineStr">
        <is>
          <t>Napoli : G. Macchiaroli, [1984], c1979.</t>
        </is>
      </c>
      <c r="M1305" t="inlineStr">
        <is>
          <t>1984</t>
        </is>
      </c>
      <c r="O1305" t="inlineStr">
        <is>
          <t>ita</t>
        </is>
      </c>
      <c r="P1305" t="inlineStr">
        <is>
          <t xml:space="preserve">it </t>
        </is>
      </c>
      <c r="R1305" t="inlineStr">
        <is>
          <t xml:space="preserve">DG </t>
        </is>
      </c>
      <c r="S1305" t="n">
        <v>5</v>
      </c>
      <c r="T1305" t="n">
        <v>5</v>
      </c>
      <c r="U1305" t="inlineStr">
        <is>
          <t>2006-02-11</t>
        </is>
      </c>
      <c r="V1305" t="inlineStr">
        <is>
          <t>2006-02-11</t>
        </is>
      </c>
      <c r="W1305" t="inlineStr">
        <is>
          <t>1991-02-25</t>
        </is>
      </c>
      <c r="X1305" t="inlineStr">
        <is>
          <t>1991-02-25</t>
        </is>
      </c>
      <c r="Y1305" t="n">
        <v>72</v>
      </c>
      <c r="Z1305" t="n">
        <v>37</v>
      </c>
      <c r="AA1305" t="n">
        <v>39</v>
      </c>
      <c r="AB1305" t="n">
        <v>1</v>
      </c>
      <c r="AC1305" t="n">
        <v>1</v>
      </c>
      <c r="AD1305" t="n">
        <v>0</v>
      </c>
      <c r="AE1305" t="n">
        <v>0</v>
      </c>
      <c r="AF1305" t="n">
        <v>0</v>
      </c>
      <c r="AG1305" t="n">
        <v>0</v>
      </c>
      <c r="AH1305" t="n">
        <v>0</v>
      </c>
      <c r="AI1305" t="n">
        <v>0</v>
      </c>
      <c r="AJ1305" t="n">
        <v>0</v>
      </c>
      <c r="AK1305" t="n">
        <v>0</v>
      </c>
      <c r="AL1305" t="n">
        <v>0</v>
      </c>
      <c r="AM1305" t="n">
        <v>0</v>
      </c>
      <c r="AN1305" t="n">
        <v>0</v>
      </c>
      <c r="AO1305" t="n">
        <v>0</v>
      </c>
      <c r="AP1305" t="inlineStr">
        <is>
          <t>No</t>
        </is>
      </c>
      <c r="AQ1305" t="inlineStr">
        <is>
          <t>Yes</t>
        </is>
      </c>
      <c r="AR1305">
        <f>HYPERLINK("http://catalog.hathitrust.org/Record/000834519","HathiTrust Record")</f>
        <v/>
      </c>
      <c r="AS1305">
        <f>HYPERLINK("https://creighton-primo.hosted.exlibrisgroup.com/primo-explore/search?tab=default_tab&amp;search_scope=EVERYTHING&amp;vid=01CRU&amp;lang=en_US&amp;offset=0&amp;query=any,contains,991000632659702656","Catalog Record")</f>
        <v/>
      </c>
      <c r="AT1305">
        <f>HYPERLINK("http://www.worldcat.org/oclc/12053961","WorldCat Record")</f>
        <v/>
      </c>
      <c r="AU1305" t="inlineStr">
        <is>
          <t>4400430:ita</t>
        </is>
      </c>
      <c r="AV1305" t="inlineStr">
        <is>
          <t>12053961</t>
        </is>
      </c>
      <c r="AW1305" t="inlineStr">
        <is>
          <t>991000632659702656</t>
        </is>
      </c>
      <c r="AX1305" t="inlineStr">
        <is>
          <t>991000632659702656</t>
        </is>
      </c>
      <c r="AY1305" t="inlineStr">
        <is>
          <t>2261337670002656</t>
        </is>
      </c>
      <c r="AZ1305" t="inlineStr">
        <is>
          <t>BOOK</t>
        </is>
      </c>
      <c r="BC1305" t="inlineStr">
        <is>
          <t>32285000520998</t>
        </is>
      </c>
      <c r="BD1305" t="inlineStr">
        <is>
          <t>893708554</t>
        </is>
      </c>
    </row>
    <row r="1306">
      <c r="A1306" t="inlineStr">
        <is>
          <t>No</t>
        </is>
      </c>
      <c r="B1306" t="inlineStr">
        <is>
          <t>DG70.P7 W34 1978</t>
        </is>
      </c>
      <c r="C1306" t="inlineStr">
        <is>
          <t>0                      DG 0070000P  7                  W  34          1978</t>
        </is>
      </c>
      <c r="D1306" t="inlineStr">
        <is>
          <t>Pompeii A.D. 79 : essay and catalogue / by John Ward-Perkins and Amanda Claridge ; with additions by the Department of Classical Art, Museum of Fine Arts, Boston.</t>
        </is>
      </c>
      <c r="F1306" t="inlineStr">
        <is>
          <t>No</t>
        </is>
      </c>
      <c r="G1306" t="inlineStr">
        <is>
          <t>1</t>
        </is>
      </c>
      <c r="H1306" t="inlineStr">
        <is>
          <t>No</t>
        </is>
      </c>
      <c r="I1306" t="inlineStr">
        <is>
          <t>No</t>
        </is>
      </c>
      <c r="J1306" t="inlineStr">
        <is>
          <t>0</t>
        </is>
      </c>
      <c r="K1306" t="inlineStr">
        <is>
          <t>Ward-Perkins, J. B. (John Bryan), 1912-1981.</t>
        </is>
      </c>
      <c r="L1306" t="inlineStr">
        <is>
          <t>New York : Knopf, 1978.</t>
        </is>
      </c>
      <c r="M1306" t="inlineStr">
        <is>
          <t>1978</t>
        </is>
      </c>
      <c r="N1306" t="inlineStr">
        <is>
          <t>1st trade ed.</t>
        </is>
      </c>
      <c r="O1306" t="inlineStr">
        <is>
          <t>eng</t>
        </is>
      </c>
      <c r="P1306" t="inlineStr">
        <is>
          <t>nyu</t>
        </is>
      </c>
      <c r="R1306" t="inlineStr">
        <is>
          <t xml:space="preserve">DG </t>
        </is>
      </c>
      <c r="S1306" t="n">
        <v>2</v>
      </c>
      <c r="T1306" t="n">
        <v>2</v>
      </c>
      <c r="U1306" t="inlineStr">
        <is>
          <t>2006-02-11</t>
        </is>
      </c>
      <c r="V1306" t="inlineStr">
        <is>
          <t>2006-02-11</t>
        </is>
      </c>
      <c r="W1306" t="inlineStr">
        <is>
          <t>1991-11-08</t>
        </is>
      </c>
      <c r="X1306" t="inlineStr">
        <is>
          <t>1991-11-08</t>
        </is>
      </c>
      <c r="Y1306" t="n">
        <v>882</v>
      </c>
      <c r="Z1306" t="n">
        <v>809</v>
      </c>
      <c r="AA1306" t="n">
        <v>812</v>
      </c>
      <c r="AB1306" t="n">
        <v>6</v>
      </c>
      <c r="AC1306" t="n">
        <v>6</v>
      </c>
      <c r="AD1306" t="n">
        <v>22</v>
      </c>
      <c r="AE1306" t="n">
        <v>22</v>
      </c>
      <c r="AF1306" t="n">
        <v>10</v>
      </c>
      <c r="AG1306" t="n">
        <v>10</v>
      </c>
      <c r="AH1306" t="n">
        <v>3</v>
      </c>
      <c r="AI1306" t="n">
        <v>3</v>
      </c>
      <c r="AJ1306" t="n">
        <v>14</v>
      </c>
      <c r="AK1306" t="n">
        <v>14</v>
      </c>
      <c r="AL1306" t="n">
        <v>3</v>
      </c>
      <c r="AM1306" t="n">
        <v>3</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HYPERLINK("https://creighton-primo.hosted.exlibrisgroup.com/primo-explore/search?tab=default_tab&amp;search_scope=EVERYTHING&amp;vid=01CRU&amp;lang=en_US&amp;offset=0&amp;query=any,contains,991004654409702656","Catalog Record")</f>
        <v/>
      </c>
      <c r="AT1306">
        <f>HYPERLINK("http://www.worldcat.org/oclc/4494876","WorldCat Record")</f>
        <v/>
      </c>
      <c r="AU1306" t="inlineStr">
        <is>
          <t>9738283042:eng</t>
        </is>
      </c>
      <c r="AV1306" t="inlineStr">
        <is>
          <t>4494876</t>
        </is>
      </c>
      <c r="AW1306" t="inlineStr">
        <is>
          <t>991004654409702656</t>
        </is>
      </c>
      <c r="AX1306" t="inlineStr">
        <is>
          <t>991004654409702656</t>
        </is>
      </c>
      <c r="AY1306" t="inlineStr">
        <is>
          <t>2265319900002656</t>
        </is>
      </c>
      <c r="AZ1306" t="inlineStr">
        <is>
          <t>BOOK</t>
        </is>
      </c>
      <c r="BB1306" t="inlineStr">
        <is>
          <t>9780394504919</t>
        </is>
      </c>
      <c r="BC1306" t="inlineStr">
        <is>
          <t>32285000654367</t>
        </is>
      </c>
      <c r="BD1306" t="inlineStr">
        <is>
          <t>893430331</t>
        </is>
      </c>
    </row>
    <row r="1307">
      <c r="A1307" t="inlineStr">
        <is>
          <t>No</t>
        </is>
      </c>
      <c r="B1307" t="inlineStr">
        <is>
          <t>DG731.5 .M325 1975</t>
        </is>
      </c>
      <c r="C1307" t="inlineStr">
        <is>
          <t>0                      DG 0731500M  325         1975</t>
        </is>
      </c>
      <c r="D1307" t="inlineStr">
        <is>
          <t>The living thoughts of Machiavelli / presented by Count Carlo Sforza.</t>
        </is>
      </c>
      <c r="F1307" t="inlineStr">
        <is>
          <t>No</t>
        </is>
      </c>
      <c r="G1307" t="inlineStr">
        <is>
          <t>1</t>
        </is>
      </c>
      <c r="H1307" t="inlineStr">
        <is>
          <t>No</t>
        </is>
      </c>
      <c r="I1307" t="inlineStr">
        <is>
          <t>No</t>
        </is>
      </c>
      <c r="J1307" t="inlineStr">
        <is>
          <t>0</t>
        </is>
      </c>
      <c r="K1307" t="inlineStr">
        <is>
          <t>Machiavelli, Niccolò, 1469-1527.</t>
        </is>
      </c>
      <c r="L1307" t="inlineStr">
        <is>
          <t>Westport, Conn. : Greenwood Press, 1975, c1940.</t>
        </is>
      </c>
      <c r="M1307" t="inlineStr">
        <is>
          <t>1975</t>
        </is>
      </c>
      <c r="O1307" t="inlineStr">
        <is>
          <t>eng</t>
        </is>
      </c>
      <c r="P1307" t="inlineStr">
        <is>
          <t>ctu</t>
        </is>
      </c>
      <c r="R1307" t="inlineStr">
        <is>
          <t xml:space="preserve">DG </t>
        </is>
      </c>
      <c r="S1307" t="n">
        <v>1</v>
      </c>
      <c r="T1307" t="n">
        <v>1</v>
      </c>
      <c r="U1307" t="inlineStr">
        <is>
          <t>2003-11-30</t>
        </is>
      </c>
      <c r="V1307" t="inlineStr">
        <is>
          <t>2003-11-30</t>
        </is>
      </c>
      <c r="W1307" t="inlineStr">
        <is>
          <t>1997-02-05</t>
        </is>
      </c>
      <c r="X1307" t="inlineStr">
        <is>
          <t>1997-02-05</t>
        </is>
      </c>
      <c r="Y1307" t="n">
        <v>69</v>
      </c>
      <c r="Z1307" t="n">
        <v>63</v>
      </c>
      <c r="AA1307" t="n">
        <v>308</v>
      </c>
      <c r="AB1307" t="n">
        <v>1</v>
      </c>
      <c r="AC1307" t="n">
        <v>3</v>
      </c>
      <c r="AD1307" t="n">
        <v>5</v>
      </c>
      <c r="AE1307" t="n">
        <v>10</v>
      </c>
      <c r="AF1307" t="n">
        <v>2</v>
      </c>
      <c r="AG1307" t="n">
        <v>4</v>
      </c>
      <c r="AH1307" t="n">
        <v>2</v>
      </c>
      <c r="AI1307" t="n">
        <v>3</v>
      </c>
      <c r="AJ1307" t="n">
        <v>3</v>
      </c>
      <c r="AK1307" t="n">
        <v>4</v>
      </c>
      <c r="AL1307" t="n">
        <v>0</v>
      </c>
      <c r="AM1307" t="n">
        <v>2</v>
      </c>
      <c r="AN1307" t="n">
        <v>0</v>
      </c>
      <c r="AO1307" t="n">
        <v>0</v>
      </c>
      <c r="AP1307" t="inlineStr">
        <is>
          <t>No</t>
        </is>
      </c>
      <c r="AQ1307" t="inlineStr">
        <is>
          <t>Yes</t>
        </is>
      </c>
      <c r="AR1307">
        <f>HYPERLINK("http://catalog.hathitrust.org/Record/009907712","HathiTrust Record")</f>
        <v/>
      </c>
      <c r="AS1307">
        <f>HYPERLINK("https://creighton-primo.hosted.exlibrisgroup.com/primo-explore/search?tab=default_tab&amp;search_scope=EVERYTHING&amp;vid=01CRU&amp;lang=en_US&amp;offset=0&amp;query=any,contains,991003741389702656","Catalog Record")</f>
        <v/>
      </c>
      <c r="AT1307">
        <f>HYPERLINK("http://www.worldcat.org/oclc/1406040","WorldCat Record")</f>
        <v/>
      </c>
      <c r="AU1307" t="inlineStr">
        <is>
          <t>1356238:eng</t>
        </is>
      </c>
      <c r="AV1307" t="inlineStr">
        <is>
          <t>1406040</t>
        </is>
      </c>
      <c r="AW1307" t="inlineStr">
        <is>
          <t>991003741389702656</t>
        </is>
      </c>
      <c r="AX1307" t="inlineStr">
        <is>
          <t>991003741389702656</t>
        </is>
      </c>
      <c r="AY1307" t="inlineStr">
        <is>
          <t>2261236780002656</t>
        </is>
      </c>
      <c r="AZ1307" t="inlineStr">
        <is>
          <t>BOOK</t>
        </is>
      </c>
      <c r="BB1307" t="inlineStr">
        <is>
          <t>9780837179230</t>
        </is>
      </c>
      <c r="BC1307" t="inlineStr">
        <is>
          <t>32285002422839</t>
        </is>
      </c>
      <c r="BD1307" t="inlineStr">
        <is>
          <t>893429145</t>
        </is>
      </c>
    </row>
    <row r="1308">
      <c r="A1308" t="inlineStr">
        <is>
          <t>No</t>
        </is>
      </c>
      <c r="B1308" t="inlineStr">
        <is>
          <t>DG732 .B6 1997</t>
        </is>
      </c>
      <c r="C1308" t="inlineStr">
        <is>
          <t>0                      DG 0732000B  6           1997</t>
        </is>
      </c>
      <c r="D1308" t="inlineStr">
        <is>
          <t>The companion guide to Florence / Eve Borsook.</t>
        </is>
      </c>
      <c r="F1308" t="inlineStr">
        <is>
          <t>No</t>
        </is>
      </c>
      <c r="G1308" t="inlineStr">
        <is>
          <t>1</t>
        </is>
      </c>
      <c r="H1308" t="inlineStr">
        <is>
          <t>No</t>
        </is>
      </c>
      <c r="I1308" t="inlineStr">
        <is>
          <t>No</t>
        </is>
      </c>
      <c r="J1308" t="inlineStr">
        <is>
          <t>0</t>
        </is>
      </c>
      <c r="K1308" t="inlineStr">
        <is>
          <t>Borsook, Eve.</t>
        </is>
      </c>
      <c r="L1308" t="inlineStr">
        <is>
          <t>Woodbridge, Suffolk, UK ; Rochester, NY, USA : Companion Guides, 1997.</t>
        </is>
      </c>
      <c r="M1308" t="inlineStr">
        <is>
          <t>1997</t>
        </is>
      </c>
      <c r="N1308" t="inlineStr">
        <is>
          <t>6th rev. ed.</t>
        </is>
      </c>
      <c r="O1308" t="inlineStr">
        <is>
          <t>eng</t>
        </is>
      </c>
      <c r="P1308" t="inlineStr">
        <is>
          <t>enk</t>
        </is>
      </c>
      <c r="Q1308" t="inlineStr">
        <is>
          <t>The companion guides</t>
        </is>
      </c>
      <c r="R1308" t="inlineStr">
        <is>
          <t xml:space="preserve">DG </t>
        </is>
      </c>
      <c r="S1308" t="n">
        <v>1</v>
      </c>
      <c r="T1308" t="n">
        <v>1</v>
      </c>
      <c r="U1308" t="inlineStr">
        <is>
          <t>2006-01-12</t>
        </is>
      </c>
      <c r="V1308" t="inlineStr">
        <is>
          <t>2006-01-12</t>
        </is>
      </c>
      <c r="W1308" t="inlineStr">
        <is>
          <t>1999-03-25</t>
        </is>
      </c>
      <c r="X1308" t="inlineStr">
        <is>
          <t>1999-03-25</t>
        </is>
      </c>
      <c r="Y1308" t="n">
        <v>75</v>
      </c>
      <c r="Z1308" t="n">
        <v>49</v>
      </c>
      <c r="AA1308" t="n">
        <v>951</v>
      </c>
      <c r="AB1308" t="n">
        <v>2</v>
      </c>
      <c r="AC1308" t="n">
        <v>5</v>
      </c>
      <c r="AD1308" t="n">
        <v>3</v>
      </c>
      <c r="AE1308" t="n">
        <v>18</v>
      </c>
      <c r="AF1308" t="n">
        <v>0</v>
      </c>
      <c r="AG1308" t="n">
        <v>9</v>
      </c>
      <c r="AH1308" t="n">
        <v>1</v>
      </c>
      <c r="AI1308" t="n">
        <v>4</v>
      </c>
      <c r="AJ1308" t="n">
        <v>1</v>
      </c>
      <c r="AK1308" t="n">
        <v>8</v>
      </c>
      <c r="AL1308" t="n">
        <v>1</v>
      </c>
      <c r="AM1308" t="n">
        <v>3</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HYPERLINK("https://creighton-primo.hosted.exlibrisgroup.com/primo-explore/search?tab=default_tab&amp;search_scope=EVERYTHING&amp;vid=01CRU&amp;lang=en_US&amp;offset=0&amp;query=any,contains,991002767739702656","Catalog Record")</f>
        <v/>
      </c>
      <c r="AT1308">
        <f>HYPERLINK("http://www.worldcat.org/oclc/36315986","WorldCat Record")</f>
        <v/>
      </c>
      <c r="AU1308" t="inlineStr">
        <is>
          <t>626606:eng</t>
        </is>
      </c>
      <c r="AV1308" t="inlineStr">
        <is>
          <t>36315986</t>
        </is>
      </c>
      <c r="AW1308" t="inlineStr">
        <is>
          <t>991002767739702656</t>
        </is>
      </c>
      <c r="AX1308" t="inlineStr">
        <is>
          <t>991002767739702656</t>
        </is>
      </c>
      <c r="AY1308" t="inlineStr">
        <is>
          <t>2264963810002656</t>
        </is>
      </c>
      <c r="AZ1308" t="inlineStr">
        <is>
          <t>BOOK</t>
        </is>
      </c>
      <c r="BB1308" t="inlineStr">
        <is>
          <t>9781900639194</t>
        </is>
      </c>
      <c r="BC1308" t="inlineStr">
        <is>
          <t>32285003546354</t>
        </is>
      </c>
      <c r="BD1308" t="inlineStr">
        <is>
          <t>893899206</t>
        </is>
      </c>
    </row>
    <row r="1309">
      <c r="A1309" t="inlineStr">
        <is>
          <t>No</t>
        </is>
      </c>
      <c r="B1309" t="inlineStr">
        <is>
          <t>DG734.23 .M38 1997</t>
        </is>
      </c>
      <c r="C1309" t="inlineStr">
        <is>
          <t>0                      DG 0734230M  38          1997</t>
        </is>
      </c>
      <c r="D1309" t="inlineStr">
        <is>
          <t>Under the Tuscan sun : at home in Italy / Frances Mayes.</t>
        </is>
      </c>
      <c r="F1309" t="inlineStr">
        <is>
          <t>No</t>
        </is>
      </c>
      <c r="G1309" t="inlineStr">
        <is>
          <t>1</t>
        </is>
      </c>
      <c r="H1309" t="inlineStr">
        <is>
          <t>No</t>
        </is>
      </c>
      <c r="I1309" t="inlineStr">
        <is>
          <t>No</t>
        </is>
      </c>
      <c r="J1309" t="inlineStr">
        <is>
          <t>0</t>
        </is>
      </c>
      <c r="K1309" t="inlineStr">
        <is>
          <t>Mayes, Frances.</t>
        </is>
      </c>
      <c r="L1309" t="inlineStr">
        <is>
          <t>New York : Broadway Books, 1997.</t>
        </is>
      </c>
      <c r="M1309" t="inlineStr">
        <is>
          <t>1997</t>
        </is>
      </c>
      <c r="N1309" t="inlineStr">
        <is>
          <t>1st Broadway Books trade pbk. ed.</t>
        </is>
      </c>
      <c r="O1309" t="inlineStr">
        <is>
          <t>eng</t>
        </is>
      </c>
      <c r="P1309" t="inlineStr">
        <is>
          <t>nyu</t>
        </is>
      </c>
      <c r="R1309" t="inlineStr">
        <is>
          <t xml:space="preserve">DG </t>
        </is>
      </c>
      <c r="S1309" t="n">
        <v>6</v>
      </c>
      <c r="T1309" t="n">
        <v>6</v>
      </c>
      <c r="U1309" t="inlineStr">
        <is>
          <t>2008-07-30</t>
        </is>
      </c>
      <c r="V1309" t="inlineStr">
        <is>
          <t>2008-07-30</t>
        </is>
      </c>
      <c r="W1309" t="inlineStr">
        <is>
          <t>2005-04-13</t>
        </is>
      </c>
      <c r="X1309" t="inlineStr">
        <is>
          <t>2005-04-13</t>
        </is>
      </c>
      <c r="Y1309" t="n">
        <v>1462</v>
      </c>
      <c r="Z1309" t="n">
        <v>1324</v>
      </c>
      <c r="AA1309" t="n">
        <v>2927</v>
      </c>
      <c r="AB1309" t="n">
        <v>16</v>
      </c>
      <c r="AC1309" t="n">
        <v>33</v>
      </c>
      <c r="AD1309" t="n">
        <v>15</v>
      </c>
      <c r="AE1309" t="n">
        <v>27</v>
      </c>
      <c r="AF1309" t="n">
        <v>3</v>
      </c>
      <c r="AG1309" t="n">
        <v>7</v>
      </c>
      <c r="AH1309" t="n">
        <v>3</v>
      </c>
      <c r="AI1309" t="n">
        <v>7</v>
      </c>
      <c r="AJ1309" t="n">
        <v>7</v>
      </c>
      <c r="AK1309" t="n">
        <v>14</v>
      </c>
      <c r="AL1309" t="n">
        <v>4</v>
      </c>
      <c r="AM1309" t="n">
        <v>4</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HYPERLINK("https://creighton-primo.hosted.exlibrisgroup.com/primo-explore/search?tab=default_tab&amp;search_scope=EVERYTHING&amp;vid=01CRU&amp;lang=en_US&amp;offset=0&amp;query=any,contains,991004528939702656","Catalog Record")</f>
        <v/>
      </c>
      <c r="AT1309">
        <f>HYPERLINK("http://www.worldcat.org/oclc/36824939","WorldCat Record")</f>
        <v/>
      </c>
      <c r="AU1309" t="inlineStr">
        <is>
          <t>2288013964:eng</t>
        </is>
      </c>
      <c r="AV1309" t="inlineStr">
        <is>
          <t>36824939</t>
        </is>
      </c>
      <c r="AW1309" t="inlineStr">
        <is>
          <t>991004528939702656</t>
        </is>
      </c>
      <c r="AX1309" t="inlineStr">
        <is>
          <t>991004528939702656</t>
        </is>
      </c>
      <c r="AY1309" t="inlineStr">
        <is>
          <t>2270501440002656</t>
        </is>
      </c>
      <c r="AZ1309" t="inlineStr">
        <is>
          <t>BOOK</t>
        </is>
      </c>
      <c r="BB1309" t="inlineStr">
        <is>
          <t>9780767900386</t>
        </is>
      </c>
      <c r="BC1309" t="inlineStr">
        <is>
          <t>32285005030712</t>
        </is>
      </c>
      <c r="BD1309" t="inlineStr">
        <is>
          <t>893624822</t>
        </is>
      </c>
    </row>
    <row r="1310">
      <c r="A1310" t="inlineStr">
        <is>
          <t>No</t>
        </is>
      </c>
      <c r="B1310" t="inlineStr">
        <is>
          <t>DG735.6 .A33 1993</t>
        </is>
      </c>
      <c r="C1310" t="inlineStr">
        <is>
          <t>0                      DG 0735600A  33          1993</t>
        </is>
      </c>
      <c r="D1310" t="inlineStr">
        <is>
          <t>Avant-garde Florence : from modernism to fascism / Walter L. Adamson.</t>
        </is>
      </c>
      <c r="F1310" t="inlineStr">
        <is>
          <t>No</t>
        </is>
      </c>
      <c r="G1310" t="inlineStr">
        <is>
          <t>1</t>
        </is>
      </c>
      <c r="H1310" t="inlineStr">
        <is>
          <t>No</t>
        </is>
      </c>
      <c r="I1310" t="inlineStr">
        <is>
          <t>No</t>
        </is>
      </c>
      <c r="J1310" t="inlineStr">
        <is>
          <t>0</t>
        </is>
      </c>
      <c r="K1310" t="inlineStr">
        <is>
          <t>Adamson, Walter L.</t>
        </is>
      </c>
      <c r="L1310" t="inlineStr">
        <is>
          <t>Cambridge, Mass. : Harvard University Press, 1993.</t>
        </is>
      </c>
      <c r="M1310" t="inlineStr">
        <is>
          <t>1993</t>
        </is>
      </c>
      <c r="O1310" t="inlineStr">
        <is>
          <t>eng</t>
        </is>
      </c>
      <c r="P1310" t="inlineStr">
        <is>
          <t>mau</t>
        </is>
      </c>
      <c r="Q1310" t="inlineStr">
        <is>
          <t>Studies in cultural history</t>
        </is>
      </c>
      <c r="R1310" t="inlineStr">
        <is>
          <t xml:space="preserve">DG </t>
        </is>
      </c>
      <c r="S1310" t="n">
        <v>2</v>
      </c>
      <c r="T1310" t="n">
        <v>2</v>
      </c>
      <c r="U1310" t="inlineStr">
        <is>
          <t>1994-07-13</t>
        </is>
      </c>
      <c r="V1310" t="inlineStr">
        <is>
          <t>1994-07-13</t>
        </is>
      </c>
      <c r="W1310" t="inlineStr">
        <is>
          <t>1994-04-14</t>
        </is>
      </c>
      <c r="X1310" t="inlineStr">
        <is>
          <t>1994-04-14</t>
        </is>
      </c>
      <c r="Y1310" t="n">
        <v>420</v>
      </c>
      <c r="Z1310" t="n">
        <v>320</v>
      </c>
      <c r="AA1310" t="n">
        <v>486</v>
      </c>
      <c r="AB1310" t="n">
        <v>4</v>
      </c>
      <c r="AC1310" t="n">
        <v>5</v>
      </c>
      <c r="AD1310" t="n">
        <v>23</v>
      </c>
      <c r="AE1310" t="n">
        <v>32</v>
      </c>
      <c r="AF1310" t="n">
        <v>6</v>
      </c>
      <c r="AG1310" t="n">
        <v>11</v>
      </c>
      <c r="AH1310" t="n">
        <v>7</v>
      </c>
      <c r="AI1310" t="n">
        <v>9</v>
      </c>
      <c r="AJ1310" t="n">
        <v>14</v>
      </c>
      <c r="AK1310" t="n">
        <v>17</v>
      </c>
      <c r="AL1310" t="n">
        <v>3</v>
      </c>
      <c r="AM1310" t="n">
        <v>4</v>
      </c>
      <c r="AN1310" t="n">
        <v>0</v>
      </c>
      <c r="AO1310" t="n">
        <v>0</v>
      </c>
      <c r="AP1310" t="inlineStr">
        <is>
          <t>No</t>
        </is>
      </c>
      <c r="AQ1310" t="inlineStr">
        <is>
          <t>Yes</t>
        </is>
      </c>
      <c r="AR1310">
        <f>HYPERLINK("http://catalog.hathitrust.org/Record/002809941","HathiTrust Record")</f>
        <v/>
      </c>
      <c r="AS1310">
        <f>HYPERLINK("https://creighton-primo.hosted.exlibrisgroup.com/primo-explore/search?tab=default_tab&amp;search_scope=EVERYTHING&amp;vid=01CRU&amp;lang=en_US&amp;offset=0&amp;query=any,contains,991002179609702656","Catalog Record")</f>
        <v/>
      </c>
      <c r="AT1310">
        <f>HYPERLINK("http://www.worldcat.org/oclc/28064603","WorldCat Record")</f>
        <v/>
      </c>
      <c r="AU1310" t="inlineStr">
        <is>
          <t>346403:eng</t>
        </is>
      </c>
      <c r="AV1310" t="inlineStr">
        <is>
          <t>28064603</t>
        </is>
      </c>
      <c r="AW1310" t="inlineStr">
        <is>
          <t>991002179609702656</t>
        </is>
      </c>
      <c r="AX1310" t="inlineStr">
        <is>
          <t>991002179609702656</t>
        </is>
      </c>
      <c r="AY1310" t="inlineStr">
        <is>
          <t>2254816890002656</t>
        </is>
      </c>
      <c r="AZ1310" t="inlineStr">
        <is>
          <t>BOOK</t>
        </is>
      </c>
      <c r="BB1310" t="inlineStr">
        <is>
          <t>9780674055254</t>
        </is>
      </c>
      <c r="BC1310" t="inlineStr">
        <is>
          <t>32285001875037</t>
        </is>
      </c>
      <c r="BD1310" t="inlineStr">
        <is>
          <t>893621995</t>
        </is>
      </c>
    </row>
    <row r="1311">
      <c r="A1311" t="inlineStr">
        <is>
          <t>No</t>
        </is>
      </c>
      <c r="B1311" t="inlineStr">
        <is>
          <t>DG735.6 .H6 1969a</t>
        </is>
      </c>
      <c r="C1311" t="inlineStr">
        <is>
          <t>0                      DG 0735600H  6           1969a</t>
        </is>
      </c>
      <c r="D1311" t="inlineStr">
        <is>
          <t>The Florentine enlightenment, 1400-50 / [by] George Holmes.</t>
        </is>
      </c>
      <c r="F1311" t="inlineStr">
        <is>
          <t>No</t>
        </is>
      </c>
      <c r="G1311" t="inlineStr">
        <is>
          <t>1</t>
        </is>
      </c>
      <c r="H1311" t="inlineStr">
        <is>
          <t>No</t>
        </is>
      </c>
      <c r="I1311" t="inlineStr">
        <is>
          <t>No</t>
        </is>
      </c>
      <c r="J1311" t="inlineStr">
        <is>
          <t>0</t>
        </is>
      </c>
      <c r="K1311" t="inlineStr">
        <is>
          <t>Holmes, George, 1927-2009.</t>
        </is>
      </c>
      <c r="L1311" t="inlineStr">
        <is>
          <t>New York : Pegasus, [c1969]</t>
        </is>
      </c>
      <c r="M1311" t="inlineStr">
        <is>
          <t>1969</t>
        </is>
      </c>
      <c r="O1311" t="inlineStr">
        <is>
          <t>eng</t>
        </is>
      </c>
      <c r="P1311" t="inlineStr">
        <is>
          <t>___</t>
        </is>
      </c>
      <c r="R1311" t="inlineStr">
        <is>
          <t xml:space="preserve">DG </t>
        </is>
      </c>
      <c r="S1311" t="n">
        <v>2</v>
      </c>
      <c r="T1311" t="n">
        <v>2</v>
      </c>
      <c r="U1311" t="inlineStr">
        <is>
          <t>1998-11-22</t>
        </is>
      </c>
      <c r="V1311" t="inlineStr">
        <is>
          <t>1998-11-22</t>
        </is>
      </c>
      <c r="W1311" t="inlineStr">
        <is>
          <t>1991-04-23</t>
        </is>
      </c>
      <c r="X1311" t="inlineStr">
        <is>
          <t>1991-04-23</t>
        </is>
      </c>
      <c r="Y1311" t="n">
        <v>465</v>
      </c>
      <c r="Z1311" t="n">
        <v>432</v>
      </c>
      <c r="AA1311" t="n">
        <v>655</v>
      </c>
      <c r="AB1311" t="n">
        <v>5</v>
      </c>
      <c r="AC1311" t="n">
        <v>7</v>
      </c>
      <c r="AD1311" t="n">
        <v>22</v>
      </c>
      <c r="AE1311" t="n">
        <v>35</v>
      </c>
      <c r="AF1311" t="n">
        <v>8</v>
      </c>
      <c r="AG1311" t="n">
        <v>12</v>
      </c>
      <c r="AH1311" t="n">
        <v>4</v>
      </c>
      <c r="AI1311" t="n">
        <v>9</v>
      </c>
      <c r="AJ1311" t="n">
        <v>10</v>
      </c>
      <c r="AK1311" t="n">
        <v>17</v>
      </c>
      <c r="AL1311" t="n">
        <v>3</v>
      </c>
      <c r="AM1311" t="n">
        <v>5</v>
      </c>
      <c r="AN1311" t="n">
        <v>0</v>
      </c>
      <c r="AO1311" t="n">
        <v>0</v>
      </c>
      <c r="AP1311" t="inlineStr">
        <is>
          <t>No</t>
        </is>
      </c>
      <c r="AQ1311" t="inlineStr">
        <is>
          <t>Yes</t>
        </is>
      </c>
      <c r="AR1311">
        <f>HYPERLINK("http://catalog.hathitrust.org/Record/000351551","HathiTrust Record")</f>
        <v/>
      </c>
      <c r="AS1311">
        <f>HYPERLINK("https://creighton-primo.hosted.exlibrisgroup.com/primo-explore/search?tab=default_tab&amp;search_scope=EVERYTHING&amp;vid=01CRU&amp;lang=en_US&amp;offset=0&amp;query=any,contains,991003391339702656","Catalog Record")</f>
        <v/>
      </c>
      <c r="AT1311">
        <f>HYPERLINK("http://www.worldcat.org/oclc/824546","WorldCat Record")</f>
        <v/>
      </c>
      <c r="AU1311" t="inlineStr">
        <is>
          <t>4915652812:eng</t>
        </is>
      </c>
      <c r="AV1311" t="inlineStr">
        <is>
          <t>824546</t>
        </is>
      </c>
      <c r="AW1311" t="inlineStr">
        <is>
          <t>991003391339702656</t>
        </is>
      </c>
      <c r="AX1311" t="inlineStr">
        <is>
          <t>991003391339702656</t>
        </is>
      </c>
      <c r="AY1311" t="inlineStr">
        <is>
          <t>2267996510002656</t>
        </is>
      </c>
      <c r="AZ1311" t="inlineStr">
        <is>
          <t>BOOK</t>
        </is>
      </c>
      <c r="BC1311" t="inlineStr">
        <is>
          <t>32285000522291</t>
        </is>
      </c>
      <c r="BD1311" t="inlineStr">
        <is>
          <t>893445642</t>
        </is>
      </c>
    </row>
    <row r="1312">
      <c r="A1312" t="inlineStr">
        <is>
          <t>No</t>
        </is>
      </c>
      <c r="B1312" t="inlineStr">
        <is>
          <t>DG735.6 .R46 2008</t>
        </is>
      </c>
      <c r="C1312" t="inlineStr">
        <is>
          <t>0                      DG 0735600R  46          2008</t>
        </is>
      </c>
      <c r="D1312" t="inlineStr">
        <is>
          <t>Renaissance Florence : a social history / edited by Roger J. Crum, John T. Paoletti.</t>
        </is>
      </c>
      <c r="F1312" t="inlineStr">
        <is>
          <t>No</t>
        </is>
      </c>
      <c r="G1312" t="inlineStr">
        <is>
          <t>1</t>
        </is>
      </c>
      <c r="H1312" t="inlineStr">
        <is>
          <t>No</t>
        </is>
      </c>
      <c r="I1312" t="inlineStr">
        <is>
          <t>No</t>
        </is>
      </c>
      <c r="J1312" t="inlineStr">
        <is>
          <t>0</t>
        </is>
      </c>
      <c r="L1312" t="inlineStr">
        <is>
          <t>New York : Cambridge University Press, 2008, c2006.</t>
        </is>
      </c>
      <c r="M1312" t="inlineStr">
        <is>
          <t>2008</t>
        </is>
      </c>
      <c r="N1312" t="inlineStr">
        <is>
          <t>1st pbk. ed.</t>
        </is>
      </c>
      <c r="O1312" t="inlineStr">
        <is>
          <t>eng</t>
        </is>
      </c>
      <c r="P1312" t="inlineStr">
        <is>
          <t>nyu</t>
        </is>
      </c>
      <c r="R1312" t="inlineStr">
        <is>
          <t xml:space="preserve">DG </t>
        </is>
      </c>
      <c r="S1312" t="n">
        <v>2</v>
      </c>
      <c r="T1312" t="n">
        <v>2</v>
      </c>
      <c r="U1312" t="inlineStr">
        <is>
          <t>2009-04-20</t>
        </is>
      </c>
      <c r="V1312" t="inlineStr">
        <is>
          <t>2009-04-20</t>
        </is>
      </c>
      <c r="W1312" t="inlineStr">
        <is>
          <t>2009-04-20</t>
        </is>
      </c>
      <c r="X1312" t="inlineStr">
        <is>
          <t>2009-04-20</t>
        </is>
      </c>
      <c r="Y1312" t="n">
        <v>370</v>
      </c>
      <c r="Z1312" t="n">
        <v>266</v>
      </c>
      <c r="AA1312" t="n">
        <v>306</v>
      </c>
      <c r="AB1312" t="n">
        <v>3</v>
      </c>
      <c r="AC1312" t="n">
        <v>4</v>
      </c>
      <c r="AD1312" t="n">
        <v>20</v>
      </c>
      <c r="AE1312" t="n">
        <v>22</v>
      </c>
      <c r="AF1312" t="n">
        <v>7</v>
      </c>
      <c r="AG1312" t="n">
        <v>7</v>
      </c>
      <c r="AH1312" t="n">
        <v>7</v>
      </c>
      <c r="AI1312" t="n">
        <v>8</v>
      </c>
      <c r="AJ1312" t="n">
        <v>10</v>
      </c>
      <c r="AK1312" t="n">
        <v>11</v>
      </c>
      <c r="AL1312" t="n">
        <v>2</v>
      </c>
      <c r="AM1312" t="n">
        <v>3</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HYPERLINK("https://creighton-primo.hosted.exlibrisgroup.com/primo-explore/search?tab=default_tab&amp;search_scope=EVERYTHING&amp;vid=01CRU&amp;lang=en_US&amp;offset=0&amp;query=any,contains,991005306349702656","Catalog Record")</f>
        <v/>
      </c>
      <c r="AT1312">
        <f>HYPERLINK("http://www.worldcat.org/oclc/60651170","WorldCat Record")</f>
        <v/>
      </c>
      <c r="AU1312" t="inlineStr">
        <is>
          <t>900817566:eng</t>
        </is>
      </c>
      <c r="AV1312" t="inlineStr">
        <is>
          <t>60651170</t>
        </is>
      </c>
      <c r="AW1312" t="inlineStr">
        <is>
          <t>991005306349702656</t>
        </is>
      </c>
      <c r="AX1312" t="inlineStr">
        <is>
          <t>991005306349702656</t>
        </is>
      </c>
      <c r="AY1312" t="inlineStr">
        <is>
          <t>2261715100002656</t>
        </is>
      </c>
      <c r="AZ1312" t="inlineStr">
        <is>
          <t>BOOK</t>
        </is>
      </c>
      <c r="BB1312" t="inlineStr">
        <is>
          <t>9780521727877</t>
        </is>
      </c>
      <c r="BC1312" t="inlineStr">
        <is>
          <t>32285005516827</t>
        </is>
      </c>
      <c r="BD1312" t="inlineStr">
        <is>
          <t>893707622</t>
        </is>
      </c>
    </row>
    <row r="1313">
      <c r="A1313" t="inlineStr">
        <is>
          <t>No</t>
        </is>
      </c>
      <c r="B1313" t="inlineStr">
        <is>
          <t>DG736 .L49 1995</t>
        </is>
      </c>
      <c r="C1313" t="inlineStr">
        <is>
          <t>0                      DG 0736000L  49          1995</t>
        </is>
      </c>
      <c r="D1313" t="inlineStr">
        <is>
          <t>The city of Florence : historical vistas and personal sightings / R.W.B. Lewis.</t>
        </is>
      </c>
      <c r="F1313" t="inlineStr">
        <is>
          <t>No</t>
        </is>
      </c>
      <c r="G1313" t="inlineStr">
        <is>
          <t>1</t>
        </is>
      </c>
      <c r="H1313" t="inlineStr">
        <is>
          <t>No</t>
        </is>
      </c>
      <c r="I1313" t="inlineStr">
        <is>
          <t>No</t>
        </is>
      </c>
      <c r="J1313" t="inlineStr">
        <is>
          <t>0</t>
        </is>
      </c>
      <c r="K1313" t="inlineStr">
        <is>
          <t>Lewis, R. W. B. (Richard Warrington Baldwin)</t>
        </is>
      </c>
      <c r="L1313" t="inlineStr">
        <is>
          <t>New York : Farrar, Straus, and Giroux, 1995.</t>
        </is>
      </c>
      <c r="M1313" t="inlineStr">
        <is>
          <t>1995</t>
        </is>
      </c>
      <c r="N1313" t="inlineStr">
        <is>
          <t>1st ed.</t>
        </is>
      </c>
      <c r="O1313" t="inlineStr">
        <is>
          <t>eng</t>
        </is>
      </c>
      <c r="P1313" t="inlineStr">
        <is>
          <t>nyu</t>
        </is>
      </c>
      <c r="R1313" t="inlineStr">
        <is>
          <t xml:space="preserve">DG </t>
        </is>
      </c>
      <c r="S1313" t="n">
        <v>1</v>
      </c>
      <c r="T1313" t="n">
        <v>1</v>
      </c>
      <c r="U1313" t="inlineStr">
        <is>
          <t>2010-07-15</t>
        </is>
      </c>
      <c r="V1313" t="inlineStr">
        <is>
          <t>2010-07-15</t>
        </is>
      </c>
      <c r="W1313" t="inlineStr">
        <is>
          <t>2010-07-15</t>
        </is>
      </c>
      <c r="X1313" t="inlineStr">
        <is>
          <t>2010-07-15</t>
        </is>
      </c>
      <c r="Y1313" t="n">
        <v>700</v>
      </c>
      <c r="Z1313" t="n">
        <v>663</v>
      </c>
      <c r="AA1313" t="n">
        <v>769</v>
      </c>
      <c r="AB1313" t="n">
        <v>4</v>
      </c>
      <c r="AC1313" t="n">
        <v>4</v>
      </c>
      <c r="AD1313" t="n">
        <v>20</v>
      </c>
      <c r="AE1313" t="n">
        <v>24</v>
      </c>
      <c r="AF1313" t="n">
        <v>5</v>
      </c>
      <c r="AG1313" t="n">
        <v>7</v>
      </c>
      <c r="AH1313" t="n">
        <v>6</v>
      </c>
      <c r="AI1313" t="n">
        <v>7</v>
      </c>
      <c r="AJ1313" t="n">
        <v>12</v>
      </c>
      <c r="AK1313" t="n">
        <v>15</v>
      </c>
      <c r="AL1313" t="n">
        <v>2</v>
      </c>
      <c r="AM1313" t="n">
        <v>2</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HYPERLINK("https://creighton-primo.hosted.exlibrisgroup.com/primo-explore/search?tab=default_tab&amp;search_scope=EVERYTHING&amp;vid=01CRU&amp;lang=en_US&amp;offset=0&amp;query=any,contains,991000028459702656","Catalog Record")</f>
        <v/>
      </c>
      <c r="AT1313">
        <f>HYPERLINK("http://www.worldcat.org/oclc/30510562","WorldCat Record")</f>
        <v/>
      </c>
      <c r="AU1313" t="inlineStr">
        <is>
          <t>26148487:eng</t>
        </is>
      </c>
      <c r="AV1313" t="inlineStr">
        <is>
          <t>30510562</t>
        </is>
      </c>
      <c r="AW1313" t="inlineStr">
        <is>
          <t>991000028459702656</t>
        </is>
      </c>
      <c r="AX1313" t="inlineStr">
        <is>
          <t>991000028459702656</t>
        </is>
      </c>
      <c r="AY1313" t="inlineStr">
        <is>
          <t>2254725910002656</t>
        </is>
      </c>
      <c r="AZ1313" t="inlineStr">
        <is>
          <t>BOOK</t>
        </is>
      </c>
      <c r="BB1313" t="inlineStr">
        <is>
          <t>9780374124045</t>
        </is>
      </c>
      <c r="BC1313" t="inlineStr">
        <is>
          <t>32285005590269</t>
        </is>
      </c>
      <c r="BD1313" t="inlineStr">
        <is>
          <t>893514936</t>
        </is>
      </c>
    </row>
    <row r="1314">
      <c r="A1314" t="inlineStr">
        <is>
          <t>No</t>
        </is>
      </c>
      <c r="B1314" t="inlineStr">
        <is>
          <t>DG736 .S3</t>
        </is>
      </c>
      <c r="C1314" t="inlineStr">
        <is>
          <t>0                      DG 0736000S  3</t>
        </is>
      </c>
      <c r="D1314" t="inlineStr">
        <is>
          <t>History of Florence from the founding of the city through the Renaissance / by Ferdinand Schevill.</t>
        </is>
      </c>
      <c r="F1314" t="inlineStr">
        <is>
          <t>No</t>
        </is>
      </c>
      <c r="G1314" t="inlineStr">
        <is>
          <t>1</t>
        </is>
      </c>
      <c r="H1314" t="inlineStr">
        <is>
          <t>No</t>
        </is>
      </c>
      <c r="I1314" t="inlineStr">
        <is>
          <t>No</t>
        </is>
      </c>
      <c r="J1314" t="inlineStr">
        <is>
          <t>0</t>
        </is>
      </c>
      <c r="K1314" t="inlineStr">
        <is>
          <t>Schevill, Ferdinand, 1868-1954.</t>
        </is>
      </c>
      <c r="L1314" t="inlineStr">
        <is>
          <t>New York : Harcourt, Brace and Company, [c1936]</t>
        </is>
      </c>
      <c r="M1314" t="inlineStr">
        <is>
          <t>1936</t>
        </is>
      </c>
      <c r="O1314" t="inlineStr">
        <is>
          <t>eng</t>
        </is>
      </c>
      <c r="P1314" t="inlineStr">
        <is>
          <t>nyu</t>
        </is>
      </c>
      <c r="R1314" t="inlineStr">
        <is>
          <t xml:space="preserve">DG </t>
        </is>
      </c>
      <c r="S1314" t="n">
        <v>3</v>
      </c>
      <c r="T1314" t="n">
        <v>3</v>
      </c>
      <c r="U1314" t="inlineStr">
        <is>
          <t>2006-03-15</t>
        </is>
      </c>
      <c r="V1314" t="inlineStr">
        <is>
          <t>2006-03-15</t>
        </is>
      </c>
      <c r="W1314" t="inlineStr">
        <is>
          <t>1994-11-29</t>
        </is>
      </c>
      <c r="X1314" t="inlineStr">
        <is>
          <t>1994-11-29</t>
        </is>
      </c>
      <c r="Y1314" t="n">
        <v>378</v>
      </c>
      <c r="Z1314" t="n">
        <v>355</v>
      </c>
      <c r="AA1314" t="n">
        <v>1027</v>
      </c>
      <c r="AB1314" t="n">
        <v>7</v>
      </c>
      <c r="AC1314" t="n">
        <v>10</v>
      </c>
      <c r="AD1314" t="n">
        <v>19</v>
      </c>
      <c r="AE1314" t="n">
        <v>48</v>
      </c>
      <c r="AF1314" t="n">
        <v>6</v>
      </c>
      <c r="AG1314" t="n">
        <v>20</v>
      </c>
      <c r="AH1314" t="n">
        <v>5</v>
      </c>
      <c r="AI1314" t="n">
        <v>11</v>
      </c>
      <c r="AJ1314" t="n">
        <v>5</v>
      </c>
      <c r="AK1314" t="n">
        <v>20</v>
      </c>
      <c r="AL1314" t="n">
        <v>6</v>
      </c>
      <c r="AM1314" t="n">
        <v>9</v>
      </c>
      <c r="AN1314" t="n">
        <v>0</v>
      </c>
      <c r="AO1314" t="n">
        <v>0</v>
      </c>
      <c r="AP1314" t="inlineStr">
        <is>
          <t>No</t>
        </is>
      </c>
      <c r="AQ1314" t="inlineStr">
        <is>
          <t>Yes</t>
        </is>
      </c>
      <c r="AR1314">
        <f>HYPERLINK("http://catalog.hathitrust.org/Record/000376666","HathiTrust Record")</f>
        <v/>
      </c>
      <c r="AS1314">
        <f>HYPERLINK("https://creighton-primo.hosted.exlibrisgroup.com/primo-explore/search?tab=default_tab&amp;search_scope=EVERYTHING&amp;vid=01CRU&amp;lang=en_US&amp;offset=0&amp;query=any,contains,991003340199702656","Catalog Record")</f>
        <v/>
      </c>
      <c r="AT1314">
        <f>HYPERLINK("http://www.worldcat.org/oclc/870871","WorldCat Record")</f>
        <v/>
      </c>
      <c r="AU1314" t="inlineStr">
        <is>
          <t>1841792:eng</t>
        </is>
      </c>
      <c r="AV1314" t="inlineStr">
        <is>
          <t>870871</t>
        </is>
      </c>
      <c r="AW1314" t="inlineStr">
        <is>
          <t>991003340199702656</t>
        </is>
      </c>
      <c r="AX1314" t="inlineStr">
        <is>
          <t>991003340199702656</t>
        </is>
      </c>
      <c r="AY1314" t="inlineStr">
        <is>
          <t>2260183700002656</t>
        </is>
      </c>
      <c r="AZ1314" t="inlineStr">
        <is>
          <t>BOOK</t>
        </is>
      </c>
      <c r="BC1314" t="inlineStr">
        <is>
          <t>32285001968964</t>
        </is>
      </c>
      <c r="BD1314" t="inlineStr">
        <is>
          <t>893721907</t>
        </is>
      </c>
    </row>
    <row r="1315">
      <c r="A1315" t="inlineStr">
        <is>
          <t>No</t>
        </is>
      </c>
      <c r="B1315" t="inlineStr">
        <is>
          <t>DG736.3 .M3313 1988</t>
        </is>
      </c>
      <c r="C1315" t="inlineStr">
        <is>
          <t>0                      DG 0736300M  3313        1988</t>
        </is>
      </c>
      <c r="D1315" t="inlineStr">
        <is>
          <t>Florentine histories / by Niccolò Machiavelli ; a new translation by Laura F. Banfield and Harvey C. Mansfield, Jr. ; with an introduction by Harvey C. Mansfield, Jr.</t>
        </is>
      </c>
      <c r="F1315" t="inlineStr">
        <is>
          <t>No</t>
        </is>
      </c>
      <c r="G1315" t="inlineStr">
        <is>
          <t>1</t>
        </is>
      </c>
      <c r="H1315" t="inlineStr">
        <is>
          <t>No</t>
        </is>
      </c>
      <c r="I1315" t="inlineStr">
        <is>
          <t>No</t>
        </is>
      </c>
      <c r="J1315" t="inlineStr">
        <is>
          <t>0</t>
        </is>
      </c>
      <c r="K1315" t="inlineStr">
        <is>
          <t>Machiavelli, Niccolò, 1469-1527.</t>
        </is>
      </c>
      <c r="L1315" t="inlineStr">
        <is>
          <t>Princeton, N.J. : Princeton University Press, c1988.</t>
        </is>
      </c>
      <c r="M1315" t="inlineStr">
        <is>
          <t>1988</t>
        </is>
      </c>
      <c r="O1315" t="inlineStr">
        <is>
          <t>eng</t>
        </is>
      </c>
      <c r="P1315" t="inlineStr">
        <is>
          <t>nju</t>
        </is>
      </c>
      <c r="R1315" t="inlineStr">
        <is>
          <t xml:space="preserve">DG </t>
        </is>
      </c>
      <c r="S1315" t="n">
        <v>1</v>
      </c>
      <c r="T1315" t="n">
        <v>1</v>
      </c>
      <c r="U1315" t="inlineStr">
        <is>
          <t>2009-05-19</t>
        </is>
      </c>
      <c r="V1315" t="inlineStr">
        <is>
          <t>2009-05-19</t>
        </is>
      </c>
      <c r="W1315" t="inlineStr">
        <is>
          <t>2009-05-19</t>
        </is>
      </c>
      <c r="X1315" t="inlineStr">
        <is>
          <t>2009-05-19</t>
        </is>
      </c>
      <c r="Y1315" t="n">
        <v>575</v>
      </c>
      <c r="Z1315" t="n">
        <v>457</v>
      </c>
      <c r="AA1315" t="n">
        <v>631</v>
      </c>
      <c r="AB1315" t="n">
        <v>4</v>
      </c>
      <c r="AC1315" t="n">
        <v>4</v>
      </c>
      <c r="AD1315" t="n">
        <v>25</v>
      </c>
      <c r="AE1315" t="n">
        <v>33</v>
      </c>
      <c r="AF1315" t="n">
        <v>6</v>
      </c>
      <c r="AG1315" t="n">
        <v>13</v>
      </c>
      <c r="AH1315" t="n">
        <v>7</v>
      </c>
      <c r="AI1315" t="n">
        <v>9</v>
      </c>
      <c r="AJ1315" t="n">
        <v>16</v>
      </c>
      <c r="AK1315" t="n">
        <v>19</v>
      </c>
      <c r="AL1315" t="n">
        <v>3</v>
      </c>
      <c r="AM1315" t="n">
        <v>3</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HYPERLINK("https://creighton-primo.hosted.exlibrisgroup.com/primo-explore/search?tab=default_tab&amp;search_scope=EVERYTHING&amp;vid=01CRU&amp;lang=en_US&amp;offset=0&amp;query=any,contains,991005316499702656","Catalog Record")</f>
        <v/>
      </c>
      <c r="AT1315">
        <f>HYPERLINK("http://www.worldcat.org/oclc/17385241","WorldCat Record")</f>
        <v/>
      </c>
      <c r="AU1315" t="inlineStr">
        <is>
          <t>5342690275:eng</t>
        </is>
      </c>
      <c r="AV1315" t="inlineStr">
        <is>
          <t>17385241</t>
        </is>
      </c>
      <c r="AW1315" t="inlineStr">
        <is>
          <t>991005316499702656</t>
        </is>
      </c>
      <c r="AX1315" t="inlineStr">
        <is>
          <t>991005316499702656</t>
        </is>
      </c>
      <c r="AY1315" t="inlineStr">
        <is>
          <t>2272009130002656</t>
        </is>
      </c>
      <c r="AZ1315" t="inlineStr">
        <is>
          <t>BOOK</t>
        </is>
      </c>
      <c r="BB1315" t="inlineStr">
        <is>
          <t>9780691055213</t>
        </is>
      </c>
      <c r="BC1315" t="inlineStr">
        <is>
          <t>32285005532378</t>
        </is>
      </c>
      <c r="BD1315" t="inlineStr">
        <is>
          <t>893431223</t>
        </is>
      </c>
    </row>
    <row r="1316">
      <c r="A1316" t="inlineStr">
        <is>
          <t>No</t>
        </is>
      </c>
      <c r="B1316" t="inlineStr">
        <is>
          <t>DG737 .O47</t>
        </is>
      </c>
      <c r="C1316" t="inlineStr">
        <is>
          <t>0                      DG 0737000O  47</t>
        </is>
      </c>
      <c r="D1316" t="inlineStr">
        <is>
          <t>The makers of Florence; Dante, Giotto, Savonarola, and their city, by Mrs. Oliphant. With portrait of Savonarola engraved by C.H. Jeens and illustrations from drawings by Professor Delamotte.</t>
        </is>
      </c>
      <c r="F1316" t="inlineStr">
        <is>
          <t>No</t>
        </is>
      </c>
      <c r="G1316" t="inlineStr">
        <is>
          <t>1</t>
        </is>
      </c>
      <c r="H1316" t="inlineStr">
        <is>
          <t>No</t>
        </is>
      </c>
      <c r="I1316" t="inlineStr">
        <is>
          <t>No</t>
        </is>
      </c>
      <c r="J1316" t="inlineStr">
        <is>
          <t>0</t>
        </is>
      </c>
      <c r="K1316" t="inlineStr">
        <is>
          <t>Oliphant, Mrs. (Margaret), 1828-1897.</t>
        </is>
      </c>
      <c r="L1316" t="inlineStr">
        <is>
          <t>London, New York, Macmillan, 1897.</t>
        </is>
      </c>
      <c r="M1316" t="inlineStr">
        <is>
          <t>1897</t>
        </is>
      </c>
      <c r="O1316" t="inlineStr">
        <is>
          <t>eng</t>
        </is>
      </c>
      <c r="P1316" t="inlineStr">
        <is>
          <t>enk</t>
        </is>
      </c>
      <c r="R1316" t="inlineStr">
        <is>
          <t xml:space="preserve">DG </t>
        </is>
      </c>
      <c r="S1316" t="n">
        <v>1</v>
      </c>
      <c r="T1316" t="n">
        <v>1</v>
      </c>
      <c r="U1316" t="inlineStr">
        <is>
          <t>2004-10-10</t>
        </is>
      </c>
      <c r="V1316" t="inlineStr">
        <is>
          <t>2004-10-10</t>
        </is>
      </c>
      <c r="W1316" t="inlineStr">
        <is>
          <t>1997-02-05</t>
        </is>
      </c>
      <c r="X1316" t="inlineStr">
        <is>
          <t>1997-02-05</t>
        </is>
      </c>
      <c r="Y1316" t="n">
        <v>124</v>
      </c>
      <c r="Z1316" t="n">
        <v>118</v>
      </c>
      <c r="AA1316" t="n">
        <v>731</v>
      </c>
      <c r="AB1316" t="n">
        <v>1</v>
      </c>
      <c r="AC1316" t="n">
        <v>5</v>
      </c>
      <c r="AD1316" t="n">
        <v>6</v>
      </c>
      <c r="AE1316" t="n">
        <v>33</v>
      </c>
      <c r="AF1316" t="n">
        <v>2</v>
      </c>
      <c r="AG1316" t="n">
        <v>13</v>
      </c>
      <c r="AH1316" t="n">
        <v>1</v>
      </c>
      <c r="AI1316" t="n">
        <v>8</v>
      </c>
      <c r="AJ1316" t="n">
        <v>4</v>
      </c>
      <c r="AK1316" t="n">
        <v>19</v>
      </c>
      <c r="AL1316" t="n">
        <v>0</v>
      </c>
      <c r="AM1316" t="n">
        <v>3</v>
      </c>
      <c r="AN1316" t="n">
        <v>0</v>
      </c>
      <c r="AO1316" t="n">
        <v>0</v>
      </c>
      <c r="AP1316" t="inlineStr">
        <is>
          <t>Yes</t>
        </is>
      </c>
      <c r="AQ1316" t="inlineStr">
        <is>
          <t>No</t>
        </is>
      </c>
      <c r="AR1316">
        <f>HYPERLINK("http://catalog.hathitrust.org/Record/100481864","HathiTrust Record")</f>
        <v/>
      </c>
      <c r="AS1316">
        <f>HYPERLINK("https://creighton-primo.hosted.exlibrisgroup.com/primo-explore/search?tab=default_tab&amp;search_scope=EVERYTHING&amp;vid=01CRU&amp;lang=en_US&amp;offset=0&amp;query=any,contains,991004279279702656","Catalog Record")</f>
        <v/>
      </c>
      <c r="AT1316">
        <f>HYPERLINK("http://www.worldcat.org/oclc/2903754","WorldCat Record")</f>
        <v/>
      </c>
      <c r="AU1316" t="inlineStr">
        <is>
          <t>4917267318:eng</t>
        </is>
      </c>
      <c r="AV1316" t="inlineStr">
        <is>
          <t>2903754</t>
        </is>
      </c>
      <c r="AW1316" t="inlineStr">
        <is>
          <t>991004279279702656</t>
        </is>
      </c>
      <c r="AX1316" t="inlineStr">
        <is>
          <t>991004279279702656</t>
        </is>
      </c>
      <c r="AY1316" t="inlineStr">
        <is>
          <t>2272371230002656</t>
        </is>
      </c>
      <c r="AZ1316" t="inlineStr">
        <is>
          <t>BOOK</t>
        </is>
      </c>
      <c r="BC1316" t="inlineStr">
        <is>
          <t>32285002422938</t>
        </is>
      </c>
      <c r="BD1316" t="inlineStr">
        <is>
          <t>893901036</t>
        </is>
      </c>
    </row>
    <row r="1317">
      <c r="A1317" t="inlineStr">
        <is>
          <t>No</t>
        </is>
      </c>
      <c r="B1317" t="inlineStr">
        <is>
          <t>DG737 .R8</t>
        </is>
      </c>
      <c r="C1317" t="inlineStr">
        <is>
          <t>0                      DG 0737000R  8</t>
        </is>
      </c>
      <c r="D1317" t="inlineStr">
        <is>
          <t>Florence in the age of Dante.</t>
        </is>
      </c>
      <c r="F1317" t="inlineStr">
        <is>
          <t>No</t>
        </is>
      </c>
      <c r="G1317" t="inlineStr">
        <is>
          <t>1</t>
        </is>
      </c>
      <c r="H1317" t="inlineStr">
        <is>
          <t>No</t>
        </is>
      </c>
      <c r="I1317" t="inlineStr">
        <is>
          <t>No</t>
        </is>
      </c>
      <c r="J1317" t="inlineStr">
        <is>
          <t>0</t>
        </is>
      </c>
      <c r="K1317" t="inlineStr">
        <is>
          <t>Ruggiers, Paul G.</t>
        </is>
      </c>
      <c r="L1317" t="inlineStr">
        <is>
          <t>Norman, University of Oklahoma Press [1964]</t>
        </is>
      </c>
      <c r="M1317" t="inlineStr">
        <is>
          <t>1964</t>
        </is>
      </c>
      <c r="N1317" t="inlineStr">
        <is>
          <t>[1st ed.]</t>
        </is>
      </c>
      <c r="O1317" t="inlineStr">
        <is>
          <t>eng</t>
        </is>
      </c>
      <c r="P1317" t="inlineStr">
        <is>
          <t>oku</t>
        </is>
      </c>
      <c r="Q1317" t="inlineStr">
        <is>
          <t>The Centers of civilization series</t>
        </is>
      </c>
      <c r="R1317" t="inlineStr">
        <is>
          <t xml:space="preserve">DG </t>
        </is>
      </c>
      <c r="S1317" t="n">
        <v>2</v>
      </c>
      <c r="T1317" t="n">
        <v>2</v>
      </c>
      <c r="U1317" t="inlineStr">
        <is>
          <t>2008-09-22</t>
        </is>
      </c>
      <c r="V1317" t="inlineStr">
        <is>
          <t>2008-09-22</t>
        </is>
      </c>
      <c r="W1317" t="inlineStr">
        <is>
          <t>1997-02-05</t>
        </is>
      </c>
      <c r="X1317" t="inlineStr">
        <is>
          <t>1997-02-05</t>
        </is>
      </c>
      <c r="Y1317" t="n">
        <v>893</v>
      </c>
      <c r="Z1317" t="n">
        <v>824</v>
      </c>
      <c r="AA1317" t="n">
        <v>844</v>
      </c>
      <c r="AB1317" t="n">
        <v>4</v>
      </c>
      <c r="AC1317" t="n">
        <v>4</v>
      </c>
      <c r="AD1317" t="n">
        <v>33</v>
      </c>
      <c r="AE1317" t="n">
        <v>34</v>
      </c>
      <c r="AF1317" t="n">
        <v>13</v>
      </c>
      <c r="AG1317" t="n">
        <v>14</v>
      </c>
      <c r="AH1317" t="n">
        <v>8</v>
      </c>
      <c r="AI1317" t="n">
        <v>8</v>
      </c>
      <c r="AJ1317" t="n">
        <v>16</v>
      </c>
      <c r="AK1317" t="n">
        <v>17</v>
      </c>
      <c r="AL1317" t="n">
        <v>3</v>
      </c>
      <c r="AM1317" t="n">
        <v>3</v>
      </c>
      <c r="AN1317" t="n">
        <v>0</v>
      </c>
      <c r="AO1317" t="n">
        <v>0</v>
      </c>
      <c r="AP1317" t="inlineStr">
        <is>
          <t>No</t>
        </is>
      </c>
      <c r="AQ1317" t="inlineStr">
        <is>
          <t>Yes</t>
        </is>
      </c>
      <c r="AR1317">
        <f>HYPERLINK("http://catalog.hathitrust.org/Record/004407771","HathiTrust Record")</f>
        <v/>
      </c>
      <c r="AS1317">
        <f>HYPERLINK("https://creighton-primo.hosted.exlibrisgroup.com/primo-explore/search?tab=default_tab&amp;search_scope=EVERYTHING&amp;vid=01CRU&amp;lang=en_US&amp;offset=0&amp;query=any,contains,991003710899702656","Catalog Record")</f>
        <v/>
      </c>
      <c r="AT1317">
        <f>HYPERLINK("http://www.worldcat.org/oclc/1349776","WorldCat Record")</f>
        <v/>
      </c>
      <c r="AU1317" t="inlineStr">
        <is>
          <t>2248618:eng</t>
        </is>
      </c>
      <c r="AV1317" t="inlineStr">
        <is>
          <t>1349776</t>
        </is>
      </c>
      <c r="AW1317" t="inlineStr">
        <is>
          <t>991003710899702656</t>
        </is>
      </c>
      <c r="AX1317" t="inlineStr">
        <is>
          <t>991003710899702656</t>
        </is>
      </c>
      <c r="AY1317" t="inlineStr">
        <is>
          <t>2258044920002656</t>
        </is>
      </c>
      <c r="AZ1317" t="inlineStr">
        <is>
          <t>BOOK</t>
        </is>
      </c>
      <c r="BC1317" t="inlineStr">
        <is>
          <t>32285002422946</t>
        </is>
      </c>
      <c r="BD1317" t="inlineStr">
        <is>
          <t>893611353</t>
        </is>
      </c>
    </row>
    <row r="1318">
      <c r="A1318" t="inlineStr">
        <is>
          <t>No</t>
        </is>
      </c>
      <c r="B1318" t="inlineStr">
        <is>
          <t>DG737.2 .C73213 1986</t>
        </is>
      </c>
      <c r="C1318" t="inlineStr">
        <is>
          <t>0                      DG 0737200C  73213       1986</t>
        </is>
      </c>
      <c r="D1318" t="inlineStr">
        <is>
          <t>Dino Compagni's chronicle of Florence / translated with an introduction and notes by Daniel E. Bornstein.</t>
        </is>
      </c>
      <c r="F1318" t="inlineStr">
        <is>
          <t>No</t>
        </is>
      </c>
      <c r="G1318" t="inlineStr">
        <is>
          <t>1</t>
        </is>
      </c>
      <c r="H1318" t="inlineStr">
        <is>
          <t>No</t>
        </is>
      </c>
      <c r="I1318" t="inlineStr">
        <is>
          <t>No</t>
        </is>
      </c>
      <c r="J1318" t="inlineStr">
        <is>
          <t>0</t>
        </is>
      </c>
      <c r="K1318" t="inlineStr">
        <is>
          <t>Compagni, Dino, approximately 1260-1324.</t>
        </is>
      </c>
      <c r="L1318" t="inlineStr">
        <is>
          <t>Philadelphia : University of Pennsylvania Press, 1986.</t>
        </is>
      </c>
      <c r="M1318" t="inlineStr">
        <is>
          <t>1986</t>
        </is>
      </c>
      <c r="O1318" t="inlineStr">
        <is>
          <t>eng</t>
        </is>
      </c>
      <c r="P1318" t="inlineStr">
        <is>
          <t>pau</t>
        </is>
      </c>
      <c r="Q1318" t="inlineStr">
        <is>
          <t>The Middle Ages</t>
        </is>
      </c>
      <c r="R1318" t="inlineStr">
        <is>
          <t xml:space="preserve">DG </t>
        </is>
      </c>
      <c r="S1318" t="n">
        <v>1</v>
      </c>
      <c r="T1318" t="n">
        <v>1</v>
      </c>
      <c r="U1318" t="inlineStr">
        <is>
          <t>2008-05-14</t>
        </is>
      </c>
      <c r="V1318" t="inlineStr">
        <is>
          <t>2008-05-14</t>
        </is>
      </c>
      <c r="W1318" t="inlineStr">
        <is>
          <t>2008-05-14</t>
        </is>
      </c>
      <c r="X1318" t="inlineStr">
        <is>
          <t>2008-05-14</t>
        </is>
      </c>
      <c r="Y1318" t="n">
        <v>455</v>
      </c>
      <c r="Z1318" t="n">
        <v>367</v>
      </c>
      <c r="AA1318" t="n">
        <v>708</v>
      </c>
      <c r="AB1318" t="n">
        <v>3</v>
      </c>
      <c r="AC1318" t="n">
        <v>3</v>
      </c>
      <c r="AD1318" t="n">
        <v>26</v>
      </c>
      <c r="AE1318" t="n">
        <v>33</v>
      </c>
      <c r="AF1318" t="n">
        <v>8</v>
      </c>
      <c r="AG1318" t="n">
        <v>14</v>
      </c>
      <c r="AH1318" t="n">
        <v>8</v>
      </c>
      <c r="AI1318" t="n">
        <v>9</v>
      </c>
      <c r="AJ1318" t="n">
        <v>18</v>
      </c>
      <c r="AK1318" t="n">
        <v>19</v>
      </c>
      <c r="AL1318" t="n">
        <v>2</v>
      </c>
      <c r="AM1318" t="n">
        <v>2</v>
      </c>
      <c r="AN1318" t="n">
        <v>0</v>
      </c>
      <c r="AO1318" t="n">
        <v>0</v>
      </c>
      <c r="AP1318" t="inlineStr">
        <is>
          <t>No</t>
        </is>
      </c>
      <c r="AQ1318" t="inlineStr">
        <is>
          <t>Yes</t>
        </is>
      </c>
      <c r="AR1318">
        <f>HYPERLINK("http://catalog.hathitrust.org/Record/000482368","HathiTrust Record")</f>
        <v/>
      </c>
      <c r="AS1318">
        <f>HYPERLINK("https://creighton-primo.hosted.exlibrisgroup.com/primo-explore/search?tab=default_tab&amp;search_scope=EVERYTHING&amp;vid=01CRU&amp;lang=en_US&amp;offset=0&amp;query=any,contains,991005220789702656","Catalog Record")</f>
        <v/>
      </c>
      <c r="AT1318">
        <f>HYPERLINK("http://www.worldcat.org/oclc/12977001","WorldCat Record")</f>
        <v/>
      </c>
      <c r="AU1318" t="inlineStr">
        <is>
          <t>1010246:eng</t>
        </is>
      </c>
      <c r="AV1318" t="inlineStr">
        <is>
          <t>12977001</t>
        </is>
      </c>
      <c r="AW1318" t="inlineStr">
        <is>
          <t>991005220789702656</t>
        </is>
      </c>
      <c r="AX1318" t="inlineStr">
        <is>
          <t>991005220789702656</t>
        </is>
      </c>
      <c r="AY1318" t="inlineStr">
        <is>
          <t>2261347480002656</t>
        </is>
      </c>
      <c r="AZ1318" t="inlineStr">
        <is>
          <t>BOOK</t>
        </is>
      </c>
      <c r="BB1318" t="inlineStr">
        <is>
          <t>9780812212211</t>
        </is>
      </c>
      <c r="BC1318" t="inlineStr">
        <is>
          <t>32285005407837</t>
        </is>
      </c>
      <c r="BD1318" t="inlineStr">
        <is>
          <t>893260754</t>
        </is>
      </c>
    </row>
    <row r="1319">
      <c r="A1319" t="inlineStr">
        <is>
          <t>No</t>
        </is>
      </c>
      <c r="B1319" t="inlineStr">
        <is>
          <t>DG737.26 .B69</t>
        </is>
      </c>
      <c r="C1319" t="inlineStr">
        <is>
          <t>0                      DG 0737260B  69</t>
        </is>
      </c>
      <c r="D1319" t="inlineStr">
        <is>
          <t>The civic world of early Renaissance Florence / by Gene Brucker.</t>
        </is>
      </c>
      <c r="F1319" t="inlineStr">
        <is>
          <t>No</t>
        </is>
      </c>
      <c r="G1319" t="inlineStr">
        <is>
          <t>1</t>
        </is>
      </c>
      <c r="H1319" t="inlineStr">
        <is>
          <t>No</t>
        </is>
      </c>
      <c r="I1319" t="inlineStr">
        <is>
          <t>No</t>
        </is>
      </c>
      <c r="J1319" t="inlineStr">
        <is>
          <t>0</t>
        </is>
      </c>
      <c r="K1319" t="inlineStr">
        <is>
          <t>Brucker, Gene A.</t>
        </is>
      </c>
      <c r="L1319" t="inlineStr">
        <is>
          <t>Princeton, N.J. : Princeton University Press, c1977.</t>
        </is>
      </c>
      <c r="M1319" t="inlineStr">
        <is>
          <t>1977</t>
        </is>
      </c>
      <c r="O1319" t="inlineStr">
        <is>
          <t>eng</t>
        </is>
      </c>
      <c r="P1319" t="inlineStr">
        <is>
          <t>nju</t>
        </is>
      </c>
      <c r="R1319" t="inlineStr">
        <is>
          <t xml:space="preserve">DG </t>
        </is>
      </c>
      <c r="S1319" t="n">
        <v>1</v>
      </c>
      <c r="T1319" t="n">
        <v>1</v>
      </c>
      <c r="U1319" t="inlineStr">
        <is>
          <t>2008-09-22</t>
        </is>
      </c>
      <c r="V1319" t="inlineStr">
        <is>
          <t>2008-09-22</t>
        </is>
      </c>
      <c r="W1319" t="inlineStr">
        <is>
          <t>1997-02-05</t>
        </is>
      </c>
      <c r="X1319" t="inlineStr">
        <is>
          <t>1997-02-05</t>
        </is>
      </c>
      <c r="Y1319" t="n">
        <v>739</v>
      </c>
      <c r="Z1319" t="n">
        <v>565</v>
      </c>
      <c r="AA1319" t="n">
        <v>815</v>
      </c>
      <c r="AB1319" t="n">
        <v>6</v>
      </c>
      <c r="AC1319" t="n">
        <v>9</v>
      </c>
      <c r="AD1319" t="n">
        <v>32</v>
      </c>
      <c r="AE1319" t="n">
        <v>43</v>
      </c>
      <c r="AF1319" t="n">
        <v>10</v>
      </c>
      <c r="AG1319" t="n">
        <v>16</v>
      </c>
      <c r="AH1319" t="n">
        <v>9</v>
      </c>
      <c r="AI1319" t="n">
        <v>10</v>
      </c>
      <c r="AJ1319" t="n">
        <v>16</v>
      </c>
      <c r="AK1319" t="n">
        <v>21</v>
      </c>
      <c r="AL1319" t="n">
        <v>5</v>
      </c>
      <c r="AM1319" t="n">
        <v>7</v>
      </c>
      <c r="AN1319" t="n">
        <v>0</v>
      </c>
      <c r="AO1319" t="n">
        <v>0</v>
      </c>
      <c r="AP1319" t="inlineStr">
        <is>
          <t>No</t>
        </is>
      </c>
      <c r="AQ1319" t="inlineStr">
        <is>
          <t>No</t>
        </is>
      </c>
      <c r="AS1319">
        <f>HYPERLINK("https://creighton-primo.hosted.exlibrisgroup.com/primo-explore/search?tab=default_tab&amp;search_scope=EVERYTHING&amp;vid=01CRU&amp;lang=en_US&amp;offset=0&amp;query=any,contains,991004201919702656","Catalog Record")</f>
        <v/>
      </c>
      <c r="AT1319">
        <f>HYPERLINK("http://www.worldcat.org/oclc/2655555","WorldCat Record")</f>
        <v/>
      </c>
      <c r="AU1319" t="inlineStr">
        <is>
          <t>441391:eng</t>
        </is>
      </c>
      <c r="AV1319" t="inlineStr">
        <is>
          <t>2655555</t>
        </is>
      </c>
      <c r="AW1319" t="inlineStr">
        <is>
          <t>991004201919702656</t>
        </is>
      </c>
      <c r="AX1319" t="inlineStr">
        <is>
          <t>991004201919702656</t>
        </is>
      </c>
      <c r="AY1319" t="inlineStr">
        <is>
          <t>2256454840002656</t>
        </is>
      </c>
      <c r="AZ1319" t="inlineStr">
        <is>
          <t>BOOK</t>
        </is>
      </c>
      <c r="BB1319" t="inlineStr">
        <is>
          <t>9780691052441</t>
        </is>
      </c>
      <c r="BC1319" t="inlineStr">
        <is>
          <t>32285002422961</t>
        </is>
      </c>
      <c r="BD1319" t="inlineStr">
        <is>
          <t>893429778</t>
        </is>
      </c>
    </row>
    <row r="1320">
      <c r="A1320" t="inlineStr">
        <is>
          <t>No</t>
        </is>
      </c>
      <c r="B1320" t="inlineStr">
        <is>
          <t>DG737.26 .B7 1962</t>
        </is>
      </c>
      <c r="C1320" t="inlineStr">
        <is>
          <t>0                      DG 0737260B  7           1962</t>
        </is>
      </c>
      <c r="D1320" t="inlineStr">
        <is>
          <t>Florentine politics and society, 1343-1378.</t>
        </is>
      </c>
      <c r="F1320" t="inlineStr">
        <is>
          <t>No</t>
        </is>
      </c>
      <c r="G1320" t="inlineStr">
        <is>
          <t>1</t>
        </is>
      </c>
      <c r="H1320" t="inlineStr">
        <is>
          <t>No</t>
        </is>
      </c>
      <c r="I1320" t="inlineStr">
        <is>
          <t>No</t>
        </is>
      </c>
      <c r="J1320" t="inlineStr">
        <is>
          <t>0</t>
        </is>
      </c>
      <c r="K1320" t="inlineStr">
        <is>
          <t>Brucker, Gene A.</t>
        </is>
      </c>
      <c r="L1320" t="inlineStr">
        <is>
          <t>Princeton, N.J., Princeton University Press, 1962.</t>
        </is>
      </c>
      <c r="M1320" t="inlineStr">
        <is>
          <t>1962</t>
        </is>
      </c>
      <c r="O1320" t="inlineStr">
        <is>
          <t>eng</t>
        </is>
      </c>
      <c r="P1320" t="inlineStr">
        <is>
          <t>nju</t>
        </is>
      </c>
      <c r="Q1320" t="inlineStr">
        <is>
          <t>Princeton studies in history ; 12</t>
        </is>
      </c>
      <c r="R1320" t="inlineStr">
        <is>
          <t xml:space="preserve">DG </t>
        </is>
      </c>
      <c r="S1320" t="n">
        <v>3</v>
      </c>
      <c r="T1320" t="n">
        <v>3</v>
      </c>
      <c r="U1320" t="inlineStr">
        <is>
          <t>2008-09-22</t>
        </is>
      </c>
      <c r="V1320" t="inlineStr">
        <is>
          <t>2008-09-22</t>
        </is>
      </c>
      <c r="W1320" t="inlineStr">
        <is>
          <t>1997-02-05</t>
        </is>
      </c>
      <c r="X1320" t="inlineStr">
        <is>
          <t>1997-02-05</t>
        </is>
      </c>
      <c r="Y1320" t="n">
        <v>752</v>
      </c>
      <c r="Z1320" t="n">
        <v>614</v>
      </c>
      <c r="AA1320" t="n">
        <v>1008</v>
      </c>
      <c r="AB1320" t="n">
        <v>4</v>
      </c>
      <c r="AC1320" t="n">
        <v>8</v>
      </c>
      <c r="AD1320" t="n">
        <v>34</v>
      </c>
      <c r="AE1320" t="n">
        <v>51</v>
      </c>
      <c r="AF1320" t="n">
        <v>11</v>
      </c>
      <c r="AG1320" t="n">
        <v>18</v>
      </c>
      <c r="AH1320" t="n">
        <v>10</v>
      </c>
      <c r="AI1320" t="n">
        <v>11</v>
      </c>
      <c r="AJ1320" t="n">
        <v>20</v>
      </c>
      <c r="AK1320" t="n">
        <v>26</v>
      </c>
      <c r="AL1320" t="n">
        <v>3</v>
      </c>
      <c r="AM1320" t="n">
        <v>7</v>
      </c>
      <c r="AN1320" t="n">
        <v>0</v>
      </c>
      <c r="AO1320" t="n">
        <v>1</v>
      </c>
      <c r="AP1320" t="inlineStr">
        <is>
          <t>No</t>
        </is>
      </c>
      <c r="AQ1320" t="inlineStr">
        <is>
          <t>Yes</t>
        </is>
      </c>
      <c r="AR1320">
        <f>HYPERLINK("http://catalog.hathitrust.org/Record/000377008","HathiTrust Record")</f>
        <v/>
      </c>
      <c r="AS1320">
        <f>HYPERLINK("https://creighton-primo.hosted.exlibrisgroup.com/primo-explore/search?tab=default_tab&amp;search_scope=EVERYTHING&amp;vid=01CRU&amp;lang=en_US&amp;offset=0&amp;query=any,contains,991003741059702656","Catalog Record")</f>
        <v/>
      </c>
      <c r="AT1320">
        <f>HYPERLINK("http://www.worldcat.org/oclc/1404976","WorldCat Record")</f>
        <v/>
      </c>
      <c r="AU1320" t="inlineStr">
        <is>
          <t>2258761:eng</t>
        </is>
      </c>
      <c r="AV1320" t="inlineStr">
        <is>
          <t>1404976</t>
        </is>
      </c>
      <c r="AW1320" t="inlineStr">
        <is>
          <t>991003741059702656</t>
        </is>
      </c>
      <c r="AX1320" t="inlineStr">
        <is>
          <t>991003741059702656</t>
        </is>
      </c>
      <c r="AY1320" t="inlineStr">
        <is>
          <t>2259916110002656</t>
        </is>
      </c>
      <c r="AZ1320" t="inlineStr">
        <is>
          <t>BOOK</t>
        </is>
      </c>
      <c r="BC1320" t="inlineStr">
        <is>
          <t>32285002422979</t>
        </is>
      </c>
      <c r="BD1320" t="inlineStr">
        <is>
          <t>893598929</t>
        </is>
      </c>
    </row>
    <row r="1321">
      <c r="A1321" t="inlineStr">
        <is>
          <t>No</t>
        </is>
      </c>
      <c r="B1321" t="inlineStr">
        <is>
          <t>DG737.26 .H644 1986</t>
        </is>
      </c>
      <c r="C1321" t="inlineStr">
        <is>
          <t>0                      DG 0737260H  644         1986</t>
        </is>
      </c>
      <c r="D1321" t="inlineStr">
        <is>
          <t>Florence, Rome, and the origins of the Renaissance / George Holmes.</t>
        </is>
      </c>
      <c r="F1321" t="inlineStr">
        <is>
          <t>No</t>
        </is>
      </c>
      <c r="G1321" t="inlineStr">
        <is>
          <t>1</t>
        </is>
      </c>
      <c r="H1321" t="inlineStr">
        <is>
          <t>No</t>
        </is>
      </c>
      <c r="I1321" t="inlineStr">
        <is>
          <t>No</t>
        </is>
      </c>
      <c r="J1321" t="inlineStr">
        <is>
          <t>0</t>
        </is>
      </c>
      <c r="K1321" t="inlineStr">
        <is>
          <t>Holmes, George, 1927-2009.</t>
        </is>
      </c>
      <c r="L1321" t="inlineStr">
        <is>
          <t>Oxford : Clarendon Press ; New York : Oxford University Press, 1986.</t>
        </is>
      </c>
      <c r="M1321" t="inlineStr">
        <is>
          <t>1986</t>
        </is>
      </c>
      <c r="O1321" t="inlineStr">
        <is>
          <t>eng</t>
        </is>
      </c>
      <c r="P1321" t="inlineStr">
        <is>
          <t>enk</t>
        </is>
      </c>
      <c r="R1321" t="inlineStr">
        <is>
          <t xml:space="preserve">DG </t>
        </is>
      </c>
      <c r="S1321" t="n">
        <v>5</v>
      </c>
      <c r="T1321" t="n">
        <v>5</v>
      </c>
      <c r="U1321" t="inlineStr">
        <is>
          <t>1995-08-31</t>
        </is>
      </c>
      <c r="V1321" t="inlineStr">
        <is>
          <t>1995-08-31</t>
        </is>
      </c>
      <c r="W1321" t="inlineStr">
        <is>
          <t>1990-07-09</t>
        </is>
      </c>
      <c r="X1321" t="inlineStr">
        <is>
          <t>1990-07-09</t>
        </is>
      </c>
      <c r="Y1321" t="n">
        <v>657</v>
      </c>
      <c r="Z1321" t="n">
        <v>483</v>
      </c>
      <c r="AA1321" t="n">
        <v>558</v>
      </c>
      <c r="AB1321" t="n">
        <v>3</v>
      </c>
      <c r="AC1321" t="n">
        <v>3</v>
      </c>
      <c r="AD1321" t="n">
        <v>27</v>
      </c>
      <c r="AE1321" t="n">
        <v>30</v>
      </c>
      <c r="AF1321" t="n">
        <v>10</v>
      </c>
      <c r="AG1321" t="n">
        <v>12</v>
      </c>
      <c r="AH1321" t="n">
        <v>10</v>
      </c>
      <c r="AI1321" t="n">
        <v>10</v>
      </c>
      <c r="AJ1321" t="n">
        <v>13</v>
      </c>
      <c r="AK1321" t="n">
        <v>15</v>
      </c>
      <c r="AL1321" t="n">
        <v>2</v>
      </c>
      <c r="AM1321" t="n">
        <v>2</v>
      </c>
      <c r="AN1321" t="n">
        <v>0</v>
      </c>
      <c r="AO1321" t="n">
        <v>0</v>
      </c>
      <c r="AP1321" t="inlineStr">
        <is>
          <t>No</t>
        </is>
      </c>
      <c r="AQ1321" t="inlineStr">
        <is>
          <t>Yes</t>
        </is>
      </c>
      <c r="AR1321">
        <f>HYPERLINK("http://catalog.hathitrust.org/Record/000672647","HathiTrust Record")</f>
        <v/>
      </c>
      <c r="AS1321">
        <f>HYPERLINK("https://creighton-primo.hosted.exlibrisgroup.com/primo-explore/search?tab=default_tab&amp;search_scope=EVERYTHING&amp;vid=01CRU&amp;lang=en_US&amp;offset=0&amp;query=any,contains,991000862229702656","Catalog Record")</f>
        <v/>
      </c>
      <c r="AT1321">
        <f>HYPERLINK("http://www.worldcat.org/oclc/13699903","WorldCat Record")</f>
        <v/>
      </c>
      <c r="AU1321" t="inlineStr">
        <is>
          <t>1060738:eng</t>
        </is>
      </c>
      <c r="AV1321" t="inlineStr">
        <is>
          <t>13699903</t>
        </is>
      </c>
      <c r="AW1321" t="inlineStr">
        <is>
          <t>991000862229702656</t>
        </is>
      </c>
      <c r="AX1321" t="inlineStr">
        <is>
          <t>991000862229702656</t>
        </is>
      </c>
      <c r="AY1321" t="inlineStr">
        <is>
          <t>2266994310002656</t>
        </is>
      </c>
      <c r="AZ1321" t="inlineStr">
        <is>
          <t>BOOK</t>
        </is>
      </c>
      <c r="BB1321" t="inlineStr">
        <is>
          <t>9780198225768</t>
        </is>
      </c>
      <c r="BC1321" t="inlineStr">
        <is>
          <t>32285000226588</t>
        </is>
      </c>
      <c r="BD1321" t="inlineStr">
        <is>
          <t>893803127</t>
        </is>
      </c>
    </row>
    <row r="1322">
      <c r="A1322" t="inlineStr">
        <is>
          <t>No</t>
        </is>
      </c>
      <c r="B1322" t="inlineStr">
        <is>
          <t>DG737.4 .N35 2008</t>
        </is>
      </c>
      <c r="C1322" t="inlineStr">
        <is>
          <t>0                      DG 0737400N  35          2008</t>
        </is>
      </c>
      <c r="D1322" t="inlineStr">
        <is>
          <t>A history of Florence, 1200-1575 / John M. Najemy.</t>
        </is>
      </c>
      <c r="F1322" t="inlineStr">
        <is>
          <t>No</t>
        </is>
      </c>
      <c r="G1322" t="inlineStr">
        <is>
          <t>1</t>
        </is>
      </c>
      <c r="H1322" t="inlineStr">
        <is>
          <t>No</t>
        </is>
      </c>
      <c r="I1322" t="inlineStr">
        <is>
          <t>No</t>
        </is>
      </c>
      <c r="J1322" t="inlineStr">
        <is>
          <t>0</t>
        </is>
      </c>
      <c r="K1322" t="inlineStr">
        <is>
          <t>Najemy, John M., 1943-</t>
        </is>
      </c>
      <c r="L1322" t="inlineStr">
        <is>
          <t>Malden, MA : Blackwell, 2008.</t>
        </is>
      </c>
      <c r="M1322" t="inlineStr">
        <is>
          <t>2008</t>
        </is>
      </c>
      <c r="O1322" t="inlineStr">
        <is>
          <t>eng</t>
        </is>
      </c>
      <c r="P1322" t="inlineStr">
        <is>
          <t>mau</t>
        </is>
      </c>
      <c r="R1322" t="inlineStr">
        <is>
          <t xml:space="preserve">DG </t>
        </is>
      </c>
      <c r="S1322" t="n">
        <v>6</v>
      </c>
      <c r="T1322" t="n">
        <v>6</v>
      </c>
      <c r="U1322" t="inlineStr">
        <is>
          <t>2009-07-07</t>
        </is>
      </c>
      <c r="V1322" t="inlineStr">
        <is>
          <t>2009-07-07</t>
        </is>
      </c>
      <c r="W1322" t="inlineStr">
        <is>
          <t>2008-08-13</t>
        </is>
      </c>
      <c r="X1322" t="inlineStr">
        <is>
          <t>2008-08-13</t>
        </is>
      </c>
      <c r="Y1322" t="n">
        <v>37</v>
      </c>
      <c r="Z1322" t="n">
        <v>17</v>
      </c>
      <c r="AA1322" t="n">
        <v>475</v>
      </c>
      <c r="AB1322" t="n">
        <v>1</v>
      </c>
      <c r="AC1322" t="n">
        <v>3</v>
      </c>
      <c r="AD1322" t="n">
        <v>0</v>
      </c>
      <c r="AE1322" t="n">
        <v>26</v>
      </c>
      <c r="AF1322" t="n">
        <v>0</v>
      </c>
      <c r="AG1322" t="n">
        <v>9</v>
      </c>
      <c r="AH1322" t="n">
        <v>0</v>
      </c>
      <c r="AI1322" t="n">
        <v>10</v>
      </c>
      <c r="AJ1322" t="n">
        <v>0</v>
      </c>
      <c r="AK1322" t="n">
        <v>14</v>
      </c>
      <c r="AL1322" t="n">
        <v>0</v>
      </c>
      <c r="AM1322" t="n">
        <v>2</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HYPERLINK("https://creighton-primo.hosted.exlibrisgroup.com/primo-explore/search?tab=default_tab&amp;search_scope=EVERYTHING&amp;vid=01CRU&amp;lang=en_US&amp;offset=0&amp;query=any,contains,991005259339702656","Catalog Record")</f>
        <v/>
      </c>
      <c r="AT1322">
        <f>HYPERLINK("http://www.worldcat.org/oclc/228671445","WorldCat Record")</f>
        <v/>
      </c>
      <c r="AU1322" t="inlineStr">
        <is>
          <t>47058468:eng</t>
        </is>
      </c>
      <c r="AV1322" t="inlineStr">
        <is>
          <t>228671445</t>
        </is>
      </c>
      <c r="AW1322" t="inlineStr">
        <is>
          <t>991005259339702656</t>
        </is>
      </c>
      <c r="AX1322" t="inlineStr">
        <is>
          <t>991005259339702656</t>
        </is>
      </c>
      <c r="AY1322" t="inlineStr">
        <is>
          <t>2258370230002656</t>
        </is>
      </c>
      <c r="AZ1322" t="inlineStr">
        <is>
          <t>BOOK</t>
        </is>
      </c>
      <c r="BB1322" t="inlineStr">
        <is>
          <t>9781405182423</t>
        </is>
      </c>
      <c r="BC1322" t="inlineStr">
        <is>
          <t>32285005452890</t>
        </is>
      </c>
      <c r="BD1322" t="inlineStr">
        <is>
          <t>893777120</t>
        </is>
      </c>
    </row>
    <row r="1323">
      <c r="A1323" t="inlineStr">
        <is>
          <t>No</t>
        </is>
      </c>
      <c r="B1323" t="inlineStr">
        <is>
          <t>DG737.4 .T66</t>
        </is>
      </c>
      <c r="C1323" t="inlineStr">
        <is>
          <t>0                      DG 0737400T  66</t>
        </is>
      </c>
      <c r="D1323" t="inlineStr">
        <is>
          <t>Public life in Renaissance Florence / Richard C. Trexler.</t>
        </is>
      </c>
      <c r="F1323" t="inlineStr">
        <is>
          <t>No</t>
        </is>
      </c>
      <c r="G1323" t="inlineStr">
        <is>
          <t>1</t>
        </is>
      </c>
      <c r="H1323" t="inlineStr">
        <is>
          <t>No</t>
        </is>
      </c>
      <c r="I1323" t="inlineStr">
        <is>
          <t>No</t>
        </is>
      </c>
      <c r="J1323" t="inlineStr">
        <is>
          <t>0</t>
        </is>
      </c>
      <c r="K1323" t="inlineStr">
        <is>
          <t>Trexler, Richard C., 1932-2007.</t>
        </is>
      </c>
      <c r="L1323" t="inlineStr">
        <is>
          <t>New York : Academic Press, 1980.</t>
        </is>
      </c>
      <c r="M1323" t="inlineStr">
        <is>
          <t>1980</t>
        </is>
      </c>
      <c r="O1323" t="inlineStr">
        <is>
          <t>eng</t>
        </is>
      </c>
      <c r="P1323" t="inlineStr">
        <is>
          <t>nyu</t>
        </is>
      </c>
      <c r="Q1323" t="inlineStr">
        <is>
          <t>Studies in social discontinuity</t>
        </is>
      </c>
      <c r="R1323" t="inlineStr">
        <is>
          <t xml:space="preserve">DG </t>
        </is>
      </c>
      <c r="S1323" t="n">
        <v>1</v>
      </c>
      <c r="T1323" t="n">
        <v>1</v>
      </c>
      <c r="U1323" t="inlineStr">
        <is>
          <t>2003-11-13</t>
        </is>
      </c>
      <c r="V1323" t="inlineStr">
        <is>
          <t>2003-11-13</t>
        </is>
      </c>
      <c r="W1323" t="inlineStr">
        <is>
          <t>1991-04-23</t>
        </is>
      </c>
      <c r="X1323" t="inlineStr">
        <is>
          <t>1991-04-23</t>
        </is>
      </c>
      <c r="Y1323" t="n">
        <v>521</v>
      </c>
      <c r="Z1323" t="n">
        <v>384</v>
      </c>
      <c r="AA1323" t="n">
        <v>722</v>
      </c>
      <c r="AB1323" t="n">
        <v>1</v>
      </c>
      <c r="AC1323" t="n">
        <v>3</v>
      </c>
      <c r="AD1323" t="n">
        <v>15</v>
      </c>
      <c r="AE1323" t="n">
        <v>33</v>
      </c>
      <c r="AF1323" t="n">
        <v>3</v>
      </c>
      <c r="AG1323" t="n">
        <v>14</v>
      </c>
      <c r="AH1323" t="n">
        <v>6</v>
      </c>
      <c r="AI1323" t="n">
        <v>10</v>
      </c>
      <c r="AJ1323" t="n">
        <v>11</v>
      </c>
      <c r="AK1323" t="n">
        <v>18</v>
      </c>
      <c r="AL1323" t="n">
        <v>0</v>
      </c>
      <c r="AM1323" t="n">
        <v>2</v>
      </c>
      <c r="AN1323" t="n">
        <v>0</v>
      </c>
      <c r="AO1323" t="n">
        <v>0</v>
      </c>
      <c r="AP1323" t="inlineStr">
        <is>
          <t>No</t>
        </is>
      </c>
      <c r="AQ1323" t="inlineStr">
        <is>
          <t>Yes</t>
        </is>
      </c>
      <c r="AR1323">
        <f>HYPERLINK("http://catalog.hathitrust.org/Record/000129005","HathiTrust Record")</f>
        <v/>
      </c>
      <c r="AS1323">
        <f>HYPERLINK("https://creighton-primo.hosted.exlibrisgroup.com/primo-explore/search?tab=default_tab&amp;search_scope=EVERYTHING&amp;vid=01CRU&amp;lang=en_US&amp;offset=0&amp;query=any,contains,991005033429702656","Catalog Record")</f>
        <v/>
      </c>
      <c r="AT1323">
        <f>HYPERLINK("http://www.worldcat.org/oclc/6735521","WorldCat Record")</f>
        <v/>
      </c>
      <c r="AU1323" t="inlineStr">
        <is>
          <t>24321612:eng</t>
        </is>
      </c>
      <c r="AV1323" t="inlineStr">
        <is>
          <t>6735521</t>
        </is>
      </c>
      <c r="AW1323" t="inlineStr">
        <is>
          <t>991005033429702656</t>
        </is>
      </c>
      <c r="AX1323" t="inlineStr">
        <is>
          <t>991005033429702656</t>
        </is>
      </c>
      <c r="AY1323" t="inlineStr">
        <is>
          <t>2267983050002656</t>
        </is>
      </c>
      <c r="AZ1323" t="inlineStr">
        <is>
          <t>BOOK</t>
        </is>
      </c>
      <c r="BB1323" t="inlineStr">
        <is>
          <t>9780126995503</t>
        </is>
      </c>
      <c r="BC1323" t="inlineStr">
        <is>
          <t>32285000522325</t>
        </is>
      </c>
      <c r="BD1323" t="inlineStr">
        <is>
          <t>893801619</t>
        </is>
      </c>
    </row>
    <row r="1324">
      <c r="A1324" t="inlineStr">
        <is>
          <t>No</t>
        </is>
      </c>
      <c r="B1324" t="inlineStr">
        <is>
          <t>DG737.55 .C7 1967b</t>
        </is>
      </c>
      <c r="C1324" t="inlineStr">
        <is>
          <t>0                      DG 0737550C  7           1967b</t>
        </is>
      </c>
      <c r="D1324" t="inlineStr">
        <is>
          <t>The Florentine Renaissance.</t>
        </is>
      </c>
      <c r="F1324" t="inlineStr">
        <is>
          <t>No</t>
        </is>
      </c>
      <c r="G1324" t="inlineStr">
        <is>
          <t>1</t>
        </is>
      </c>
      <c r="H1324" t="inlineStr">
        <is>
          <t>No</t>
        </is>
      </c>
      <c r="I1324" t="inlineStr">
        <is>
          <t>No</t>
        </is>
      </c>
      <c r="J1324" t="inlineStr">
        <is>
          <t>0</t>
        </is>
      </c>
      <c r="K1324" t="inlineStr">
        <is>
          <t>Cronin, Vincent.</t>
        </is>
      </c>
      <c r="L1324" t="inlineStr">
        <is>
          <t>New York : Dutton, 1967.</t>
        </is>
      </c>
      <c r="M1324" t="inlineStr">
        <is>
          <t>1967</t>
        </is>
      </c>
      <c r="N1324" t="inlineStr">
        <is>
          <t>[1st ed.]</t>
        </is>
      </c>
      <c r="O1324" t="inlineStr">
        <is>
          <t>eng</t>
        </is>
      </c>
      <c r="P1324" t="inlineStr">
        <is>
          <t>nyu</t>
        </is>
      </c>
      <c r="R1324" t="inlineStr">
        <is>
          <t xml:space="preserve">DG </t>
        </is>
      </c>
      <c r="S1324" t="n">
        <v>4</v>
      </c>
      <c r="T1324" t="n">
        <v>4</v>
      </c>
      <c r="U1324" t="inlineStr">
        <is>
          <t>2006-03-28</t>
        </is>
      </c>
      <c r="V1324" t="inlineStr">
        <is>
          <t>2006-03-28</t>
        </is>
      </c>
      <c r="W1324" t="inlineStr">
        <is>
          <t>1994-12-20</t>
        </is>
      </c>
      <c r="X1324" t="inlineStr">
        <is>
          <t>1994-12-20</t>
        </is>
      </c>
      <c r="Y1324" t="n">
        <v>927</v>
      </c>
      <c r="Z1324" t="n">
        <v>881</v>
      </c>
      <c r="AA1324" t="n">
        <v>948</v>
      </c>
      <c r="AB1324" t="n">
        <v>5</v>
      </c>
      <c r="AC1324" t="n">
        <v>6</v>
      </c>
      <c r="AD1324" t="n">
        <v>30</v>
      </c>
      <c r="AE1324" t="n">
        <v>35</v>
      </c>
      <c r="AF1324" t="n">
        <v>12</v>
      </c>
      <c r="AG1324" t="n">
        <v>12</v>
      </c>
      <c r="AH1324" t="n">
        <v>7</v>
      </c>
      <c r="AI1324" t="n">
        <v>8</v>
      </c>
      <c r="AJ1324" t="n">
        <v>16</v>
      </c>
      <c r="AK1324" t="n">
        <v>20</v>
      </c>
      <c r="AL1324" t="n">
        <v>3</v>
      </c>
      <c r="AM1324" t="n">
        <v>4</v>
      </c>
      <c r="AN1324" t="n">
        <v>0</v>
      </c>
      <c r="AO1324" t="n">
        <v>0</v>
      </c>
      <c r="AP1324" t="inlineStr">
        <is>
          <t>No</t>
        </is>
      </c>
      <c r="AQ1324" t="inlineStr">
        <is>
          <t>Yes</t>
        </is>
      </c>
      <c r="AR1324">
        <f>HYPERLINK("http://catalog.hathitrust.org/Record/000352537","HathiTrust Record")</f>
        <v/>
      </c>
      <c r="AS1324">
        <f>HYPERLINK("https://creighton-primo.hosted.exlibrisgroup.com/primo-explore/search?tab=default_tab&amp;search_scope=EVERYTHING&amp;vid=01CRU&amp;lang=en_US&amp;offset=0&amp;query=any,contains,991002701069702656","Catalog Record")</f>
        <v/>
      </c>
      <c r="AT1324">
        <f>HYPERLINK("http://www.worldcat.org/oclc/405582","WorldCat Record")</f>
        <v/>
      </c>
      <c r="AU1324" t="inlineStr">
        <is>
          <t>1431375:eng</t>
        </is>
      </c>
      <c r="AV1324" t="inlineStr">
        <is>
          <t>405582</t>
        </is>
      </c>
      <c r="AW1324" t="inlineStr">
        <is>
          <t>991002701069702656</t>
        </is>
      </c>
      <c r="AX1324" t="inlineStr">
        <is>
          <t>991002701069702656</t>
        </is>
      </c>
      <c r="AY1324" t="inlineStr">
        <is>
          <t>2260481830002656</t>
        </is>
      </c>
      <c r="AZ1324" t="inlineStr">
        <is>
          <t>BOOK</t>
        </is>
      </c>
      <c r="BC1324" t="inlineStr">
        <is>
          <t>32285001984961</t>
        </is>
      </c>
      <c r="BD1324" t="inlineStr">
        <is>
          <t>893434181</t>
        </is>
      </c>
    </row>
    <row r="1325">
      <c r="A1325" t="inlineStr">
        <is>
          <t>No</t>
        </is>
      </c>
      <c r="B1325" t="inlineStr">
        <is>
          <t>DG737.55 .K46</t>
        </is>
      </c>
      <c r="C1325" t="inlineStr">
        <is>
          <t>0                      DG 0737550K  46</t>
        </is>
      </c>
      <c r="D1325" t="inlineStr">
        <is>
          <t>The rise of the Medici : faction in Florence, 1426-1434 / Dale Kent. --</t>
        </is>
      </c>
      <c r="F1325" t="inlineStr">
        <is>
          <t>No</t>
        </is>
      </c>
      <c r="G1325" t="inlineStr">
        <is>
          <t>1</t>
        </is>
      </c>
      <c r="H1325" t="inlineStr">
        <is>
          <t>No</t>
        </is>
      </c>
      <c r="I1325" t="inlineStr">
        <is>
          <t>No</t>
        </is>
      </c>
      <c r="J1325" t="inlineStr">
        <is>
          <t>0</t>
        </is>
      </c>
      <c r="K1325" t="inlineStr">
        <is>
          <t>Kent, D. V. (Dale V.)</t>
        </is>
      </c>
      <c r="L1325" t="inlineStr">
        <is>
          <t>Oxford [Eng.] ; New York : Oxford University Press, 1978.</t>
        </is>
      </c>
      <c r="M1325" t="inlineStr">
        <is>
          <t>1978</t>
        </is>
      </c>
      <c r="O1325" t="inlineStr">
        <is>
          <t>eng</t>
        </is>
      </c>
      <c r="P1325" t="inlineStr">
        <is>
          <t>enk</t>
        </is>
      </c>
      <c r="R1325" t="inlineStr">
        <is>
          <t xml:space="preserve">DG </t>
        </is>
      </c>
      <c r="S1325" t="n">
        <v>2</v>
      </c>
      <c r="T1325" t="n">
        <v>2</v>
      </c>
      <c r="U1325" t="inlineStr">
        <is>
          <t>2002-04-28</t>
        </is>
      </c>
      <c r="V1325" t="inlineStr">
        <is>
          <t>2002-04-28</t>
        </is>
      </c>
      <c r="W1325" t="inlineStr">
        <is>
          <t>1991-04-23</t>
        </is>
      </c>
      <c r="X1325" t="inlineStr">
        <is>
          <t>1991-04-23</t>
        </is>
      </c>
      <c r="Y1325" t="n">
        <v>625</v>
      </c>
      <c r="Z1325" t="n">
        <v>464</v>
      </c>
      <c r="AA1325" t="n">
        <v>466</v>
      </c>
      <c r="AB1325" t="n">
        <v>4</v>
      </c>
      <c r="AC1325" t="n">
        <v>4</v>
      </c>
      <c r="AD1325" t="n">
        <v>25</v>
      </c>
      <c r="AE1325" t="n">
        <v>25</v>
      </c>
      <c r="AF1325" t="n">
        <v>7</v>
      </c>
      <c r="AG1325" t="n">
        <v>7</v>
      </c>
      <c r="AH1325" t="n">
        <v>9</v>
      </c>
      <c r="AI1325" t="n">
        <v>9</v>
      </c>
      <c r="AJ1325" t="n">
        <v>13</v>
      </c>
      <c r="AK1325" t="n">
        <v>13</v>
      </c>
      <c r="AL1325" t="n">
        <v>3</v>
      </c>
      <c r="AM1325" t="n">
        <v>3</v>
      </c>
      <c r="AN1325" t="n">
        <v>0</v>
      </c>
      <c r="AO1325" t="n">
        <v>0</v>
      </c>
      <c r="AP1325" t="inlineStr">
        <is>
          <t>No</t>
        </is>
      </c>
      <c r="AQ1325" t="inlineStr">
        <is>
          <t>Yes</t>
        </is>
      </c>
      <c r="AR1325">
        <f>HYPERLINK("http://catalog.hathitrust.org/Record/000747947","HathiTrust Record")</f>
        <v/>
      </c>
      <c r="AS1325">
        <f>HYPERLINK("https://creighton-primo.hosted.exlibrisgroup.com/primo-explore/search?tab=default_tab&amp;search_scope=EVERYTHING&amp;vid=01CRU&amp;lang=en_US&amp;offset=0&amp;query=any,contains,991004399739702656","Catalog Record")</f>
        <v/>
      </c>
      <c r="AT1325">
        <f>HYPERLINK("http://www.worldcat.org/oclc/3294498","WorldCat Record")</f>
        <v/>
      </c>
      <c r="AU1325" t="inlineStr">
        <is>
          <t>146741327:eng</t>
        </is>
      </c>
      <c r="AV1325" t="inlineStr">
        <is>
          <t>3294498</t>
        </is>
      </c>
      <c r="AW1325" t="inlineStr">
        <is>
          <t>991004399739702656</t>
        </is>
      </c>
      <c r="AX1325" t="inlineStr">
        <is>
          <t>991004399739702656</t>
        </is>
      </c>
      <c r="AY1325" t="inlineStr">
        <is>
          <t>2257154120002656</t>
        </is>
      </c>
      <c r="AZ1325" t="inlineStr">
        <is>
          <t>BOOK</t>
        </is>
      </c>
      <c r="BB1325" t="inlineStr">
        <is>
          <t>9780198225201</t>
        </is>
      </c>
      <c r="BC1325" t="inlineStr">
        <is>
          <t>32285000522358</t>
        </is>
      </c>
      <c r="BD1325" t="inlineStr">
        <is>
          <t>893442568</t>
        </is>
      </c>
    </row>
    <row r="1326">
      <c r="A1326" t="inlineStr">
        <is>
          <t>No</t>
        </is>
      </c>
      <c r="B1326" t="inlineStr">
        <is>
          <t>DG737.9 .R74 1974b</t>
        </is>
      </c>
      <c r="C1326" t="inlineStr">
        <is>
          <t>0                      DG 0737900R  74          1974b</t>
        </is>
      </c>
      <c r="D1326" t="inlineStr">
        <is>
          <t>Lorenzo the Magnificent / [by] Hugh Ross Williamson.</t>
        </is>
      </c>
      <c r="F1326" t="inlineStr">
        <is>
          <t>No</t>
        </is>
      </c>
      <c r="G1326" t="inlineStr">
        <is>
          <t>1</t>
        </is>
      </c>
      <c r="H1326" t="inlineStr">
        <is>
          <t>No</t>
        </is>
      </c>
      <c r="I1326" t="inlineStr">
        <is>
          <t>No</t>
        </is>
      </c>
      <c r="J1326" t="inlineStr">
        <is>
          <t>0</t>
        </is>
      </c>
      <c r="K1326" t="inlineStr">
        <is>
          <t>Ross Williamson, Hugh, 1901-1978.</t>
        </is>
      </c>
      <c r="L1326" t="inlineStr">
        <is>
          <t>London : Joseph, 1974.</t>
        </is>
      </c>
      <c r="M1326" t="inlineStr">
        <is>
          <t>1974</t>
        </is>
      </c>
      <c r="O1326" t="inlineStr">
        <is>
          <t>eng</t>
        </is>
      </c>
      <c r="P1326" t="inlineStr">
        <is>
          <t>enk</t>
        </is>
      </c>
      <c r="R1326" t="inlineStr">
        <is>
          <t xml:space="preserve">DG </t>
        </is>
      </c>
      <c r="S1326" t="n">
        <v>2</v>
      </c>
      <c r="T1326" t="n">
        <v>2</v>
      </c>
      <c r="U1326" t="inlineStr">
        <is>
          <t>2006-08-31</t>
        </is>
      </c>
      <c r="V1326" t="inlineStr">
        <is>
          <t>2006-08-31</t>
        </is>
      </c>
      <c r="W1326" t="inlineStr">
        <is>
          <t>1990-07-09</t>
        </is>
      </c>
      <c r="X1326" t="inlineStr">
        <is>
          <t>1990-07-09</t>
        </is>
      </c>
      <c r="Y1326" t="n">
        <v>218</v>
      </c>
      <c r="Z1326" t="n">
        <v>84</v>
      </c>
      <c r="AA1326" t="n">
        <v>558</v>
      </c>
      <c r="AB1326" t="n">
        <v>1</v>
      </c>
      <c r="AC1326" t="n">
        <v>3</v>
      </c>
      <c r="AD1326" t="n">
        <v>5</v>
      </c>
      <c r="AE1326" t="n">
        <v>16</v>
      </c>
      <c r="AF1326" t="n">
        <v>2</v>
      </c>
      <c r="AG1326" t="n">
        <v>7</v>
      </c>
      <c r="AH1326" t="n">
        <v>2</v>
      </c>
      <c r="AI1326" t="n">
        <v>5</v>
      </c>
      <c r="AJ1326" t="n">
        <v>4</v>
      </c>
      <c r="AK1326" t="n">
        <v>11</v>
      </c>
      <c r="AL1326" t="n">
        <v>0</v>
      </c>
      <c r="AM1326" t="n">
        <v>1</v>
      </c>
      <c r="AN1326" t="n">
        <v>0</v>
      </c>
      <c r="AO1326" t="n">
        <v>0</v>
      </c>
      <c r="AP1326" t="inlineStr">
        <is>
          <t>No</t>
        </is>
      </c>
      <c r="AQ1326" t="inlineStr">
        <is>
          <t>Yes</t>
        </is>
      </c>
      <c r="AR1326">
        <f>HYPERLINK("http://catalog.hathitrust.org/Record/000352548","HathiTrust Record")</f>
        <v/>
      </c>
      <c r="AS1326">
        <f>HYPERLINK("https://creighton-primo.hosted.exlibrisgroup.com/primo-explore/search?tab=default_tab&amp;search_scope=EVERYTHING&amp;vid=01CRU&amp;lang=en_US&amp;offset=0&amp;query=any,contains,991003538769702656","Catalog Record")</f>
        <v/>
      </c>
      <c r="AT1326">
        <f>HYPERLINK("http://www.worldcat.org/oclc/1103567","WorldCat Record")</f>
        <v/>
      </c>
      <c r="AU1326" t="inlineStr">
        <is>
          <t>4757690718:eng</t>
        </is>
      </c>
      <c r="AV1326" t="inlineStr">
        <is>
          <t>1103567</t>
        </is>
      </c>
      <c r="AW1326" t="inlineStr">
        <is>
          <t>991003538769702656</t>
        </is>
      </c>
      <c r="AX1326" t="inlineStr">
        <is>
          <t>991003538769702656</t>
        </is>
      </c>
      <c r="AY1326" t="inlineStr">
        <is>
          <t>2267199460002656</t>
        </is>
      </c>
      <c r="AZ1326" t="inlineStr">
        <is>
          <t>BOOK</t>
        </is>
      </c>
      <c r="BB1326" t="inlineStr">
        <is>
          <t>9780718112042</t>
        </is>
      </c>
      <c r="BC1326" t="inlineStr">
        <is>
          <t>32285000226596</t>
        </is>
      </c>
      <c r="BD1326" t="inlineStr">
        <is>
          <t>893881274</t>
        </is>
      </c>
    </row>
    <row r="1327">
      <c r="A1327" t="inlineStr">
        <is>
          <t>No</t>
        </is>
      </c>
      <c r="B1327" t="inlineStr">
        <is>
          <t>DG737.97 .S56 2003</t>
        </is>
      </c>
      <c r="C1327" t="inlineStr">
        <is>
          <t>0                      DG 0737970S  56          2003</t>
        </is>
      </c>
      <c r="D1327" t="inlineStr">
        <is>
          <t>Profeta suo malgrado : Fra Girolamo Savonarola e la sua vicenda interiore / Alberto Bruno Simoni ; translated by Victor Santi.</t>
        </is>
      </c>
      <c r="F1327" t="inlineStr">
        <is>
          <t>No</t>
        </is>
      </c>
      <c r="G1327" t="inlineStr">
        <is>
          <t>1</t>
        </is>
      </c>
      <c r="H1327" t="inlineStr">
        <is>
          <t>No</t>
        </is>
      </c>
      <c r="I1327" t="inlineStr">
        <is>
          <t>No</t>
        </is>
      </c>
      <c r="J1327" t="inlineStr">
        <is>
          <t>0</t>
        </is>
      </c>
      <c r="K1327" t="inlineStr">
        <is>
          <t>Simoni, Alberto Bruno, O.P. [Order of Preachers].</t>
        </is>
      </c>
      <c r="L1327" t="inlineStr">
        <is>
          <t>Metairie, Louisiana : The Marie de Renville - Franicevic Foundation, 2003, 1998.</t>
        </is>
      </c>
      <c r="M1327" t="inlineStr">
        <is>
          <t>2003</t>
        </is>
      </c>
      <c r="O1327" t="inlineStr">
        <is>
          <t>eng</t>
        </is>
      </c>
      <c r="P1327" t="inlineStr">
        <is>
          <t>lau</t>
        </is>
      </c>
      <c r="R1327" t="inlineStr">
        <is>
          <t xml:space="preserve">DG </t>
        </is>
      </c>
      <c r="S1327" t="n">
        <v>3</v>
      </c>
      <c r="T1327" t="n">
        <v>3</v>
      </c>
      <c r="U1327" t="inlineStr">
        <is>
          <t>2010-09-25</t>
        </is>
      </c>
      <c r="V1327" t="inlineStr">
        <is>
          <t>2010-09-25</t>
        </is>
      </c>
      <c r="W1327" t="inlineStr">
        <is>
          <t>2005-01-18</t>
        </is>
      </c>
      <c r="X1327" t="inlineStr">
        <is>
          <t>2005-01-18</t>
        </is>
      </c>
      <c r="Y1327" t="n">
        <v>42</v>
      </c>
      <c r="Z1327" t="n">
        <v>42</v>
      </c>
      <c r="AA1327" t="n">
        <v>42</v>
      </c>
      <c r="AB1327" t="n">
        <v>2</v>
      </c>
      <c r="AC1327" t="n">
        <v>2</v>
      </c>
      <c r="AD1327" t="n">
        <v>12</v>
      </c>
      <c r="AE1327" t="n">
        <v>12</v>
      </c>
      <c r="AF1327" t="n">
        <v>2</v>
      </c>
      <c r="AG1327" t="n">
        <v>2</v>
      </c>
      <c r="AH1327" t="n">
        <v>2</v>
      </c>
      <c r="AI1327" t="n">
        <v>2</v>
      </c>
      <c r="AJ1327" t="n">
        <v>8</v>
      </c>
      <c r="AK1327" t="n">
        <v>8</v>
      </c>
      <c r="AL1327" t="n">
        <v>1</v>
      </c>
      <c r="AM1327" t="n">
        <v>1</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HYPERLINK("https://creighton-primo.hosted.exlibrisgroup.com/primo-explore/search?tab=default_tab&amp;search_scope=EVERYTHING&amp;vid=01CRU&amp;lang=en_US&amp;offset=0&amp;query=any,contains,991004457749702656","Catalog Record")</f>
        <v/>
      </c>
      <c r="AT1327">
        <f>HYPERLINK("http://www.worldcat.org/oclc/56881693","WorldCat Record")</f>
        <v/>
      </c>
      <c r="AU1327" t="inlineStr">
        <is>
          <t>17671114:eng</t>
        </is>
      </c>
      <c r="AV1327" t="inlineStr">
        <is>
          <t>56881693</t>
        </is>
      </c>
      <c r="AW1327" t="inlineStr">
        <is>
          <t>991004457749702656</t>
        </is>
      </c>
      <c r="AX1327" t="inlineStr">
        <is>
          <t>991004457749702656</t>
        </is>
      </c>
      <c r="AY1327" t="inlineStr">
        <is>
          <t>2262474280002656</t>
        </is>
      </c>
      <c r="AZ1327" t="inlineStr">
        <is>
          <t>BOOK</t>
        </is>
      </c>
      <c r="BC1327" t="inlineStr">
        <is>
          <t>32285005021752</t>
        </is>
      </c>
      <c r="BD1327" t="inlineStr">
        <is>
          <t>893687753</t>
        </is>
      </c>
    </row>
    <row r="1328">
      <c r="A1328" t="inlineStr">
        <is>
          <t>No</t>
        </is>
      </c>
      <c r="B1328" t="inlineStr">
        <is>
          <t>DG737.97 .W4</t>
        </is>
      </c>
      <c r="C1328" t="inlineStr">
        <is>
          <t>0                      DG 0737970W  4</t>
        </is>
      </c>
      <c r="D1328" t="inlineStr">
        <is>
          <t>Savonarola and Florence; prophecy and patriotism in the Renaissance.</t>
        </is>
      </c>
      <c r="F1328" t="inlineStr">
        <is>
          <t>No</t>
        </is>
      </c>
      <c r="G1328" t="inlineStr">
        <is>
          <t>1</t>
        </is>
      </c>
      <c r="H1328" t="inlineStr">
        <is>
          <t>No</t>
        </is>
      </c>
      <c r="I1328" t="inlineStr">
        <is>
          <t>No</t>
        </is>
      </c>
      <c r="J1328" t="inlineStr">
        <is>
          <t>0</t>
        </is>
      </c>
      <c r="K1328" t="inlineStr">
        <is>
          <t>Weinstein, Donald, 1926-2015.</t>
        </is>
      </c>
      <c r="L1328" t="inlineStr">
        <is>
          <t>Princeton, N.J., Princeton University Press, 1970.</t>
        </is>
      </c>
      <c r="M1328" t="inlineStr">
        <is>
          <t>1970</t>
        </is>
      </c>
      <c r="O1328" t="inlineStr">
        <is>
          <t>eng</t>
        </is>
      </c>
      <c r="P1328" t="inlineStr">
        <is>
          <t>nju</t>
        </is>
      </c>
      <c r="R1328" t="inlineStr">
        <is>
          <t xml:space="preserve">DG </t>
        </is>
      </c>
      <c r="S1328" t="n">
        <v>0</v>
      </c>
      <c r="T1328" t="n">
        <v>0</v>
      </c>
      <c r="U1328" t="inlineStr">
        <is>
          <t>2002-03-07</t>
        </is>
      </c>
      <c r="V1328" t="inlineStr">
        <is>
          <t>2002-03-07</t>
        </is>
      </c>
      <c r="W1328" t="inlineStr">
        <is>
          <t>1997-02-05</t>
        </is>
      </c>
      <c r="X1328" t="inlineStr">
        <is>
          <t>1997-02-05</t>
        </is>
      </c>
      <c r="Y1328" t="n">
        <v>861</v>
      </c>
      <c r="Z1328" t="n">
        <v>718</v>
      </c>
      <c r="AA1328" t="n">
        <v>731</v>
      </c>
      <c r="AB1328" t="n">
        <v>8</v>
      </c>
      <c r="AC1328" t="n">
        <v>8</v>
      </c>
      <c r="AD1328" t="n">
        <v>37</v>
      </c>
      <c r="AE1328" t="n">
        <v>39</v>
      </c>
      <c r="AF1328" t="n">
        <v>12</v>
      </c>
      <c r="AG1328" t="n">
        <v>14</v>
      </c>
      <c r="AH1328" t="n">
        <v>9</v>
      </c>
      <c r="AI1328" t="n">
        <v>9</v>
      </c>
      <c r="AJ1328" t="n">
        <v>19</v>
      </c>
      <c r="AK1328" t="n">
        <v>19</v>
      </c>
      <c r="AL1328" t="n">
        <v>7</v>
      </c>
      <c r="AM1328" t="n">
        <v>7</v>
      </c>
      <c r="AN1328" t="n">
        <v>0</v>
      </c>
      <c r="AO1328" t="n">
        <v>0</v>
      </c>
      <c r="AP1328" t="inlineStr">
        <is>
          <t>No</t>
        </is>
      </c>
      <c r="AQ1328" t="inlineStr">
        <is>
          <t>Yes</t>
        </is>
      </c>
      <c r="AR1328">
        <f>HYPERLINK("http://catalog.hathitrust.org/Record/000001783","HathiTrust Record")</f>
        <v/>
      </c>
      <c r="AS1328">
        <f>HYPERLINK("https://creighton-primo.hosted.exlibrisgroup.com/primo-explore/search?tab=default_tab&amp;search_scope=EVERYTHING&amp;vid=01CRU&amp;lang=en_US&amp;offset=0&amp;query=any,contains,991000712929702656","Catalog Record")</f>
        <v/>
      </c>
      <c r="AT1328">
        <f>HYPERLINK("http://www.worldcat.org/oclc/125023","WorldCat Record")</f>
        <v/>
      </c>
      <c r="AU1328" t="inlineStr">
        <is>
          <t>1249539:eng</t>
        </is>
      </c>
      <c r="AV1328" t="inlineStr">
        <is>
          <t>125023</t>
        </is>
      </c>
      <c r="AW1328" t="inlineStr">
        <is>
          <t>991000712929702656</t>
        </is>
      </c>
      <c r="AX1328" t="inlineStr">
        <is>
          <t>991000712929702656</t>
        </is>
      </c>
      <c r="AY1328" t="inlineStr">
        <is>
          <t>2260417860002656</t>
        </is>
      </c>
      <c r="AZ1328" t="inlineStr">
        <is>
          <t>BOOK</t>
        </is>
      </c>
      <c r="BC1328" t="inlineStr">
        <is>
          <t>32285002423118</t>
        </is>
      </c>
      <c r="BD1328" t="inlineStr">
        <is>
          <t>893249614</t>
        </is>
      </c>
    </row>
    <row r="1329">
      <c r="A1329" t="inlineStr">
        <is>
          <t>No</t>
        </is>
      </c>
      <c r="B1329" t="inlineStr">
        <is>
          <t>DG738.13 .B88 1985</t>
        </is>
      </c>
      <c r="C1329" t="inlineStr">
        <is>
          <t>0                      DG 0738130B  88          1985</t>
        </is>
      </c>
      <c r="D1329" t="inlineStr">
        <is>
          <t>Governors and government in early sixteenth-century Florence, 1502-1519 / H.C. Butters.</t>
        </is>
      </c>
      <c r="F1329" t="inlineStr">
        <is>
          <t>No</t>
        </is>
      </c>
      <c r="G1329" t="inlineStr">
        <is>
          <t>1</t>
        </is>
      </c>
      <c r="H1329" t="inlineStr">
        <is>
          <t>No</t>
        </is>
      </c>
      <c r="I1329" t="inlineStr">
        <is>
          <t>No</t>
        </is>
      </c>
      <c r="J1329" t="inlineStr">
        <is>
          <t>0</t>
        </is>
      </c>
      <c r="K1329" t="inlineStr">
        <is>
          <t>Butters, H. C.</t>
        </is>
      </c>
      <c r="L1329" t="inlineStr">
        <is>
          <t>Oxford [Oxfordshire] : Clarendon Press ; New York : Oxford University Press, 1985.</t>
        </is>
      </c>
      <c r="M1329" t="inlineStr">
        <is>
          <t>1985</t>
        </is>
      </c>
      <c r="O1329" t="inlineStr">
        <is>
          <t>eng</t>
        </is>
      </c>
      <c r="P1329" t="inlineStr">
        <is>
          <t>enk</t>
        </is>
      </c>
      <c r="R1329" t="inlineStr">
        <is>
          <t xml:space="preserve">DG </t>
        </is>
      </c>
      <c r="S1329" t="n">
        <v>2</v>
      </c>
      <c r="T1329" t="n">
        <v>2</v>
      </c>
      <c r="U1329" t="inlineStr">
        <is>
          <t>1994-11-18</t>
        </is>
      </c>
      <c r="V1329" t="inlineStr">
        <is>
          <t>1994-11-18</t>
        </is>
      </c>
      <c r="W1329" t="inlineStr">
        <is>
          <t>1991-11-25</t>
        </is>
      </c>
      <c r="X1329" t="inlineStr">
        <is>
          <t>1991-11-25</t>
        </is>
      </c>
      <c r="Y1329" t="n">
        <v>388</v>
      </c>
      <c r="Z1329" t="n">
        <v>274</v>
      </c>
      <c r="AA1329" t="n">
        <v>279</v>
      </c>
      <c r="AB1329" t="n">
        <v>3</v>
      </c>
      <c r="AC1329" t="n">
        <v>3</v>
      </c>
      <c r="AD1329" t="n">
        <v>17</v>
      </c>
      <c r="AE1329" t="n">
        <v>17</v>
      </c>
      <c r="AF1329" t="n">
        <v>3</v>
      </c>
      <c r="AG1329" t="n">
        <v>3</v>
      </c>
      <c r="AH1329" t="n">
        <v>6</v>
      </c>
      <c r="AI1329" t="n">
        <v>6</v>
      </c>
      <c r="AJ1329" t="n">
        <v>11</v>
      </c>
      <c r="AK1329" t="n">
        <v>11</v>
      </c>
      <c r="AL1329" t="n">
        <v>2</v>
      </c>
      <c r="AM1329" t="n">
        <v>2</v>
      </c>
      <c r="AN1329" t="n">
        <v>0</v>
      </c>
      <c r="AO1329" t="n">
        <v>0</v>
      </c>
      <c r="AP1329" t="inlineStr">
        <is>
          <t>No</t>
        </is>
      </c>
      <c r="AQ1329" t="inlineStr">
        <is>
          <t>Yes</t>
        </is>
      </c>
      <c r="AR1329">
        <f>HYPERLINK("http://catalog.hathitrust.org/Record/000378273","HathiTrust Record")</f>
        <v/>
      </c>
      <c r="AS1329">
        <f>HYPERLINK("https://creighton-primo.hosted.exlibrisgroup.com/primo-explore/search?tab=default_tab&amp;search_scope=EVERYTHING&amp;vid=01CRU&amp;lang=en_US&amp;offset=0&amp;query=any,contains,991000543619702656","Catalog Record")</f>
        <v/>
      </c>
      <c r="AT1329">
        <f>HYPERLINK("http://www.worldcat.org/oclc/11497942","WorldCat Record")</f>
        <v/>
      </c>
      <c r="AU1329" t="inlineStr">
        <is>
          <t>4254939:eng</t>
        </is>
      </c>
      <c r="AV1329" t="inlineStr">
        <is>
          <t>11497942</t>
        </is>
      </c>
      <c r="AW1329" t="inlineStr">
        <is>
          <t>991000543619702656</t>
        </is>
      </c>
      <c r="AX1329" t="inlineStr">
        <is>
          <t>991000543619702656</t>
        </is>
      </c>
      <c r="AY1329" t="inlineStr">
        <is>
          <t>2262890860002656</t>
        </is>
      </c>
      <c r="AZ1329" t="inlineStr">
        <is>
          <t>BOOK</t>
        </is>
      </c>
      <c r="BB1329" t="inlineStr">
        <is>
          <t>9780198225935</t>
        </is>
      </c>
      <c r="BC1329" t="inlineStr">
        <is>
          <t>32285000654466</t>
        </is>
      </c>
      <c r="BD1329" t="inlineStr">
        <is>
          <t>893865468</t>
        </is>
      </c>
    </row>
    <row r="1330">
      <c r="A1330" t="inlineStr">
        <is>
          <t>No</t>
        </is>
      </c>
      <c r="B1330" t="inlineStr">
        <is>
          <t>DG738.13 .G5</t>
        </is>
      </c>
      <c r="C1330" t="inlineStr">
        <is>
          <t>0                      DG 0738130G  5</t>
        </is>
      </c>
      <c r="D1330" t="inlineStr">
        <is>
          <t>Machiavelli and Guicciardini : politics and history in sixteenth-century Florence.</t>
        </is>
      </c>
      <c r="F1330" t="inlineStr">
        <is>
          <t>No</t>
        </is>
      </c>
      <c r="G1330" t="inlineStr">
        <is>
          <t>1</t>
        </is>
      </c>
      <c r="H1330" t="inlineStr">
        <is>
          <t>No</t>
        </is>
      </c>
      <c r="I1330" t="inlineStr">
        <is>
          <t>No</t>
        </is>
      </c>
      <c r="J1330" t="inlineStr">
        <is>
          <t>0</t>
        </is>
      </c>
      <c r="K1330" t="inlineStr">
        <is>
          <t>Gilbert, Felix, 1905-1991.</t>
        </is>
      </c>
      <c r="L1330" t="inlineStr">
        <is>
          <t>Princeton, N.J. : Princeton University Press, 1965.</t>
        </is>
      </c>
      <c r="M1330" t="inlineStr">
        <is>
          <t>1965</t>
        </is>
      </c>
      <c r="O1330" t="inlineStr">
        <is>
          <t>eng</t>
        </is>
      </c>
      <c r="P1330" t="inlineStr">
        <is>
          <t>nju</t>
        </is>
      </c>
      <c r="R1330" t="inlineStr">
        <is>
          <t xml:space="preserve">DG </t>
        </is>
      </c>
      <c r="S1330" t="n">
        <v>9</v>
      </c>
      <c r="T1330" t="n">
        <v>9</v>
      </c>
      <c r="U1330" t="inlineStr">
        <is>
          <t>1999-10-14</t>
        </is>
      </c>
      <c r="V1330" t="inlineStr">
        <is>
          <t>1999-10-14</t>
        </is>
      </c>
      <c r="W1330" t="inlineStr">
        <is>
          <t>1992-12-11</t>
        </is>
      </c>
      <c r="X1330" t="inlineStr">
        <is>
          <t>1992-12-11</t>
        </is>
      </c>
      <c r="Y1330" t="n">
        <v>1055</v>
      </c>
      <c r="Z1330" t="n">
        <v>879</v>
      </c>
      <c r="AA1330" t="n">
        <v>1070</v>
      </c>
      <c r="AB1330" t="n">
        <v>7</v>
      </c>
      <c r="AC1330" t="n">
        <v>8</v>
      </c>
      <c r="AD1330" t="n">
        <v>48</v>
      </c>
      <c r="AE1330" t="n">
        <v>53</v>
      </c>
      <c r="AF1330" t="n">
        <v>19</v>
      </c>
      <c r="AG1330" t="n">
        <v>21</v>
      </c>
      <c r="AH1330" t="n">
        <v>11</v>
      </c>
      <c r="AI1330" t="n">
        <v>11</v>
      </c>
      <c r="AJ1330" t="n">
        <v>25</v>
      </c>
      <c r="AK1330" t="n">
        <v>27</v>
      </c>
      <c r="AL1330" t="n">
        <v>6</v>
      </c>
      <c r="AM1330" t="n">
        <v>7</v>
      </c>
      <c r="AN1330" t="n">
        <v>1</v>
      </c>
      <c r="AO1330" t="n">
        <v>1</v>
      </c>
      <c r="AP1330" t="inlineStr">
        <is>
          <t>No</t>
        </is>
      </c>
      <c r="AQ1330" t="inlineStr">
        <is>
          <t>No</t>
        </is>
      </c>
      <c r="AS1330">
        <f>HYPERLINK("https://creighton-primo.hosted.exlibrisgroup.com/primo-explore/search?tab=default_tab&amp;search_scope=EVERYTHING&amp;vid=01CRU&amp;lang=en_US&amp;offset=0&amp;query=any,contains,991002701479702656","Catalog Record")</f>
        <v/>
      </c>
      <c r="AT1330">
        <f>HYPERLINK("http://www.worldcat.org/oclc/405678","WorldCat Record")</f>
        <v/>
      </c>
      <c r="AU1330" t="inlineStr">
        <is>
          <t>3901015062:eng</t>
        </is>
      </c>
      <c r="AV1330" t="inlineStr">
        <is>
          <t>405678</t>
        </is>
      </c>
      <c r="AW1330" t="inlineStr">
        <is>
          <t>991002701479702656</t>
        </is>
      </c>
      <c r="AX1330" t="inlineStr">
        <is>
          <t>991002701479702656</t>
        </is>
      </c>
      <c r="AY1330" t="inlineStr">
        <is>
          <t>2260419760002656</t>
        </is>
      </c>
      <c r="AZ1330" t="inlineStr">
        <is>
          <t>BOOK</t>
        </is>
      </c>
      <c r="BC1330" t="inlineStr">
        <is>
          <t>32285001441053</t>
        </is>
      </c>
      <c r="BD1330" t="inlineStr">
        <is>
          <t>893341743</t>
        </is>
      </c>
    </row>
    <row r="1331">
      <c r="A1331" t="inlineStr">
        <is>
          <t>No</t>
        </is>
      </c>
      <c r="B1331" t="inlineStr">
        <is>
          <t>DG738.13 .S74 1983</t>
        </is>
      </c>
      <c r="C1331" t="inlineStr">
        <is>
          <t>0                      DG 0738130S  74          1983</t>
        </is>
      </c>
      <c r="D1331" t="inlineStr">
        <is>
          <t>The fall of the Florentine Republic, 1512-1530 / J.N. Stephens.</t>
        </is>
      </c>
      <c r="F1331" t="inlineStr">
        <is>
          <t>No</t>
        </is>
      </c>
      <c r="G1331" t="inlineStr">
        <is>
          <t>1</t>
        </is>
      </c>
      <c r="H1331" t="inlineStr">
        <is>
          <t>No</t>
        </is>
      </c>
      <c r="I1331" t="inlineStr">
        <is>
          <t>No</t>
        </is>
      </c>
      <c r="J1331" t="inlineStr">
        <is>
          <t>0</t>
        </is>
      </c>
      <c r="K1331" t="inlineStr">
        <is>
          <t>Stephens, J. N.</t>
        </is>
      </c>
      <c r="L1331" t="inlineStr">
        <is>
          <t>Oxford : Clarendon Press ; New York : Oxford University Press, 1983.</t>
        </is>
      </c>
      <c r="M1331" t="inlineStr">
        <is>
          <t>1983</t>
        </is>
      </c>
      <c r="O1331" t="inlineStr">
        <is>
          <t>eng</t>
        </is>
      </c>
      <c r="P1331" t="inlineStr">
        <is>
          <t>enk</t>
        </is>
      </c>
      <c r="Q1331" t="inlineStr">
        <is>
          <t>Oxford-Warburg studies</t>
        </is>
      </c>
      <c r="R1331" t="inlineStr">
        <is>
          <t xml:space="preserve">DG </t>
        </is>
      </c>
      <c r="S1331" t="n">
        <v>3</v>
      </c>
      <c r="T1331" t="n">
        <v>3</v>
      </c>
      <c r="U1331" t="inlineStr">
        <is>
          <t>1994-11-21</t>
        </is>
      </c>
      <c r="V1331" t="inlineStr">
        <is>
          <t>1994-11-21</t>
        </is>
      </c>
      <c r="W1331" t="inlineStr">
        <is>
          <t>1991-04-23</t>
        </is>
      </c>
      <c r="X1331" t="inlineStr">
        <is>
          <t>1991-04-23</t>
        </is>
      </c>
      <c r="Y1331" t="n">
        <v>411</v>
      </c>
      <c r="Z1331" t="n">
        <v>293</v>
      </c>
      <c r="AA1331" t="n">
        <v>295</v>
      </c>
      <c r="AB1331" t="n">
        <v>2</v>
      </c>
      <c r="AC1331" t="n">
        <v>2</v>
      </c>
      <c r="AD1331" t="n">
        <v>15</v>
      </c>
      <c r="AE1331" t="n">
        <v>15</v>
      </c>
      <c r="AF1331" t="n">
        <v>2</v>
      </c>
      <c r="AG1331" t="n">
        <v>2</v>
      </c>
      <c r="AH1331" t="n">
        <v>7</v>
      </c>
      <c r="AI1331" t="n">
        <v>7</v>
      </c>
      <c r="AJ1331" t="n">
        <v>8</v>
      </c>
      <c r="AK1331" t="n">
        <v>8</v>
      </c>
      <c r="AL1331" t="n">
        <v>1</v>
      </c>
      <c r="AM1331" t="n">
        <v>1</v>
      </c>
      <c r="AN1331" t="n">
        <v>0</v>
      </c>
      <c r="AO1331" t="n">
        <v>0</v>
      </c>
      <c r="AP1331" t="inlineStr">
        <is>
          <t>No</t>
        </is>
      </c>
      <c r="AQ1331" t="inlineStr">
        <is>
          <t>Yes</t>
        </is>
      </c>
      <c r="AR1331">
        <f>HYPERLINK("http://catalog.hathitrust.org/Record/000113471","HathiTrust Record")</f>
        <v/>
      </c>
      <c r="AS1331">
        <f>HYPERLINK("https://creighton-primo.hosted.exlibrisgroup.com/primo-explore/search?tab=default_tab&amp;search_scope=EVERYTHING&amp;vid=01CRU&amp;lang=en_US&amp;offset=0&amp;query=any,contains,991000309869702656","Catalog Record")</f>
        <v/>
      </c>
      <c r="AT1331">
        <f>HYPERLINK("http://www.worldcat.org/oclc/10083070","WorldCat Record")</f>
        <v/>
      </c>
      <c r="AU1331" t="inlineStr">
        <is>
          <t>3364823:eng</t>
        </is>
      </c>
      <c r="AV1331" t="inlineStr">
        <is>
          <t>10083070</t>
        </is>
      </c>
      <c r="AW1331" t="inlineStr">
        <is>
          <t>991000309869702656</t>
        </is>
      </c>
      <c r="AX1331" t="inlineStr">
        <is>
          <t>991000309869702656</t>
        </is>
      </c>
      <c r="AY1331" t="inlineStr">
        <is>
          <t>2262784510002656</t>
        </is>
      </c>
      <c r="AZ1331" t="inlineStr">
        <is>
          <t>BOOK</t>
        </is>
      </c>
      <c r="BB1331" t="inlineStr">
        <is>
          <t>9780198225997</t>
        </is>
      </c>
      <c r="BC1331" t="inlineStr">
        <is>
          <t>32285000522382</t>
        </is>
      </c>
      <c r="BD1331" t="inlineStr">
        <is>
          <t>893790401</t>
        </is>
      </c>
    </row>
    <row r="1332">
      <c r="A1332" t="inlineStr">
        <is>
          <t>No</t>
        </is>
      </c>
      <c r="B1332" t="inlineStr">
        <is>
          <t>DG738.14.M2 A4 1996</t>
        </is>
      </c>
      <c r="C1332" t="inlineStr">
        <is>
          <t>0                      DG 0738140M  2                  A  4           1996</t>
        </is>
      </c>
      <c r="D1332" t="inlineStr">
        <is>
          <t>Machiavelli and his friends : their personal correspondence / [Niccolò Machiavelli] ; translated and edited by James B. Atkinson and David Sices.</t>
        </is>
      </c>
      <c r="F1332" t="inlineStr">
        <is>
          <t>No</t>
        </is>
      </c>
      <c r="G1332" t="inlineStr">
        <is>
          <t>1</t>
        </is>
      </c>
      <c r="H1332" t="inlineStr">
        <is>
          <t>No</t>
        </is>
      </c>
      <c r="I1332" t="inlineStr">
        <is>
          <t>No</t>
        </is>
      </c>
      <c r="J1332" t="inlineStr">
        <is>
          <t>0</t>
        </is>
      </c>
      <c r="K1332" t="inlineStr">
        <is>
          <t>Machiavelli, Niccolò, 1469-1527.</t>
        </is>
      </c>
      <c r="L1332" t="inlineStr">
        <is>
          <t>Dekalb, Ill. : Northern Illinois University Press, 1996.</t>
        </is>
      </c>
      <c r="M1332" t="inlineStr">
        <is>
          <t>1996</t>
        </is>
      </c>
      <c r="O1332" t="inlineStr">
        <is>
          <t>eng</t>
        </is>
      </c>
      <c r="P1332" t="inlineStr">
        <is>
          <t>ilu</t>
        </is>
      </c>
      <c r="R1332" t="inlineStr">
        <is>
          <t xml:space="preserve">DG </t>
        </is>
      </c>
      <c r="S1332" t="n">
        <v>7</v>
      </c>
      <c r="T1332" t="n">
        <v>7</v>
      </c>
      <c r="U1332" t="inlineStr">
        <is>
          <t>1999-11-27</t>
        </is>
      </c>
      <c r="V1332" t="inlineStr">
        <is>
          <t>1999-11-27</t>
        </is>
      </c>
      <c r="W1332" t="inlineStr">
        <is>
          <t>1997-11-14</t>
        </is>
      </c>
      <c r="X1332" t="inlineStr">
        <is>
          <t>1997-11-14</t>
        </is>
      </c>
      <c r="Y1332" t="n">
        <v>498</v>
      </c>
      <c r="Z1332" t="n">
        <v>432</v>
      </c>
      <c r="AA1332" t="n">
        <v>446</v>
      </c>
      <c r="AB1332" t="n">
        <v>3</v>
      </c>
      <c r="AC1332" t="n">
        <v>3</v>
      </c>
      <c r="AD1332" t="n">
        <v>36</v>
      </c>
      <c r="AE1332" t="n">
        <v>37</v>
      </c>
      <c r="AF1332" t="n">
        <v>14</v>
      </c>
      <c r="AG1332" t="n">
        <v>15</v>
      </c>
      <c r="AH1332" t="n">
        <v>9</v>
      </c>
      <c r="AI1332" t="n">
        <v>10</v>
      </c>
      <c r="AJ1332" t="n">
        <v>20</v>
      </c>
      <c r="AK1332" t="n">
        <v>20</v>
      </c>
      <c r="AL1332" t="n">
        <v>2</v>
      </c>
      <c r="AM1332" t="n">
        <v>2</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HYPERLINK("https://creighton-primo.hosted.exlibrisgroup.com/primo-explore/search?tab=default_tab&amp;search_scope=EVERYTHING&amp;vid=01CRU&amp;lang=en_US&amp;offset=0&amp;query=any,contains,991002656049702656","Catalog Record")</f>
        <v/>
      </c>
      <c r="AT1332">
        <f>HYPERLINK("http://www.worldcat.org/oclc/34730150","WorldCat Record")</f>
        <v/>
      </c>
      <c r="AU1332" t="inlineStr">
        <is>
          <t>366151316:eng</t>
        </is>
      </c>
      <c r="AV1332" t="inlineStr">
        <is>
          <t>34730150</t>
        </is>
      </c>
      <c r="AW1332" t="inlineStr">
        <is>
          <t>991002656049702656</t>
        </is>
      </c>
      <c r="AX1332" t="inlineStr">
        <is>
          <t>991002656049702656</t>
        </is>
      </c>
      <c r="AY1332" t="inlineStr">
        <is>
          <t>2270482730002656</t>
        </is>
      </c>
      <c r="AZ1332" t="inlineStr">
        <is>
          <t>BOOK</t>
        </is>
      </c>
      <c r="BB1332" t="inlineStr">
        <is>
          <t>9780875802107</t>
        </is>
      </c>
      <c r="BC1332" t="inlineStr">
        <is>
          <t>32285003270179</t>
        </is>
      </c>
      <c r="BD1332" t="inlineStr">
        <is>
          <t>893341697</t>
        </is>
      </c>
    </row>
    <row r="1333">
      <c r="A1333" t="inlineStr">
        <is>
          <t>No</t>
        </is>
      </c>
      <c r="B1333" t="inlineStr">
        <is>
          <t>DG738.14.M2 B3713 1975</t>
        </is>
      </c>
      <c r="C1333" t="inlineStr">
        <is>
          <t>0                      DG 0738140M  2                  B  3713        1975</t>
        </is>
      </c>
      <c r="D1333" t="inlineStr">
        <is>
          <t>Machiavelli / Edmond Barincou ; translated by Helen R. Lane.</t>
        </is>
      </c>
      <c r="F1333" t="inlineStr">
        <is>
          <t>No</t>
        </is>
      </c>
      <c r="G1333" t="inlineStr">
        <is>
          <t>1</t>
        </is>
      </c>
      <c r="H1333" t="inlineStr">
        <is>
          <t>No</t>
        </is>
      </c>
      <c r="I1333" t="inlineStr">
        <is>
          <t>No</t>
        </is>
      </c>
      <c r="J1333" t="inlineStr">
        <is>
          <t>0</t>
        </is>
      </c>
      <c r="K1333" t="inlineStr">
        <is>
          <t>Barincou, Edmond.</t>
        </is>
      </c>
      <c r="L1333" t="inlineStr">
        <is>
          <t>Westport, Conn. : Greenwood Press, 1975.</t>
        </is>
      </c>
      <c r="M1333" t="inlineStr">
        <is>
          <t>1975</t>
        </is>
      </c>
      <c r="O1333" t="inlineStr">
        <is>
          <t>eng</t>
        </is>
      </c>
      <c r="P1333" t="inlineStr">
        <is>
          <t>ctu</t>
        </is>
      </c>
      <c r="R1333" t="inlineStr">
        <is>
          <t xml:space="preserve">DG </t>
        </is>
      </c>
      <c r="S1333" t="n">
        <v>22</v>
      </c>
      <c r="T1333" t="n">
        <v>22</v>
      </c>
      <c r="U1333" t="inlineStr">
        <is>
          <t>2002-11-08</t>
        </is>
      </c>
      <c r="V1333" t="inlineStr">
        <is>
          <t>2002-11-08</t>
        </is>
      </c>
      <c r="W1333" t="inlineStr">
        <is>
          <t>1993-12-08</t>
        </is>
      </c>
      <c r="X1333" t="inlineStr">
        <is>
          <t>1993-12-08</t>
        </is>
      </c>
      <c r="Y1333" t="n">
        <v>99</v>
      </c>
      <c r="Z1333" t="n">
        <v>85</v>
      </c>
      <c r="AA1333" t="n">
        <v>241</v>
      </c>
      <c r="AB1333" t="n">
        <v>1</v>
      </c>
      <c r="AC1333" t="n">
        <v>2</v>
      </c>
      <c r="AD1333" t="n">
        <v>5</v>
      </c>
      <c r="AE1333" t="n">
        <v>12</v>
      </c>
      <c r="AF1333" t="n">
        <v>2</v>
      </c>
      <c r="AG1333" t="n">
        <v>4</v>
      </c>
      <c r="AH1333" t="n">
        <v>3</v>
      </c>
      <c r="AI1333" t="n">
        <v>4</v>
      </c>
      <c r="AJ1333" t="n">
        <v>4</v>
      </c>
      <c r="AK1333" t="n">
        <v>7</v>
      </c>
      <c r="AL1333" t="n">
        <v>0</v>
      </c>
      <c r="AM1333" t="n">
        <v>1</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HYPERLINK("https://creighton-primo.hosted.exlibrisgroup.com/primo-explore/search?tab=default_tab&amp;search_scope=EVERYTHING&amp;vid=01CRU&amp;lang=en_US&amp;offset=0&amp;query=any,contains,991003943699702656","Catalog Record")</f>
        <v/>
      </c>
      <c r="AT1333">
        <f>HYPERLINK("http://www.worldcat.org/oclc/1939870","WorldCat Record")</f>
        <v/>
      </c>
      <c r="AU1333" t="inlineStr">
        <is>
          <t>4663510328:eng</t>
        </is>
      </c>
      <c r="AV1333" t="inlineStr">
        <is>
          <t>1939870</t>
        </is>
      </c>
      <c r="AW1333" t="inlineStr">
        <is>
          <t>991003943699702656</t>
        </is>
      </c>
      <c r="AX1333" t="inlineStr">
        <is>
          <t>991003943699702656</t>
        </is>
      </c>
      <c r="AY1333" t="inlineStr">
        <is>
          <t>2259904290002656</t>
        </is>
      </c>
      <c r="AZ1333" t="inlineStr">
        <is>
          <t>BOOK</t>
        </is>
      </c>
      <c r="BB1333" t="inlineStr">
        <is>
          <t>9780837181851</t>
        </is>
      </c>
      <c r="BC1333" t="inlineStr">
        <is>
          <t>32285001806339</t>
        </is>
      </c>
      <c r="BD1333" t="inlineStr">
        <is>
          <t>893693351</t>
        </is>
      </c>
    </row>
    <row r="1334">
      <c r="A1334" t="inlineStr">
        <is>
          <t>No</t>
        </is>
      </c>
      <c r="B1334" t="inlineStr">
        <is>
          <t>DG738.14.M2 B66 1974</t>
        </is>
      </c>
      <c r="C1334" t="inlineStr">
        <is>
          <t>0                      DG 0738140M  2                  B  66          1974</t>
        </is>
      </c>
      <c r="D1334" t="inlineStr">
        <is>
          <t>Machiavelli and the art of Renaissance history / [by] Peter E. Bondanella.</t>
        </is>
      </c>
      <c r="F1334" t="inlineStr">
        <is>
          <t>No</t>
        </is>
      </c>
      <c r="G1334" t="inlineStr">
        <is>
          <t>1</t>
        </is>
      </c>
      <c r="H1334" t="inlineStr">
        <is>
          <t>No</t>
        </is>
      </c>
      <c r="I1334" t="inlineStr">
        <is>
          <t>No</t>
        </is>
      </c>
      <c r="J1334" t="inlineStr">
        <is>
          <t>0</t>
        </is>
      </c>
      <c r="K1334" t="inlineStr">
        <is>
          <t>Bondanella, Peter, 1943-2017.</t>
        </is>
      </c>
      <c r="L1334" t="inlineStr">
        <is>
          <t>Detroit : Wayne State University Press, 1973 [i.e. 1974]</t>
        </is>
      </c>
      <c r="M1334" t="inlineStr">
        <is>
          <t>1974</t>
        </is>
      </c>
      <c r="O1334" t="inlineStr">
        <is>
          <t>eng</t>
        </is>
      </c>
      <c r="P1334" t="inlineStr">
        <is>
          <t>miu</t>
        </is>
      </c>
      <c r="R1334" t="inlineStr">
        <is>
          <t xml:space="preserve">DG </t>
        </is>
      </c>
      <c r="S1334" t="n">
        <v>10</v>
      </c>
      <c r="T1334" t="n">
        <v>10</v>
      </c>
      <c r="U1334" t="inlineStr">
        <is>
          <t>2001-11-26</t>
        </is>
      </c>
      <c r="V1334" t="inlineStr">
        <is>
          <t>2001-11-26</t>
        </is>
      </c>
      <c r="W1334" t="inlineStr">
        <is>
          <t>1992-02-17</t>
        </is>
      </c>
      <c r="X1334" t="inlineStr">
        <is>
          <t>1992-02-17</t>
        </is>
      </c>
      <c r="Y1334" t="n">
        <v>428</v>
      </c>
      <c r="Z1334" t="n">
        <v>368</v>
      </c>
      <c r="AA1334" t="n">
        <v>501</v>
      </c>
      <c r="AB1334" t="n">
        <v>4</v>
      </c>
      <c r="AC1334" t="n">
        <v>5</v>
      </c>
      <c r="AD1334" t="n">
        <v>16</v>
      </c>
      <c r="AE1334" t="n">
        <v>22</v>
      </c>
      <c r="AF1334" t="n">
        <v>5</v>
      </c>
      <c r="AG1334" t="n">
        <v>8</v>
      </c>
      <c r="AH1334" t="n">
        <v>3</v>
      </c>
      <c r="AI1334" t="n">
        <v>4</v>
      </c>
      <c r="AJ1334" t="n">
        <v>10</v>
      </c>
      <c r="AK1334" t="n">
        <v>13</v>
      </c>
      <c r="AL1334" t="n">
        <v>3</v>
      </c>
      <c r="AM1334" t="n">
        <v>4</v>
      </c>
      <c r="AN1334" t="n">
        <v>0</v>
      </c>
      <c r="AO1334" t="n">
        <v>0</v>
      </c>
      <c r="AP1334" t="inlineStr">
        <is>
          <t>No</t>
        </is>
      </c>
      <c r="AQ1334" t="inlineStr">
        <is>
          <t>Yes</t>
        </is>
      </c>
      <c r="AR1334">
        <f>HYPERLINK("http://catalog.hathitrust.org/Record/000353072","HathiTrust Record")</f>
        <v/>
      </c>
      <c r="AS1334">
        <f>HYPERLINK("https://creighton-primo.hosted.exlibrisgroup.com/primo-explore/search?tab=default_tab&amp;search_scope=EVERYTHING&amp;vid=01CRU&amp;lang=en_US&amp;offset=0&amp;query=any,contains,991003121969702656","Catalog Record")</f>
        <v/>
      </c>
      <c r="AT1334">
        <f>HYPERLINK("http://www.worldcat.org/oclc/667077","WorldCat Record")</f>
        <v/>
      </c>
      <c r="AU1334" t="inlineStr">
        <is>
          <t>1678429:eng</t>
        </is>
      </c>
      <c r="AV1334" t="inlineStr">
        <is>
          <t>667077</t>
        </is>
      </c>
      <c r="AW1334" t="inlineStr">
        <is>
          <t>991003121969702656</t>
        </is>
      </c>
      <c r="AX1334" t="inlineStr">
        <is>
          <t>991003121969702656</t>
        </is>
      </c>
      <c r="AY1334" t="inlineStr">
        <is>
          <t>2256681960002656</t>
        </is>
      </c>
      <c r="AZ1334" t="inlineStr">
        <is>
          <t>BOOK</t>
        </is>
      </c>
      <c r="BB1334" t="inlineStr">
        <is>
          <t>9780814314999</t>
        </is>
      </c>
      <c r="BC1334" t="inlineStr">
        <is>
          <t>32285000970458</t>
        </is>
      </c>
      <c r="BD1334" t="inlineStr">
        <is>
          <t>893498963</t>
        </is>
      </c>
    </row>
    <row r="1335">
      <c r="A1335" t="inlineStr">
        <is>
          <t>No</t>
        </is>
      </c>
      <c r="B1335" t="inlineStr">
        <is>
          <t>DG738.14.M2 M75 1976</t>
        </is>
      </c>
      <c r="C1335" t="inlineStr">
        <is>
          <t>0                      DG 0738140M  2                  M  75          1976</t>
        </is>
      </c>
      <c r="D1335" t="inlineStr">
        <is>
          <t>Machiavelli and his times / by D. Erskine Muir.</t>
        </is>
      </c>
      <c r="F1335" t="inlineStr">
        <is>
          <t>No</t>
        </is>
      </c>
      <c r="G1335" t="inlineStr">
        <is>
          <t>1</t>
        </is>
      </c>
      <c r="H1335" t="inlineStr">
        <is>
          <t>No</t>
        </is>
      </c>
      <c r="I1335" t="inlineStr">
        <is>
          <t>No</t>
        </is>
      </c>
      <c r="J1335" t="inlineStr">
        <is>
          <t>0</t>
        </is>
      </c>
      <c r="K1335" t="inlineStr">
        <is>
          <t>Muir, D. Erskine (Dorothy Erskine), 1889-</t>
        </is>
      </c>
      <c r="L1335" t="inlineStr">
        <is>
          <t>Westport, Conn. : Greenwood Press, 1976.</t>
        </is>
      </c>
      <c r="M1335" t="inlineStr">
        <is>
          <t>1976</t>
        </is>
      </c>
      <c r="O1335" t="inlineStr">
        <is>
          <t>eng</t>
        </is>
      </c>
      <c r="P1335" t="inlineStr">
        <is>
          <t>ctu</t>
        </is>
      </c>
      <c r="R1335" t="inlineStr">
        <is>
          <t xml:space="preserve">DG </t>
        </is>
      </c>
      <c r="S1335" t="n">
        <v>26</v>
      </c>
      <c r="T1335" t="n">
        <v>26</v>
      </c>
      <c r="U1335" t="inlineStr">
        <is>
          <t>1999-10-14</t>
        </is>
      </c>
      <c r="V1335" t="inlineStr">
        <is>
          <t>1999-10-14</t>
        </is>
      </c>
      <c r="W1335" t="inlineStr">
        <is>
          <t>1993-12-08</t>
        </is>
      </c>
      <c r="X1335" t="inlineStr">
        <is>
          <t>1993-12-08</t>
        </is>
      </c>
      <c r="Y1335" t="n">
        <v>84</v>
      </c>
      <c r="Z1335" t="n">
        <v>73</v>
      </c>
      <c r="AA1335" t="n">
        <v>343</v>
      </c>
      <c r="AB1335" t="n">
        <v>1</v>
      </c>
      <c r="AC1335" t="n">
        <v>4</v>
      </c>
      <c r="AD1335" t="n">
        <v>3</v>
      </c>
      <c r="AE1335" t="n">
        <v>14</v>
      </c>
      <c r="AF1335" t="n">
        <v>1</v>
      </c>
      <c r="AG1335" t="n">
        <v>3</v>
      </c>
      <c r="AH1335" t="n">
        <v>1</v>
      </c>
      <c r="AI1335" t="n">
        <v>5</v>
      </c>
      <c r="AJ1335" t="n">
        <v>3</v>
      </c>
      <c r="AK1335" t="n">
        <v>7</v>
      </c>
      <c r="AL1335" t="n">
        <v>0</v>
      </c>
      <c r="AM1335" t="n">
        <v>3</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HYPERLINK("https://creighton-primo.hosted.exlibrisgroup.com/primo-explore/search?tab=default_tab&amp;search_scope=EVERYTHING&amp;vid=01CRU&amp;lang=en_US&amp;offset=0&amp;query=any,contains,991004074919702656","Catalog Record")</f>
        <v/>
      </c>
      <c r="AT1335">
        <f>HYPERLINK("http://www.worldcat.org/oclc/2316899","WorldCat Record")</f>
        <v/>
      </c>
      <c r="AU1335" t="inlineStr">
        <is>
          <t>1704602:eng</t>
        </is>
      </c>
      <c r="AV1335" t="inlineStr">
        <is>
          <t>2316899</t>
        </is>
      </c>
      <c r="AW1335" t="inlineStr">
        <is>
          <t>991004074919702656</t>
        </is>
      </c>
      <c r="AX1335" t="inlineStr">
        <is>
          <t>991004074919702656</t>
        </is>
      </c>
      <c r="AY1335" t="inlineStr">
        <is>
          <t>2262336000002656</t>
        </is>
      </c>
      <c r="AZ1335" t="inlineStr">
        <is>
          <t>BOOK</t>
        </is>
      </c>
      <c r="BB1335" t="inlineStr">
        <is>
          <t>9780837178899</t>
        </is>
      </c>
      <c r="BC1335" t="inlineStr">
        <is>
          <t>32285001806321</t>
        </is>
      </c>
      <c r="BD1335" t="inlineStr">
        <is>
          <t>893624317</t>
        </is>
      </c>
    </row>
    <row r="1336">
      <c r="A1336" t="inlineStr">
        <is>
          <t>No</t>
        </is>
      </c>
      <c r="B1336" t="inlineStr">
        <is>
          <t>DG738.14.M2 P7</t>
        </is>
      </c>
      <c r="C1336" t="inlineStr">
        <is>
          <t>0                      DG 0738140M  2                  P  7</t>
        </is>
      </c>
      <c r="D1336" t="inlineStr">
        <is>
          <t>Nicolo Machiavelli, the Florentine, by Giuseppe Prezzolini, translated from the Italian by Ralph Roeder.</t>
        </is>
      </c>
      <c r="F1336" t="inlineStr">
        <is>
          <t>No</t>
        </is>
      </c>
      <c r="G1336" t="inlineStr">
        <is>
          <t>1</t>
        </is>
      </c>
      <c r="H1336" t="inlineStr">
        <is>
          <t>No</t>
        </is>
      </c>
      <c r="I1336" t="inlineStr">
        <is>
          <t>No</t>
        </is>
      </c>
      <c r="J1336" t="inlineStr">
        <is>
          <t>0</t>
        </is>
      </c>
      <c r="K1336" t="inlineStr">
        <is>
          <t>Prezzolini, Giuseppe, 1882-1982.</t>
        </is>
      </c>
      <c r="L1336" t="inlineStr">
        <is>
          <t>New York, Brentano's, 1928.</t>
        </is>
      </c>
      <c r="M1336" t="inlineStr">
        <is>
          <t>1928</t>
        </is>
      </c>
      <c r="O1336" t="inlineStr">
        <is>
          <t>eng</t>
        </is>
      </c>
      <c r="P1336" t="inlineStr">
        <is>
          <t>nyu</t>
        </is>
      </c>
      <c r="R1336" t="inlineStr">
        <is>
          <t xml:space="preserve">DG </t>
        </is>
      </c>
      <c r="S1336" t="n">
        <v>5</v>
      </c>
      <c r="T1336" t="n">
        <v>5</v>
      </c>
      <c r="U1336" t="inlineStr">
        <is>
          <t>2000-03-21</t>
        </is>
      </c>
      <c r="V1336" t="inlineStr">
        <is>
          <t>2000-03-21</t>
        </is>
      </c>
      <c r="W1336" t="inlineStr">
        <is>
          <t>1997-02-05</t>
        </is>
      </c>
      <c r="X1336" t="inlineStr">
        <is>
          <t>1997-02-05</t>
        </is>
      </c>
      <c r="Y1336" t="n">
        <v>340</v>
      </c>
      <c r="Z1336" t="n">
        <v>313</v>
      </c>
      <c r="AA1336" t="n">
        <v>327</v>
      </c>
      <c r="AB1336" t="n">
        <v>2</v>
      </c>
      <c r="AC1336" t="n">
        <v>2</v>
      </c>
      <c r="AD1336" t="n">
        <v>14</v>
      </c>
      <c r="AE1336" t="n">
        <v>15</v>
      </c>
      <c r="AF1336" t="n">
        <v>7</v>
      </c>
      <c r="AG1336" t="n">
        <v>7</v>
      </c>
      <c r="AH1336" t="n">
        <v>3</v>
      </c>
      <c r="AI1336" t="n">
        <v>3</v>
      </c>
      <c r="AJ1336" t="n">
        <v>7</v>
      </c>
      <c r="AK1336" t="n">
        <v>8</v>
      </c>
      <c r="AL1336" t="n">
        <v>1</v>
      </c>
      <c r="AM1336" t="n">
        <v>1</v>
      </c>
      <c r="AN1336" t="n">
        <v>0</v>
      </c>
      <c r="AO1336" t="n">
        <v>0</v>
      </c>
      <c r="AP1336" t="inlineStr">
        <is>
          <t>No</t>
        </is>
      </c>
      <c r="AQ1336" t="inlineStr">
        <is>
          <t>Yes</t>
        </is>
      </c>
      <c r="AR1336">
        <f>HYPERLINK("http://catalog.hathitrust.org/Record/000378023","HathiTrust Record")</f>
        <v/>
      </c>
      <c r="AS1336">
        <f>HYPERLINK("https://creighton-primo.hosted.exlibrisgroup.com/primo-explore/search?tab=default_tab&amp;search_scope=EVERYTHING&amp;vid=01CRU&amp;lang=en_US&amp;offset=0&amp;query=any,contains,991004511379702656","Catalog Record")</f>
        <v/>
      </c>
      <c r="AT1336">
        <f>HYPERLINK("http://www.worldcat.org/oclc/3767161","WorldCat Record")</f>
        <v/>
      </c>
      <c r="AU1336" t="inlineStr">
        <is>
          <t>47544261:eng</t>
        </is>
      </c>
      <c r="AV1336" t="inlineStr">
        <is>
          <t>3767161</t>
        </is>
      </c>
      <c r="AW1336" t="inlineStr">
        <is>
          <t>991004511379702656</t>
        </is>
      </c>
      <c r="AX1336" t="inlineStr">
        <is>
          <t>991004511379702656</t>
        </is>
      </c>
      <c r="AY1336" t="inlineStr">
        <is>
          <t>2258747720002656</t>
        </is>
      </c>
      <c r="AZ1336" t="inlineStr">
        <is>
          <t>BOOK</t>
        </is>
      </c>
      <c r="BC1336" t="inlineStr">
        <is>
          <t>32285002423175</t>
        </is>
      </c>
      <c r="BD1336" t="inlineStr">
        <is>
          <t>893241521</t>
        </is>
      </c>
    </row>
    <row r="1337">
      <c r="A1337" t="inlineStr">
        <is>
          <t>No</t>
        </is>
      </c>
      <c r="B1337" t="inlineStr">
        <is>
          <t>DG738.14.M2 V7</t>
        </is>
      </c>
      <c r="C1337" t="inlineStr">
        <is>
          <t>0                      DG 0738140M  2                  V  7</t>
        </is>
      </c>
      <c r="D1337" t="inlineStr">
        <is>
          <t>The life and times of Niccolò Machiavelli / by Professor Pasquale Villari ; tr. by Madame Linda Villari.</t>
        </is>
      </c>
      <c r="F1337" t="inlineStr">
        <is>
          <t>No</t>
        </is>
      </c>
      <c r="G1337" t="inlineStr">
        <is>
          <t>1</t>
        </is>
      </c>
      <c r="H1337" t="inlineStr">
        <is>
          <t>No</t>
        </is>
      </c>
      <c r="I1337" t="inlineStr">
        <is>
          <t>No</t>
        </is>
      </c>
      <c r="J1337" t="inlineStr">
        <is>
          <t>0</t>
        </is>
      </c>
      <c r="K1337" t="inlineStr">
        <is>
          <t>Villari, Pasquale, 1827-1917.</t>
        </is>
      </c>
      <c r="L1337" t="inlineStr">
        <is>
          <t>London : T. F. Unwin, 1898.</t>
        </is>
      </c>
      <c r="M1337" t="inlineStr">
        <is>
          <t>1898</t>
        </is>
      </c>
      <c r="N1337" t="inlineStr">
        <is>
          <t>Popular ed.</t>
        </is>
      </c>
      <c r="O1337" t="inlineStr">
        <is>
          <t>eng</t>
        </is>
      </c>
      <c r="P1337" t="inlineStr">
        <is>
          <t xml:space="preserve">xx </t>
        </is>
      </c>
      <c r="R1337" t="inlineStr">
        <is>
          <t xml:space="preserve">DG </t>
        </is>
      </c>
      <c r="S1337" t="n">
        <v>14</v>
      </c>
      <c r="T1337" t="n">
        <v>14</v>
      </c>
      <c r="U1337" t="inlineStr">
        <is>
          <t>2002-11-08</t>
        </is>
      </c>
      <c r="V1337" t="inlineStr">
        <is>
          <t>2002-11-08</t>
        </is>
      </c>
      <c r="W1337" t="inlineStr">
        <is>
          <t>1993-12-21</t>
        </is>
      </c>
      <c r="X1337" t="inlineStr">
        <is>
          <t>1993-12-21</t>
        </is>
      </c>
      <c r="Y1337" t="n">
        <v>175</v>
      </c>
      <c r="Z1337" t="n">
        <v>156</v>
      </c>
      <c r="AA1337" t="n">
        <v>569</v>
      </c>
      <c r="AB1337" t="n">
        <v>2</v>
      </c>
      <c r="AC1337" t="n">
        <v>4</v>
      </c>
      <c r="AD1337" t="n">
        <v>15</v>
      </c>
      <c r="AE1337" t="n">
        <v>31</v>
      </c>
      <c r="AF1337" t="n">
        <v>8</v>
      </c>
      <c r="AG1337" t="n">
        <v>10</v>
      </c>
      <c r="AH1337" t="n">
        <v>2</v>
      </c>
      <c r="AI1337" t="n">
        <v>7</v>
      </c>
      <c r="AJ1337" t="n">
        <v>10</v>
      </c>
      <c r="AK1337" t="n">
        <v>20</v>
      </c>
      <c r="AL1337" t="n">
        <v>1</v>
      </c>
      <c r="AM1337" t="n">
        <v>3</v>
      </c>
      <c r="AN1337" t="n">
        <v>0</v>
      </c>
      <c r="AO1337" t="n">
        <v>0</v>
      </c>
      <c r="AP1337" t="inlineStr">
        <is>
          <t>Yes</t>
        </is>
      </c>
      <c r="AQ1337" t="inlineStr">
        <is>
          <t>No</t>
        </is>
      </c>
      <c r="AR1337">
        <f>HYPERLINK("http://catalog.hathitrust.org/Record/100566316","HathiTrust Record")</f>
        <v/>
      </c>
      <c r="AS1337">
        <f>HYPERLINK("https://creighton-primo.hosted.exlibrisgroup.com/primo-explore/search?tab=default_tab&amp;search_scope=EVERYTHING&amp;vid=01CRU&amp;lang=en_US&amp;offset=0&amp;query=any,contains,991003226429702656","Catalog Record")</f>
        <v/>
      </c>
      <c r="AT1337">
        <f>HYPERLINK("http://www.worldcat.org/oclc/750874","WorldCat Record")</f>
        <v/>
      </c>
      <c r="AU1337" t="inlineStr">
        <is>
          <t>9349818907:eng</t>
        </is>
      </c>
      <c r="AV1337" t="inlineStr">
        <is>
          <t>750874</t>
        </is>
      </c>
      <c r="AW1337" t="inlineStr">
        <is>
          <t>991003226429702656</t>
        </is>
      </c>
      <c r="AX1337" t="inlineStr">
        <is>
          <t>991003226429702656</t>
        </is>
      </c>
      <c r="AY1337" t="inlineStr">
        <is>
          <t>2265386070002656</t>
        </is>
      </c>
      <c r="AZ1337" t="inlineStr">
        <is>
          <t>BOOK</t>
        </is>
      </c>
      <c r="BC1337" t="inlineStr">
        <is>
          <t>32285001826238</t>
        </is>
      </c>
      <c r="BD1337" t="inlineStr">
        <is>
          <t>893880940</t>
        </is>
      </c>
    </row>
    <row r="1338">
      <c r="A1338" t="inlineStr">
        <is>
          <t>No</t>
        </is>
      </c>
      <c r="B1338" t="inlineStr">
        <is>
          <t>DG738.14.P37 P45 1987</t>
        </is>
      </c>
      <c r="C1338" t="inlineStr">
        <is>
          <t>0                      DG 0738140P  37                 P  45          1987</t>
        </is>
      </c>
      <c r="D1338" t="inlineStr">
        <is>
          <t>The memoir of Marco Parenti : a life in Medici Florence / Mark Phillips.</t>
        </is>
      </c>
      <c r="F1338" t="inlineStr">
        <is>
          <t>No</t>
        </is>
      </c>
      <c r="G1338" t="inlineStr">
        <is>
          <t>1</t>
        </is>
      </c>
      <c r="H1338" t="inlineStr">
        <is>
          <t>No</t>
        </is>
      </c>
      <c r="I1338" t="inlineStr">
        <is>
          <t>No</t>
        </is>
      </c>
      <c r="J1338" t="inlineStr">
        <is>
          <t>0</t>
        </is>
      </c>
      <c r="K1338" t="inlineStr">
        <is>
          <t>Phillips, Mark, 1946-</t>
        </is>
      </c>
      <c r="L1338" t="inlineStr">
        <is>
          <t>Princeton, N.J. : Princeton University Press, 1987.</t>
        </is>
      </c>
      <c r="M1338" t="inlineStr">
        <is>
          <t>1987</t>
        </is>
      </c>
      <c r="O1338" t="inlineStr">
        <is>
          <t>eng</t>
        </is>
      </c>
      <c r="P1338" t="inlineStr">
        <is>
          <t>nju</t>
        </is>
      </c>
      <c r="R1338" t="inlineStr">
        <is>
          <t xml:space="preserve">DG </t>
        </is>
      </c>
      <c r="S1338" t="n">
        <v>1</v>
      </c>
      <c r="T1338" t="n">
        <v>1</v>
      </c>
      <c r="U1338" t="inlineStr">
        <is>
          <t>2008-05-14</t>
        </is>
      </c>
      <c r="V1338" t="inlineStr">
        <is>
          <t>2008-05-14</t>
        </is>
      </c>
      <c r="W1338" t="inlineStr">
        <is>
          <t>2008-05-14</t>
        </is>
      </c>
      <c r="X1338" t="inlineStr">
        <is>
          <t>2008-05-14</t>
        </is>
      </c>
      <c r="Y1338" t="n">
        <v>487</v>
      </c>
      <c r="Z1338" t="n">
        <v>382</v>
      </c>
      <c r="AA1338" t="n">
        <v>679</v>
      </c>
      <c r="AB1338" t="n">
        <v>3</v>
      </c>
      <c r="AC1338" t="n">
        <v>5</v>
      </c>
      <c r="AD1338" t="n">
        <v>20</v>
      </c>
      <c r="AE1338" t="n">
        <v>34</v>
      </c>
      <c r="AF1338" t="n">
        <v>6</v>
      </c>
      <c r="AG1338" t="n">
        <v>15</v>
      </c>
      <c r="AH1338" t="n">
        <v>5</v>
      </c>
      <c r="AI1338" t="n">
        <v>9</v>
      </c>
      <c r="AJ1338" t="n">
        <v>13</v>
      </c>
      <c r="AK1338" t="n">
        <v>17</v>
      </c>
      <c r="AL1338" t="n">
        <v>2</v>
      </c>
      <c r="AM1338" t="n">
        <v>3</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HYPERLINK("https://creighton-primo.hosted.exlibrisgroup.com/primo-explore/search?tab=default_tab&amp;search_scope=EVERYTHING&amp;vid=01CRU&amp;lang=en_US&amp;offset=0&amp;query=any,contains,991005220829702656","Catalog Record")</f>
        <v/>
      </c>
      <c r="AT1338">
        <f>HYPERLINK("http://www.worldcat.org/oclc/15791352","WorldCat Record")</f>
        <v/>
      </c>
      <c r="AU1338" t="inlineStr">
        <is>
          <t>836741036:eng</t>
        </is>
      </c>
      <c r="AV1338" t="inlineStr">
        <is>
          <t>15791352</t>
        </is>
      </c>
      <c r="AW1338" t="inlineStr">
        <is>
          <t>991005220829702656</t>
        </is>
      </c>
      <c r="AX1338" t="inlineStr">
        <is>
          <t>991005220829702656</t>
        </is>
      </c>
      <c r="AY1338" t="inlineStr">
        <is>
          <t>2259645900002656</t>
        </is>
      </c>
      <c r="AZ1338" t="inlineStr">
        <is>
          <t>BOOK</t>
        </is>
      </c>
      <c r="BB1338" t="inlineStr">
        <is>
          <t>9780691008332</t>
        </is>
      </c>
      <c r="BC1338" t="inlineStr">
        <is>
          <t>32285005407803</t>
        </is>
      </c>
      <c r="BD1338" t="inlineStr">
        <is>
          <t>893326401</t>
        </is>
      </c>
    </row>
    <row r="1339">
      <c r="A1339" t="inlineStr">
        <is>
          <t>No</t>
        </is>
      </c>
      <c r="B1339" t="inlineStr">
        <is>
          <t>DG738.27 .A3 1980</t>
        </is>
      </c>
      <c r="C1339" t="inlineStr">
        <is>
          <t>0                      DG 0738270A  3           1980</t>
        </is>
      </c>
      <c r="D1339" t="inlineStr">
        <is>
          <t>The last Medici / Harold Acton.</t>
        </is>
      </c>
      <c r="F1339" t="inlineStr">
        <is>
          <t>No</t>
        </is>
      </c>
      <c r="G1339" t="inlineStr">
        <is>
          <t>1</t>
        </is>
      </c>
      <c r="H1339" t="inlineStr">
        <is>
          <t>No</t>
        </is>
      </c>
      <c r="I1339" t="inlineStr">
        <is>
          <t>No</t>
        </is>
      </c>
      <c r="J1339" t="inlineStr">
        <is>
          <t>0</t>
        </is>
      </c>
      <c r="K1339" t="inlineStr">
        <is>
          <t>Acton, Harold, 1904-1994.</t>
        </is>
      </c>
      <c r="L1339" t="inlineStr">
        <is>
          <t>[New York, N.Y.] : Thames and Hudson, 1980.</t>
        </is>
      </c>
      <c r="M1339" t="inlineStr">
        <is>
          <t>1980</t>
        </is>
      </c>
      <c r="N1339" t="inlineStr">
        <is>
          <t>Illustrated ed.</t>
        </is>
      </c>
      <c r="O1339" t="inlineStr">
        <is>
          <t>eng</t>
        </is>
      </c>
      <c r="P1339" t="inlineStr">
        <is>
          <t>nyu</t>
        </is>
      </c>
      <c r="R1339" t="inlineStr">
        <is>
          <t xml:space="preserve">DG </t>
        </is>
      </c>
      <c r="S1339" t="n">
        <v>1</v>
      </c>
      <c r="T1339" t="n">
        <v>1</v>
      </c>
      <c r="U1339" t="inlineStr">
        <is>
          <t>2008-06-30</t>
        </is>
      </c>
      <c r="V1339" t="inlineStr">
        <is>
          <t>2008-06-30</t>
        </is>
      </c>
      <c r="W1339" t="inlineStr">
        <is>
          <t>2008-06-30</t>
        </is>
      </c>
      <c r="X1339" t="inlineStr">
        <is>
          <t>2008-06-30</t>
        </is>
      </c>
      <c r="Y1339" t="n">
        <v>445</v>
      </c>
      <c r="Z1339" t="n">
        <v>422</v>
      </c>
      <c r="AA1339" t="n">
        <v>799</v>
      </c>
      <c r="AB1339" t="n">
        <v>1</v>
      </c>
      <c r="AC1339" t="n">
        <v>2</v>
      </c>
      <c r="AD1339" t="n">
        <v>19</v>
      </c>
      <c r="AE1339" t="n">
        <v>35</v>
      </c>
      <c r="AF1339" t="n">
        <v>12</v>
      </c>
      <c r="AG1339" t="n">
        <v>18</v>
      </c>
      <c r="AH1339" t="n">
        <v>7</v>
      </c>
      <c r="AI1339" t="n">
        <v>9</v>
      </c>
      <c r="AJ1339" t="n">
        <v>8</v>
      </c>
      <c r="AK1339" t="n">
        <v>18</v>
      </c>
      <c r="AL1339" t="n">
        <v>0</v>
      </c>
      <c r="AM1339" t="n">
        <v>1</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HYPERLINK("https://creighton-primo.hosted.exlibrisgroup.com/primo-explore/search?tab=default_tab&amp;search_scope=EVERYTHING&amp;vid=01CRU&amp;lang=en_US&amp;offset=0&amp;query=any,contains,991005239539702656","Catalog Record")</f>
        <v/>
      </c>
      <c r="AT1339">
        <f>HYPERLINK("http://www.worldcat.org/oclc/6860340","WorldCat Record")</f>
        <v/>
      </c>
      <c r="AU1339" t="inlineStr">
        <is>
          <t>159620670:eng</t>
        </is>
      </c>
      <c r="AV1339" t="inlineStr">
        <is>
          <t>6860340</t>
        </is>
      </c>
      <c r="AW1339" t="inlineStr">
        <is>
          <t>991005239539702656</t>
        </is>
      </c>
      <c r="AX1339" t="inlineStr">
        <is>
          <t>991005239539702656</t>
        </is>
      </c>
      <c r="AY1339" t="inlineStr">
        <is>
          <t>2262852740002656</t>
        </is>
      </c>
      <c r="AZ1339" t="inlineStr">
        <is>
          <t>BOOK</t>
        </is>
      </c>
      <c r="BB1339" t="inlineStr">
        <is>
          <t>9780500250747</t>
        </is>
      </c>
      <c r="BC1339" t="inlineStr">
        <is>
          <t>32285005447338</t>
        </is>
      </c>
      <c r="BD1339" t="inlineStr">
        <is>
          <t>893594706</t>
        </is>
      </c>
    </row>
    <row r="1340">
      <c r="A1340" t="inlineStr">
        <is>
          <t>No</t>
        </is>
      </c>
      <c r="B1340" t="inlineStr">
        <is>
          <t>DG77 .B32 1965</t>
        </is>
      </c>
      <c r="C1340" t="inlineStr">
        <is>
          <t>0                      DG 0077000B  32          1965</t>
        </is>
      </c>
      <c r="D1340" t="inlineStr">
        <is>
          <t>The Romans. Contributors: P. A. Brunt [et al.]</t>
        </is>
      </c>
      <c r="F1340" t="inlineStr">
        <is>
          <t>No</t>
        </is>
      </c>
      <c r="G1340" t="inlineStr">
        <is>
          <t>1</t>
        </is>
      </c>
      <c r="H1340" t="inlineStr">
        <is>
          <t>No</t>
        </is>
      </c>
      <c r="I1340" t="inlineStr">
        <is>
          <t>No</t>
        </is>
      </c>
      <c r="J1340" t="inlineStr">
        <is>
          <t>0</t>
        </is>
      </c>
      <c r="K1340" t="inlineStr">
        <is>
          <t>Balsdon, J. P. V. D. (John Percy Vyvian Dacre), 1901-1977, editor.</t>
        </is>
      </c>
      <c r="L1340" t="inlineStr">
        <is>
          <t>London, C. A. Watts, 1965.</t>
        </is>
      </c>
      <c r="M1340" t="inlineStr">
        <is>
          <t>1965</t>
        </is>
      </c>
      <c r="O1340" t="inlineStr">
        <is>
          <t>eng</t>
        </is>
      </c>
      <c r="P1340" t="inlineStr">
        <is>
          <t>enk</t>
        </is>
      </c>
      <c r="Q1340" t="inlineStr">
        <is>
          <t>The new thinker's library [2]</t>
        </is>
      </c>
      <c r="R1340" t="inlineStr">
        <is>
          <t xml:space="preserve">DG </t>
        </is>
      </c>
      <c r="S1340" t="n">
        <v>1</v>
      </c>
      <c r="T1340" t="n">
        <v>1</v>
      </c>
      <c r="U1340" t="inlineStr">
        <is>
          <t>2010-03-28</t>
        </is>
      </c>
      <c r="V1340" t="inlineStr">
        <is>
          <t>2010-03-28</t>
        </is>
      </c>
      <c r="W1340" t="inlineStr">
        <is>
          <t>1997-02-03</t>
        </is>
      </c>
      <c r="X1340" t="inlineStr">
        <is>
          <t>1997-02-03</t>
        </is>
      </c>
      <c r="Y1340" t="n">
        <v>184</v>
      </c>
      <c r="Z1340" t="n">
        <v>84</v>
      </c>
      <c r="AA1340" t="n">
        <v>809</v>
      </c>
      <c r="AB1340" t="n">
        <v>1</v>
      </c>
      <c r="AC1340" t="n">
        <v>7</v>
      </c>
      <c r="AD1340" t="n">
        <v>5</v>
      </c>
      <c r="AE1340" t="n">
        <v>29</v>
      </c>
      <c r="AF1340" t="n">
        <v>1</v>
      </c>
      <c r="AG1340" t="n">
        <v>10</v>
      </c>
      <c r="AH1340" t="n">
        <v>1</v>
      </c>
      <c r="AI1340" t="n">
        <v>10</v>
      </c>
      <c r="AJ1340" t="n">
        <v>5</v>
      </c>
      <c r="AK1340" t="n">
        <v>15</v>
      </c>
      <c r="AL1340" t="n">
        <v>0</v>
      </c>
      <c r="AM1340" t="n">
        <v>4</v>
      </c>
      <c r="AN1340" t="n">
        <v>0</v>
      </c>
      <c r="AO1340" t="n">
        <v>0</v>
      </c>
      <c r="AP1340" t="inlineStr">
        <is>
          <t>No</t>
        </is>
      </c>
      <c r="AQ1340" t="inlineStr">
        <is>
          <t>Yes</t>
        </is>
      </c>
      <c r="AR1340">
        <f>HYPERLINK("http://catalog.hathitrust.org/Record/007313356","HathiTrust Record")</f>
        <v/>
      </c>
      <c r="AS1340">
        <f>HYPERLINK("https://creighton-primo.hosted.exlibrisgroup.com/primo-explore/search?tab=default_tab&amp;search_scope=EVERYTHING&amp;vid=01CRU&amp;lang=en_US&amp;offset=0&amp;query=any,contains,991004310469702656","Catalog Record")</f>
        <v/>
      </c>
      <c r="AT1340">
        <f>HYPERLINK("http://www.worldcat.org/oclc/2992205","WorldCat Record")</f>
        <v/>
      </c>
      <c r="AU1340" t="inlineStr">
        <is>
          <t>2837591050:eng</t>
        </is>
      </c>
      <c r="AV1340" t="inlineStr">
        <is>
          <t>2992205</t>
        </is>
      </c>
      <c r="AW1340" t="inlineStr">
        <is>
          <t>991004310469702656</t>
        </is>
      </c>
      <c r="AX1340" t="inlineStr">
        <is>
          <t>991004310469702656</t>
        </is>
      </c>
      <c r="AY1340" t="inlineStr">
        <is>
          <t>2257876990002656</t>
        </is>
      </c>
      <c r="AZ1340" t="inlineStr">
        <is>
          <t>BOOK</t>
        </is>
      </c>
      <c r="BC1340" t="inlineStr">
        <is>
          <t>32285002419348</t>
        </is>
      </c>
      <c r="BD1340" t="inlineStr">
        <is>
          <t>893325207</t>
        </is>
      </c>
    </row>
    <row r="1341">
      <c r="A1341" t="inlineStr">
        <is>
          <t>No</t>
        </is>
      </c>
      <c r="B1341" t="inlineStr">
        <is>
          <t>DG77 .B34 1964</t>
        </is>
      </c>
      <c r="C1341" t="inlineStr">
        <is>
          <t>0                      DG 0077000B  34          1964</t>
        </is>
      </c>
      <c r="D1341" t="inlineStr">
        <is>
          <t>The Romans.</t>
        </is>
      </c>
      <c r="F1341" t="inlineStr">
        <is>
          <t>No</t>
        </is>
      </c>
      <c r="G1341" t="inlineStr">
        <is>
          <t>1</t>
        </is>
      </c>
      <c r="H1341" t="inlineStr">
        <is>
          <t>No</t>
        </is>
      </c>
      <c r="I1341" t="inlineStr">
        <is>
          <t>No</t>
        </is>
      </c>
      <c r="J1341" t="inlineStr">
        <is>
          <t>0</t>
        </is>
      </c>
      <c r="K1341" t="inlineStr">
        <is>
          <t>Barrow, R. H. (Reginald Haynes), 1893-1984.</t>
        </is>
      </c>
      <c r="L1341" t="inlineStr">
        <is>
          <t>Chicago, Aldine Pub. Co. [1964]</t>
        </is>
      </c>
      <c r="M1341" t="inlineStr">
        <is>
          <t>1964</t>
        </is>
      </c>
      <c r="N1341" t="inlineStr">
        <is>
          <t>Illustrated ed., with a new pref. by the author.</t>
        </is>
      </c>
      <c r="O1341" t="inlineStr">
        <is>
          <t>eng</t>
        </is>
      </c>
      <c r="P1341" t="inlineStr">
        <is>
          <t>ilu</t>
        </is>
      </c>
      <c r="R1341" t="inlineStr">
        <is>
          <t xml:space="preserve">DG </t>
        </is>
      </c>
      <c r="S1341" t="n">
        <v>1</v>
      </c>
      <c r="T1341" t="n">
        <v>1</v>
      </c>
      <c r="U1341" t="inlineStr">
        <is>
          <t>2010-03-28</t>
        </is>
      </c>
      <c r="V1341" t="inlineStr">
        <is>
          <t>2010-03-28</t>
        </is>
      </c>
      <c r="W1341" t="inlineStr">
        <is>
          <t>1997-02-03</t>
        </is>
      </c>
      <c r="X1341" t="inlineStr">
        <is>
          <t>1997-02-03</t>
        </is>
      </c>
      <c r="Y1341" t="n">
        <v>657</v>
      </c>
      <c r="Z1341" t="n">
        <v>644</v>
      </c>
      <c r="AA1341" t="n">
        <v>1353</v>
      </c>
      <c r="AB1341" t="n">
        <v>7</v>
      </c>
      <c r="AC1341" t="n">
        <v>11</v>
      </c>
      <c r="AD1341" t="n">
        <v>21</v>
      </c>
      <c r="AE1341" t="n">
        <v>43</v>
      </c>
      <c r="AF1341" t="n">
        <v>4</v>
      </c>
      <c r="AG1341" t="n">
        <v>17</v>
      </c>
      <c r="AH1341" t="n">
        <v>4</v>
      </c>
      <c r="AI1341" t="n">
        <v>7</v>
      </c>
      <c r="AJ1341" t="n">
        <v>11</v>
      </c>
      <c r="AK1341" t="n">
        <v>22</v>
      </c>
      <c r="AL1341" t="n">
        <v>4</v>
      </c>
      <c r="AM1341" t="n">
        <v>6</v>
      </c>
      <c r="AN1341" t="n">
        <v>0</v>
      </c>
      <c r="AO1341" t="n">
        <v>0</v>
      </c>
      <c r="AP1341" t="inlineStr">
        <is>
          <t>No</t>
        </is>
      </c>
      <c r="AQ1341" t="inlineStr">
        <is>
          <t>Yes</t>
        </is>
      </c>
      <c r="AR1341">
        <f>HYPERLINK("http://catalog.hathitrust.org/Record/000652368","HathiTrust Record")</f>
        <v/>
      </c>
      <c r="AS1341">
        <f>HYPERLINK("https://creighton-primo.hosted.exlibrisgroup.com/primo-explore/search?tab=default_tab&amp;search_scope=EVERYTHING&amp;vid=01CRU&amp;lang=en_US&amp;offset=0&amp;query=any,contains,991003450669702656","Catalog Record")</f>
        <v/>
      </c>
      <c r="AT1341">
        <f>HYPERLINK("http://www.worldcat.org/oclc/988260","WorldCat Record")</f>
        <v/>
      </c>
      <c r="AU1341" t="inlineStr">
        <is>
          <t>1435856:eng</t>
        </is>
      </c>
      <c r="AV1341" t="inlineStr">
        <is>
          <t>988260</t>
        </is>
      </c>
      <c r="AW1341" t="inlineStr">
        <is>
          <t>991003450669702656</t>
        </is>
      </c>
      <c r="AX1341" t="inlineStr">
        <is>
          <t>991003450669702656</t>
        </is>
      </c>
      <c r="AY1341" t="inlineStr">
        <is>
          <t>2270717440002656</t>
        </is>
      </c>
      <c r="AZ1341" t="inlineStr">
        <is>
          <t>BOOK</t>
        </is>
      </c>
      <c r="BC1341" t="inlineStr">
        <is>
          <t>32285002419355</t>
        </is>
      </c>
      <c r="BD1341" t="inlineStr">
        <is>
          <t>893352828</t>
        </is>
      </c>
    </row>
    <row r="1342">
      <c r="A1342" t="inlineStr">
        <is>
          <t>No</t>
        </is>
      </c>
      <c r="B1342" t="inlineStr">
        <is>
          <t>DG77 .G7 1970</t>
        </is>
      </c>
      <c r="C1342" t="inlineStr">
        <is>
          <t>0                      DG 0077000G  7           1970</t>
        </is>
      </c>
      <c r="D1342" t="inlineStr">
        <is>
          <t>The Roman spirit in religion, thought, and art. With 16 illus. in the text and 16 plates. [Translated by M. R. Dobie]</t>
        </is>
      </c>
      <c r="F1342" t="inlineStr">
        <is>
          <t>No</t>
        </is>
      </c>
      <c r="G1342" t="inlineStr">
        <is>
          <t>1</t>
        </is>
      </c>
      <c r="H1342" t="inlineStr">
        <is>
          <t>No</t>
        </is>
      </c>
      <c r="I1342" t="inlineStr">
        <is>
          <t>No</t>
        </is>
      </c>
      <c r="J1342" t="inlineStr">
        <is>
          <t>0</t>
        </is>
      </c>
      <c r="K1342" t="inlineStr">
        <is>
          <t>Grenier, Albert, 1878-1961.</t>
        </is>
      </c>
      <c r="L1342" t="inlineStr">
        <is>
          <t>New York, Cooper Square Publishers, 1970.</t>
        </is>
      </c>
      <c r="M1342" t="inlineStr">
        <is>
          <t>1970</t>
        </is>
      </c>
      <c r="O1342" t="inlineStr">
        <is>
          <t>eng</t>
        </is>
      </c>
      <c r="P1342" t="inlineStr">
        <is>
          <t>nyu</t>
        </is>
      </c>
      <c r="R1342" t="inlineStr">
        <is>
          <t xml:space="preserve">DG </t>
        </is>
      </c>
      <c r="S1342" t="n">
        <v>3</v>
      </c>
      <c r="T1342" t="n">
        <v>3</v>
      </c>
      <c r="U1342" t="inlineStr">
        <is>
          <t>2010-04-19</t>
        </is>
      </c>
      <c r="V1342" t="inlineStr">
        <is>
          <t>2010-04-19</t>
        </is>
      </c>
      <c r="W1342" t="inlineStr">
        <is>
          <t>1997-02-03</t>
        </is>
      </c>
      <c r="X1342" t="inlineStr">
        <is>
          <t>1997-02-03</t>
        </is>
      </c>
      <c r="Y1342" t="n">
        <v>265</v>
      </c>
      <c r="Z1342" t="n">
        <v>230</v>
      </c>
      <c r="AA1342" t="n">
        <v>649</v>
      </c>
      <c r="AB1342" t="n">
        <v>4</v>
      </c>
      <c r="AC1342" t="n">
        <v>5</v>
      </c>
      <c r="AD1342" t="n">
        <v>9</v>
      </c>
      <c r="AE1342" t="n">
        <v>35</v>
      </c>
      <c r="AF1342" t="n">
        <v>4</v>
      </c>
      <c r="AG1342" t="n">
        <v>14</v>
      </c>
      <c r="AH1342" t="n">
        <v>2</v>
      </c>
      <c r="AI1342" t="n">
        <v>9</v>
      </c>
      <c r="AJ1342" t="n">
        <v>1</v>
      </c>
      <c r="AK1342" t="n">
        <v>17</v>
      </c>
      <c r="AL1342" t="n">
        <v>3</v>
      </c>
      <c r="AM1342" t="n">
        <v>4</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HYPERLINK("https://creighton-primo.hosted.exlibrisgroup.com/primo-explore/search?tab=default_tab&amp;search_scope=EVERYTHING&amp;vid=01CRU&amp;lang=en_US&amp;offset=0&amp;query=any,contains,991000592859702656","Catalog Record")</f>
        <v/>
      </c>
      <c r="AT1342">
        <f>HYPERLINK("http://www.worldcat.org/oclc/96839","WorldCat Record")</f>
        <v/>
      </c>
      <c r="AU1342" t="inlineStr">
        <is>
          <t>4226539130:eng</t>
        </is>
      </c>
      <c r="AV1342" t="inlineStr">
        <is>
          <t>96839</t>
        </is>
      </c>
      <c r="AW1342" t="inlineStr">
        <is>
          <t>991000592859702656</t>
        </is>
      </c>
      <c r="AX1342" t="inlineStr">
        <is>
          <t>991000592859702656</t>
        </is>
      </c>
      <c r="AY1342" t="inlineStr">
        <is>
          <t>2271064200002656</t>
        </is>
      </c>
      <c r="AZ1342" t="inlineStr">
        <is>
          <t>BOOK</t>
        </is>
      </c>
      <c r="BB1342" t="inlineStr">
        <is>
          <t>9780815403302</t>
        </is>
      </c>
      <c r="BC1342" t="inlineStr">
        <is>
          <t>32285002419405</t>
        </is>
      </c>
      <c r="BD1342" t="inlineStr">
        <is>
          <t>893528185</t>
        </is>
      </c>
    </row>
    <row r="1343">
      <c r="A1343" t="inlineStr">
        <is>
          <t>No</t>
        </is>
      </c>
      <c r="B1343" t="inlineStr">
        <is>
          <t>DG77 .G733</t>
        </is>
      </c>
      <c r="C1343" t="inlineStr">
        <is>
          <t>0                      DG 0077000G  733</t>
        </is>
      </c>
      <c r="D1343" t="inlineStr">
        <is>
          <t>The civilization of Rome. Translated by W. S. Maguinness.</t>
        </is>
      </c>
      <c r="F1343" t="inlineStr">
        <is>
          <t>No</t>
        </is>
      </c>
      <c r="G1343" t="inlineStr">
        <is>
          <t>1</t>
        </is>
      </c>
      <c r="H1343" t="inlineStr">
        <is>
          <t>No</t>
        </is>
      </c>
      <c r="I1343" t="inlineStr">
        <is>
          <t>No</t>
        </is>
      </c>
      <c r="J1343" t="inlineStr">
        <is>
          <t>0</t>
        </is>
      </c>
      <c r="K1343" t="inlineStr">
        <is>
          <t>Grimal, Pierre, 1912-1996.</t>
        </is>
      </c>
      <c r="L1343" t="inlineStr">
        <is>
          <t>New York, Simon and Schuster, 1963.</t>
        </is>
      </c>
      <c r="M1343" t="inlineStr">
        <is>
          <t>1963</t>
        </is>
      </c>
      <c r="O1343" t="inlineStr">
        <is>
          <t>eng</t>
        </is>
      </c>
      <c r="P1343" t="inlineStr">
        <is>
          <t>nyu</t>
        </is>
      </c>
      <c r="R1343" t="inlineStr">
        <is>
          <t xml:space="preserve">DG </t>
        </is>
      </c>
      <c r="S1343" t="n">
        <v>2</v>
      </c>
      <c r="T1343" t="n">
        <v>2</v>
      </c>
      <c r="U1343" t="inlineStr">
        <is>
          <t>2009-10-30</t>
        </is>
      </c>
      <c r="V1343" t="inlineStr">
        <is>
          <t>2009-10-30</t>
        </is>
      </c>
      <c r="W1343" t="inlineStr">
        <is>
          <t>1997-02-03</t>
        </is>
      </c>
      <c r="X1343" t="inlineStr">
        <is>
          <t>1997-02-03</t>
        </is>
      </c>
      <c r="Y1343" t="n">
        <v>824</v>
      </c>
      <c r="Z1343" t="n">
        <v>789</v>
      </c>
      <c r="AA1343" t="n">
        <v>833</v>
      </c>
      <c r="AB1343" t="n">
        <v>5</v>
      </c>
      <c r="AC1343" t="n">
        <v>6</v>
      </c>
      <c r="AD1343" t="n">
        <v>27</v>
      </c>
      <c r="AE1343" t="n">
        <v>32</v>
      </c>
      <c r="AF1343" t="n">
        <v>11</v>
      </c>
      <c r="AG1343" t="n">
        <v>13</v>
      </c>
      <c r="AH1343" t="n">
        <v>6</v>
      </c>
      <c r="AI1343" t="n">
        <v>8</v>
      </c>
      <c r="AJ1343" t="n">
        <v>12</v>
      </c>
      <c r="AK1343" t="n">
        <v>14</v>
      </c>
      <c r="AL1343" t="n">
        <v>3</v>
      </c>
      <c r="AM1343" t="n">
        <v>4</v>
      </c>
      <c r="AN1343" t="n">
        <v>0</v>
      </c>
      <c r="AO1343" t="n">
        <v>0</v>
      </c>
      <c r="AP1343" t="inlineStr">
        <is>
          <t>No</t>
        </is>
      </c>
      <c r="AQ1343" t="inlineStr">
        <is>
          <t>Yes</t>
        </is>
      </c>
      <c r="AR1343">
        <f>HYPERLINK("http://catalog.hathitrust.org/Record/000652833","HathiTrust Record")</f>
        <v/>
      </c>
      <c r="AS1343">
        <f>HYPERLINK("https://creighton-primo.hosted.exlibrisgroup.com/primo-explore/search?tab=default_tab&amp;search_scope=EVERYTHING&amp;vid=01CRU&amp;lang=en_US&amp;offset=0&amp;query=any,contains,991003255869702656","Catalog Record")</f>
        <v/>
      </c>
      <c r="AT1343">
        <f>HYPERLINK("http://www.worldcat.org/oclc/780817","WorldCat Record")</f>
        <v/>
      </c>
      <c r="AU1343" t="inlineStr">
        <is>
          <t>3943282073:eng</t>
        </is>
      </c>
      <c r="AV1343" t="inlineStr">
        <is>
          <t>780817</t>
        </is>
      </c>
      <c r="AW1343" t="inlineStr">
        <is>
          <t>991003255869702656</t>
        </is>
      </c>
      <c r="AX1343" t="inlineStr">
        <is>
          <t>991003255869702656</t>
        </is>
      </c>
      <c r="AY1343" t="inlineStr">
        <is>
          <t>2260291960002656</t>
        </is>
      </c>
      <c r="AZ1343" t="inlineStr">
        <is>
          <t>BOOK</t>
        </is>
      </c>
      <c r="BC1343" t="inlineStr">
        <is>
          <t>32285002419421</t>
        </is>
      </c>
      <c r="BD1343" t="inlineStr">
        <is>
          <t>893428601</t>
        </is>
      </c>
    </row>
    <row r="1344">
      <c r="A1344" t="inlineStr">
        <is>
          <t>No</t>
        </is>
      </c>
      <c r="B1344" t="inlineStr">
        <is>
          <t>DG77 .H3</t>
        </is>
      </c>
      <c r="C1344" t="inlineStr">
        <is>
          <t>0                      DG 0077000H  3</t>
        </is>
      </c>
      <c r="D1344" t="inlineStr">
        <is>
          <t>The Roman way.</t>
        </is>
      </c>
      <c r="F1344" t="inlineStr">
        <is>
          <t>No</t>
        </is>
      </c>
      <c r="G1344" t="inlineStr">
        <is>
          <t>1</t>
        </is>
      </c>
      <c r="H1344" t="inlineStr">
        <is>
          <t>No</t>
        </is>
      </c>
      <c r="I1344" t="inlineStr">
        <is>
          <t>No</t>
        </is>
      </c>
      <c r="J1344" t="inlineStr">
        <is>
          <t>0</t>
        </is>
      </c>
      <c r="K1344" t="inlineStr">
        <is>
          <t>Hamilton, Edith, 1867-1963.</t>
        </is>
      </c>
      <c r="L1344" t="inlineStr">
        <is>
          <t>New York, W. W. Norton &amp; company, inc. [c1932]</t>
        </is>
      </c>
      <c r="M1344" t="inlineStr">
        <is>
          <t>1932</t>
        </is>
      </c>
      <c r="O1344" t="inlineStr">
        <is>
          <t>eng</t>
        </is>
      </c>
      <c r="P1344" t="inlineStr">
        <is>
          <t>nyu</t>
        </is>
      </c>
      <c r="R1344" t="inlineStr">
        <is>
          <t xml:space="preserve">DG </t>
        </is>
      </c>
      <c r="S1344" t="n">
        <v>2</v>
      </c>
      <c r="T1344" t="n">
        <v>2</v>
      </c>
      <c r="U1344" t="inlineStr">
        <is>
          <t>1998-04-15</t>
        </is>
      </c>
      <c r="V1344" t="inlineStr">
        <is>
          <t>1998-04-15</t>
        </is>
      </c>
      <c r="W1344" t="inlineStr">
        <is>
          <t>1997-02-03</t>
        </is>
      </c>
      <c r="X1344" t="inlineStr">
        <is>
          <t>1997-02-03</t>
        </is>
      </c>
      <c r="Y1344" t="n">
        <v>1915</v>
      </c>
      <c r="Z1344" t="n">
        <v>1845</v>
      </c>
      <c r="AA1344" t="n">
        <v>2731</v>
      </c>
      <c r="AB1344" t="n">
        <v>18</v>
      </c>
      <c r="AC1344" t="n">
        <v>24</v>
      </c>
      <c r="AD1344" t="n">
        <v>51</v>
      </c>
      <c r="AE1344" t="n">
        <v>60</v>
      </c>
      <c r="AF1344" t="n">
        <v>23</v>
      </c>
      <c r="AG1344" t="n">
        <v>26</v>
      </c>
      <c r="AH1344" t="n">
        <v>7</v>
      </c>
      <c r="AI1344" t="n">
        <v>9</v>
      </c>
      <c r="AJ1344" t="n">
        <v>18</v>
      </c>
      <c r="AK1344" t="n">
        <v>21</v>
      </c>
      <c r="AL1344" t="n">
        <v>13</v>
      </c>
      <c r="AM1344" t="n">
        <v>15</v>
      </c>
      <c r="AN1344" t="n">
        <v>1</v>
      </c>
      <c r="AO1344" t="n">
        <v>1</v>
      </c>
      <c r="AP1344" t="inlineStr">
        <is>
          <t>No</t>
        </is>
      </c>
      <c r="AQ1344" t="inlineStr">
        <is>
          <t>Yes</t>
        </is>
      </c>
      <c r="AR1344">
        <f>HYPERLINK("http://catalog.hathitrust.org/Record/001058213","HathiTrust Record")</f>
        <v/>
      </c>
      <c r="AS1344">
        <f>HYPERLINK("https://creighton-primo.hosted.exlibrisgroup.com/primo-explore/search?tab=default_tab&amp;search_scope=EVERYTHING&amp;vid=01CRU&amp;lang=en_US&amp;offset=0&amp;query=any,contains,991002696559702656","Catalog Record")</f>
        <v/>
      </c>
      <c r="AT1344">
        <f>HYPERLINK("http://www.worldcat.org/oclc/403824","WorldCat Record")</f>
        <v/>
      </c>
      <c r="AU1344" t="inlineStr">
        <is>
          <t>4927844635:eng</t>
        </is>
      </c>
      <c r="AV1344" t="inlineStr">
        <is>
          <t>403824</t>
        </is>
      </c>
      <c r="AW1344" t="inlineStr">
        <is>
          <t>991002696559702656</t>
        </is>
      </c>
      <c r="AX1344" t="inlineStr">
        <is>
          <t>991002696559702656</t>
        </is>
      </c>
      <c r="AY1344" t="inlineStr">
        <is>
          <t>2259872850002656</t>
        </is>
      </c>
      <c r="AZ1344" t="inlineStr">
        <is>
          <t>BOOK</t>
        </is>
      </c>
      <c r="BC1344" t="inlineStr">
        <is>
          <t>32285002419439</t>
        </is>
      </c>
      <c r="BD1344" t="inlineStr">
        <is>
          <t>893239378</t>
        </is>
      </c>
    </row>
    <row r="1345">
      <c r="A1345" t="inlineStr">
        <is>
          <t>No</t>
        </is>
      </c>
      <c r="B1345" t="inlineStr">
        <is>
          <t>DG77 .K35 1988</t>
        </is>
      </c>
      <c r="C1345" t="inlineStr">
        <is>
          <t>0                      DG 0077000K  35          1988</t>
        </is>
      </c>
      <c r="D1345" t="inlineStr">
        <is>
          <t>Kaiser Augustus und die verlorene Republik : eine Ausstellung im Martin-Gropius-Bau, Berlin, 7. Juni-14. August 1988 / [Ausstellung und Katalog, Gesamtorganisation, M. Hofter ; Katalogredaktion, M. Hofter ... et al.].</t>
        </is>
      </c>
      <c r="F1345" t="inlineStr">
        <is>
          <t>No</t>
        </is>
      </c>
      <c r="G1345" t="inlineStr">
        <is>
          <t>1</t>
        </is>
      </c>
      <c r="H1345" t="inlineStr">
        <is>
          <t>No</t>
        </is>
      </c>
      <c r="I1345" t="inlineStr">
        <is>
          <t>No</t>
        </is>
      </c>
      <c r="J1345" t="inlineStr">
        <is>
          <t>0</t>
        </is>
      </c>
      <c r="L1345" t="inlineStr">
        <is>
          <t>Mainz : von Zabern, c1988.</t>
        </is>
      </c>
      <c r="M1345" t="inlineStr">
        <is>
          <t>1988</t>
        </is>
      </c>
      <c r="O1345" t="inlineStr">
        <is>
          <t>ger</t>
        </is>
      </c>
      <c r="P1345" t="inlineStr">
        <is>
          <t xml:space="preserve">gw </t>
        </is>
      </c>
      <c r="R1345" t="inlineStr">
        <is>
          <t xml:space="preserve">DG </t>
        </is>
      </c>
      <c r="S1345" t="n">
        <v>1</v>
      </c>
      <c r="T1345" t="n">
        <v>1</v>
      </c>
      <c r="U1345" t="inlineStr">
        <is>
          <t>2010-09-17</t>
        </is>
      </c>
      <c r="V1345" t="inlineStr">
        <is>
          <t>2010-09-17</t>
        </is>
      </c>
      <c r="W1345" t="inlineStr">
        <is>
          <t>1990-04-07</t>
        </is>
      </c>
      <c r="X1345" t="inlineStr">
        <is>
          <t>1990-04-07</t>
        </is>
      </c>
      <c r="Y1345" t="n">
        <v>188</v>
      </c>
      <c r="Z1345" t="n">
        <v>89</v>
      </c>
      <c r="AA1345" t="n">
        <v>91</v>
      </c>
      <c r="AB1345" t="n">
        <v>1</v>
      </c>
      <c r="AC1345" t="n">
        <v>1</v>
      </c>
      <c r="AD1345" t="n">
        <v>3</v>
      </c>
      <c r="AE1345" t="n">
        <v>3</v>
      </c>
      <c r="AF1345" t="n">
        <v>2</v>
      </c>
      <c r="AG1345" t="n">
        <v>2</v>
      </c>
      <c r="AH1345" t="n">
        <v>0</v>
      </c>
      <c r="AI1345" t="n">
        <v>0</v>
      </c>
      <c r="AJ1345" t="n">
        <v>2</v>
      </c>
      <c r="AK1345" t="n">
        <v>2</v>
      </c>
      <c r="AL1345" t="n">
        <v>0</v>
      </c>
      <c r="AM1345" t="n">
        <v>0</v>
      </c>
      <c r="AN1345" t="n">
        <v>0</v>
      </c>
      <c r="AO1345" t="n">
        <v>0</v>
      </c>
      <c r="AP1345" t="inlineStr">
        <is>
          <t>No</t>
        </is>
      </c>
      <c r="AQ1345" t="inlineStr">
        <is>
          <t>Yes</t>
        </is>
      </c>
      <c r="AR1345">
        <f>HYPERLINK("http://catalog.hathitrust.org/Record/001837453","HathiTrust Record")</f>
        <v/>
      </c>
      <c r="AS1345">
        <f>HYPERLINK("https://creighton-primo.hosted.exlibrisgroup.com/primo-explore/search?tab=default_tab&amp;search_scope=EVERYTHING&amp;vid=01CRU&amp;lang=en_US&amp;offset=0&amp;query=any,contains,991001439989702656","Catalog Record")</f>
        <v/>
      </c>
      <c r="AT1345">
        <f>HYPERLINK("http://www.worldcat.org/oclc/19222875","WorldCat Record")</f>
        <v/>
      </c>
      <c r="AU1345" t="inlineStr">
        <is>
          <t>918392652:ger</t>
        </is>
      </c>
      <c r="AV1345" t="inlineStr">
        <is>
          <t>19222875</t>
        </is>
      </c>
      <c r="AW1345" t="inlineStr">
        <is>
          <t>991001439989702656</t>
        </is>
      </c>
      <c r="AX1345" t="inlineStr">
        <is>
          <t>991001439989702656</t>
        </is>
      </c>
      <c r="AY1345" t="inlineStr">
        <is>
          <t>2259161820002656</t>
        </is>
      </c>
      <c r="AZ1345" t="inlineStr">
        <is>
          <t>BOOK</t>
        </is>
      </c>
      <c r="BB1345" t="inlineStr">
        <is>
          <t>9783805310482</t>
        </is>
      </c>
      <c r="BC1345" t="inlineStr">
        <is>
          <t>32285000093798</t>
        </is>
      </c>
      <c r="BD1345" t="inlineStr">
        <is>
          <t>893684320</t>
        </is>
      </c>
    </row>
    <row r="1346">
      <c r="A1346" t="inlineStr">
        <is>
          <t>No</t>
        </is>
      </c>
      <c r="B1346" t="inlineStr">
        <is>
          <t>DG77 .L44 1992</t>
        </is>
      </c>
      <c r="C1346" t="inlineStr">
        <is>
          <t>0                      DG 0077000L  44          1992</t>
        </is>
      </c>
      <c r="D1346" t="inlineStr">
        <is>
          <t>The Legacy of Rome : a new appraisal / edited by Richard Jenkyns.</t>
        </is>
      </c>
      <c r="F1346" t="inlineStr">
        <is>
          <t>No</t>
        </is>
      </c>
      <c r="G1346" t="inlineStr">
        <is>
          <t>1</t>
        </is>
      </c>
      <c r="H1346" t="inlineStr">
        <is>
          <t>No</t>
        </is>
      </c>
      <c r="I1346" t="inlineStr">
        <is>
          <t>No</t>
        </is>
      </c>
      <c r="J1346" t="inlineStr">
        <is>
          <t>0</t>
        </is>
      </c>
      <c r="L1346" t="inlineStr">
        <is>
          <t>Oxford ; New York : Oxford University Press, 1992.</t>
        </is>
      </c>
      <c r="M1346" t="inlineStr">
        <is>
          <t>1992</t>
        </is>
      </c>
      <c r="O1346" t="inlineStr">
        <is>
          <t>eng</t>
        </is>
      </c>
      <c r="P1346" t="inlineStr">
        <is>
          <t>enk</t>
        </is>
      </c>
      <c r="R1346" t="inlineStr">
        <is>
          <t xml:space="preserve">DG </t>
        </is>
      </c>
      <c r="S1346" t="n">
        <v>1</v>
      </c>
      <c r="T1346" t="n">
        <v>1</v>
      </c>
      <c r="U1346" t="inlineStr">
        <is>
          <t>2010-10-01</t>
        </is>
      </c>
      <c r="V1346" t="inlineStr">
        <is>
          <t>2010-10-01</t>
        </is>
      </c>
      <c r="W1346" t="inlineStr">
        <is>
          <t>1996-01-08</t>
        </is>
      </c>
      <c r="X1346" t="inlineStr">
        <is>
          <t>1996-01-08</t>
        </is>
      </c>
      <c r="Y1346" t="n">
        <v>775</v>
      </c>
      <c r="Z1346" t="n">
        <v>570</v>
      </c>
      <c r="AA1346" t="n">
        <v>576</v>
      </c>
      <c r="AB1346" t="n">
        <v>5</v>
      </c>
      <c r="AC1346" t="n">
        <v>5</v>
      </c>
      <c r="AD1346" t="n">
        <v>26</v>
      </c>
      <c r="AE1346" t="n">
        <v>26</v>
      </c>
      <c r="AF1346" t="n">
        <v>9</v>
      </c>
      <c r="AG1346" t="n">
        <v>9</v>
      </c>
      <c r="AH1346" t="n">
        <v>6</v>
      </c>
      <c r="AI1346" t="n">
        <v>6</v>
      </c>
      <c r="AJ1346" t="n">
        <v>14</v>
      </c>
      <c r="AK1346" t="n">
        <v>14</v>
      </c>
      <c r="AL1346" t="n">
        <v>3</v>
      </c>
      <c r="AM1346" t="n">
        <v>3</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HYPERLINK("https://creighton-primo.hosted.exlibrisgroup.com/primo-explore/search?tab=default_tab&amp;search_scope=EVERYTHING&amp;vid=01CRU&amp;lang=en_US&amp;offset=0&amp;query=any,contains,991001883749702656","Catalog Record")</f>
        <v/>
      </c>
      <c r="AT1346">
        <f>HYPERLINK("http://www.worldcat.org/oclc/23765960","WorldCat Record")</f>
        <v/>
      </c>
      <c r="AU1346" t="inlineStr">
        <is>
          <t>836866283:eng</t>
        </is>
      </c>
      <c r="AV1346" t="inlineStr">
        <is>
          <t>23765960</t>
        </is>
      </c>
      <c r="AW1346" t="inlineStr">
        <is>
          <t>991001883749702656</t>
        </is>
      </c>
      <c r="AX1346" t="inlineStr">
        <is>
          <t>991001883749702656</t>
        </is>
      </c>
      <c r="AY1346" t="inlineStr">
        <is>
          <t>2270842850002656</t>
        </is>
      </c>
      <c r="AZ1346" t="inlineStr">
        <is>
          <t>BOOK</t>
        </is>
      </c>
      <c r="BB1346" t="inlineStr">
        <is>
          <t>9780198219170</t>
        </is>
      </c>
      <c r="BC1346" t="inlineStr">
        <is>
          <t>32285002115714</t>
        </is>
      </c>
      <c r="BD1346" t="inlineStr">
        <is>
          <t>893433200</t>
        </is>
      </c>
    </row>
    <row r="1347">
      <c r="A1347" t="inlineStr">
        <is>
          <t>No</t>
        </is>
      </c>
      <c r="B1347" t="inlineStr">
        <is>
          <t>DG77 .S73 2000</t>
        </is>
      </c>
      <c r="C1347" t="inlineStr">
        <is>
          <t>0                      DG 0077000S  73          2000</t>
        </is>
      </c>
      <c r="D1347" t="inlineStr">
        <is>
          <t>Ancient Rome : past and present / [R.A. Staccioli].</t>
        </is>
      </c>
      <c r="F1347" t="inlineStr">
        <is>
          <t>No</t>
        </is>
      </c>
      <c r="G1347" t="inlineStr">
        <is>
          <t>1</t>
        </is>
      </c>
      <c r="H1347" t="inlineStr">
        <is>
          <t>No</t>
        </is>
      </c>
      <c r="I1347" t="inlineStr">
        <is>
          <t>No</t>
        </is>
      </c>
      <c r="J1347" t="inlineStr">
        <is>
          <t>0</t>
        </is>
      </c>
      <c r="K1347" t="inlineStr">
        <is>
          <t>Staccioli, Romolo Augusto.</t>
        </is>
      </c>
      <c r="L1347" t="inlineStr">
        <is>
          <t>Roma : Vision, 2000.</t>
        </is>
      </c>
      <c r="M1347" t="inlineStr">
        <is>
          <t>2000</t>
        </is>
      </c>
      <c r="O1347" t="inlineStr">
        <is>
          <t>eng</t>
        </is>
      </c>
      <c r="P1347" t="inlineStr">
        <is>
          <t xml:space="preserve">it </t>
        </is>
      </c>
      <c r="R1347" t="inlineStr">
        <is>
          <t xml:space="preserve">DG </t>
        </is>
      </c>
      <c r="S1347" t="n">
        <v>3</v>
      </c>
      <c r="T1347" t="n">
        <v>3</v>
      </c>
      <c r="U1347" t="inlineStr">
        <is>
          <t>2004-07-11</t>
        </is>
      </c>
      <c r="V1347" t="inlineStr">
        <is>
          <t>2004-07-11</t>
        </is>
      </c>
      <c r="W1347" t="inlineStr">
        <is>
          <t>2000-11-01</t>
        </is>
      </c>
      <c r="X1347" t="inlineStr">
        <is>
          <t>2000-11-01</t>
        </is>
      </c>
      <c r="Y1347" t="n">
        <v>280</v>
      </c>
      <c r="Z1347" t="n">
        <v>253</v>
      </c>
      <c r="AA1347" t="n">
        <v>270</v>
      </c>
      <c r="AB1347" t="n">
        <v>4</v>
      </c>
      <c r="AC1347" t="n">
        <v>4</v>
      </c>
      <c r="AD1347" t="n">
        <v>6</v>
      </c>
      <c r="AE1347" t="n">
        <v>6</v>
      </c>
      <c r="AF1347" t="n">
        <v>1</v>
      </c>
      <c r="AG1347" t="n">
        <v>1</v>
      </c>
      <c r="AH1347" t="n">
        <v>2</v>
      </c>
      <c r="AI1347" t="n">
        <v>2</v>
      </c>
      <c r="AJ1347" t="n">
        <v>3</v>
      </c>
      <c r="AK1347" t="n">
        <v>3</v>
      </c>
      <c r="AL1347" t="n">
        <v>2</v>
      </c>
      <c r="AM1347" t="n">
        <v>2</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HYPERLINK("https://creighton-primo.hosted.exlibrisgroup.com/primo-explore/search?tab=default_tab&amp;search_scope=EVERYTHING&amp;vid=01CRU&amp;lang=en_US&amp;offset=0&amp;query=any,contains,991003302189702656","Catalog Record")</f>
        <v/>
      </c>
      <c r="AT1347">
        <f>HYPERLINK("http://www.worldcat.org/oclc/45083989","WorldCat Record")</f>
        <v/>
      </c>
      <c r="AU1347" t="inlineStr">
        <is>
          <t>2288470157:eng</t>
        </is>
      </c>
      <c r="AV1347" t="inlineStr">
        <is>
          <t>45083989</t>
        </is>
      </c>
      <c r="AW1347" t="inlineStr">
        <is>
          <t>991003302189702656</t>
        </is>
      </c>
      <c r="AX1347" t="inlineStr">
        <is>
          <t>991003302189702656</t>
        </is>
      </c>
      <c r="AY1347" t="inlineStr">
        <is>
          <t>2265030520002656</t>
        </is>
      </c>
      <c r="AZ1347" t="inlineStr">
        <is>
          <t>BOOK</t>
        </is>
      </c>
      <c r="BB1347" t="inlineStr">
        <is>
          <t>9788881620302</t>
        </is>
      </c>
      <c r="BC1347" t="inlineStr">
        <is>
          <t>32285004262159</t>
        </is>
      </c>
      <c r="BD1347" t="inlineStr">
        <is>
          <t>893868277</t>
        </is>
      </c>
    </row>
    <row r="1348">
      <c r="A1348" t="inlineStr">
        <is>
          <t>No</t>
        </is>
      </c>
      <c r="B1348" t="inlineStr">
        <is>
          <t>DG78 .B26 1979</t>
        </is>
      </c>
      <c r="C1348" t="inlineStr">
        <is>
          <t>0                      DG 0078000B  26          1979</t>
        </is>
      </c>
      <c r="D1348" t="inlineStr">
        <is>
          <t>Romans and aliens / J. P. V. D. Balsdon.</t>
        </is>
      </c>
      <c r="F1348" t="inlineStr">
        <is>
          <t>No</t>
        </is>
      </c>
      <c r="G1348" t="inlineStr">
        <is>
          <t>1</t>
        </is>
      </c>
      <c r="H1348" t="inlineStr">
        <is>
          <t>No</t>
        </is>
      </c>
      <c r="I1348" t="inlineStr">
        <is>
          <t>No</t>
        </is>
      </c>
      <c r="J1348" t="inlineStr">
        <is>
          <t>0</t>
        </is>
      </c>
      <c r="K1348" t="inlineStr">
        <is>
          <t>Balsdon, J. P. V. D. (John Percy Vyvian Dacre), 1901-1977.</t>
        </is>
      </c>
      <c r="L1348" t="inlineStr">
        <is>
          <t>Chapel Hill : University of North Carolina Press, 1979.</t>
        </is>
      </c>
      <c r="M1348" t="inlineStr">
        <is>
          <t>1979</t>
        </is>
      </c>
      <c r="O1348" t="inlineStr">
        <is>
          <t>eng</t>
        </is>
      </c>
      <c r="P1348" t="inlineStr">
        <is>
          <t>ncu</t>
        </is>
      </c>
      <c r="R1348" t="inlineStr">
        <is>
          <t xml:space="preserve">DG </t>
        </is>
      </c>
      <c r="S1348" t="n">
        <v>8</v>
      </c>
      <c r="T1348" t="n">
        <v>8</v>
      </c>
      <c r="U1348" t="inlineStr">
        <is>
          <t>2010-04-18</t>
        </is>
      </c>
      <c r="V1348" t="inlineStr">
        <is>
          <t>2010-04-18</t>
        </is>
      </c>
      <c r="W1348" t="inlineStr">
        <is>
          <t>1991-03-22</t>
        </is>
      </c>
      <c r="X1348" t="inlineStr">
        <is>
          <t>1991-03-22</t>
        </is>
      </c>
      <c r="Y1348" t="n">
        <v>773</v>
      </c>
      <c r="Z1348" t="n">
        <v>713</v>
      </c>
      <c r="AA1348" t="n">
        <v>779</v>
      </c>
      <c r="AB1348" t="n">
        <v>6</v>
      </c>
      <c r="AC1348" t="n">
        <v>8</v>
      </c>
      <c r="AD1348" t="n">
        <v>34</v>
      </c>
      <c r="AE1348" t="n">
        <v>39</v>
      </c>
      <c r="AF1348" t="n">
        <v>16</v>
      </c>
      <c r="AG1348" t="n">
        <v>16</v>
      </c>
      <c r="AH1348" t="n">
        <v>8</v>
      </c>
      <c r="AI1348" t="n">
        <v>9</v>
      </c>
      <c r="AJ1348" t="n">
        <v>16</v>
      </c>
      <c r="AK1348" t="n">
        <v>19</v>
      </c>
      <c r="AL1348" t="n">
        <v>3</v>
      </c>
      <c r="AM1348" t="n">
        <v>5</v>
      </c>
      <c r="AN1348" t="n">
        <v>1</v>
      </c>
      <c r="AO1348" t="n">
        <v>1</v>
      </c>
      <c r="AP1348" t="inlineStr">
        <is>
          <t>No</t>
        </is>
      </c>
      <c r="AQ1348" t="inlineStr">
        <is>
          <t>No</t>
        </is>
      </c>
      <c r="AS1348">
        <f>HYPERLINK("https://creighton-primo.hosted.exlibrisgroup.com/primo-explore/search?tab=default_tab&amp;search_scope=EVERYTHING&amp;vid=01CRU&amp;lang=en_US&amp;offset=0&amp;query=any,contains,991004741399702656","Catalog Record")</f>
        <v/>
      </c>
      <c r="AT1348">
        <f>HYPERLINK("http://www.worldcat.org/oclc/4883761","WorldCat Record")</f>
        <v/>
      </c>
      <c r="AU1348" t="inlineStr">
        <is>
          <t>147287368:eng</t>
        </is>
      </c>
      <c r="AV1348" t="inlineStr">
        <is>
          <t>4883761</t>
        </is>
      </c>
      <c r="AW1348" t="inlineStr">
        <is>
          <t>991004741399702656</t>
        </is>
      </c>
      <c r="AX1348" t="inlineStr">
        <is>
          <t>991004741399702656</t>
        </is>
      </c>
      <c r="AY1348" t="inlineStr">
        <is>
          <t>2264020740002656</t>
        </is>
      </c>
      <c r="AZ1348" t="inlineStr">
        <is>
          <t>BOOK</t>
        </is>
      </c>
      <c r="BB1348" t="inlineStr">
        <is>
          <t>9780807813836</t>
        </is>
      </c>
      <c r="BC1348" t="inlineStr">
        <is>
          <t>32285000521079</t>
        </is>
      </c>
      <c r="BD1348" t="inlineStr">
        <is>
          <t>893247924</t>
        </is>
      </c>
    </row>
    <row r="1349">
      <c r="A1349" t="inlineStr">
        <is>
          <t>No</t>
        </is>
      </c>
      <c r="B1349" t="inlineStr">
        <is>
          <t>DG78 .B65 1977</t>
        </is>
      </c>
      <c r="C1349" t="inlineStr">
        <is>
          <t>0                      DG 0078000B  65          1977</t>
        </is>
      </c>
      <c r="D1349" t="inlineStr">
        <is>
          <t>Hospitality in early Rome : Livy's concept of its humanizing force / by Ladislaus J. Bolchazy.</t>
        </is>
      </c>
      <c r="F1349" t="inlineStr">
        <is>
          <t>No</t>
        </is>
      </c>
      <c r="G1349" t="inlineStr">
        <is>
          <t>1</t>
        </is>
      </c>
      <c r="H1349" t="inlineStr">
        <is>
          <t>No</t>
        </is>
      </c>
      <c r="I1349" t="inlineStr">
        <is>
          <t>No</t>
        </is>
      </c>
      <c r="J1349" t="inlineStr">
        <is>
          <t>0</t>
        </is>
      </c>
      <c r="K1349" t="inlineStr">
        <is>
          <t>Bolchazy, Ladislaus J.</t>
        </is>
      </c>
      <c r="L1349" t="inlineStr">
        <is>
          <t>Chicago : Ares Publishers, 1977.</t>
        </is>
      </c>
      <c r="M1349" t="inlineStr">
        <is>
          <t>1977</t>
        </is>
      </c>
      <c r="O1349" t="inlineStr">
        <is>
          <t>eng</t>
        </is>
      </c>
      <c r="P1349" t="inlineStr">
        <is>
          <t>ilu</t>
        </is>
      </c>
      <c r="R1349" t="inlineStr">
        <is>
          <t xml:space="preserve">DG </t>
        </is>
      </c>
      <c r="S1349" t="n">
        <v>6</v>
      </c>
      <c r="T1349" t="n">
        <v>6</v>
      </c>
      <c r="U1349" t="inlineStr">
        <is>
          <t>2005-02-25</t>
        </is>
      </c>
      <c r="V1349" t="inlineStr">
        <is>
          <t>2005-02-25</t>
        </is>
      </c>
      <c r="W1349" t="inlineStr">
        <is>
          <t>1991-11-25</t>
        </is>
      </c>
      <c r="X1349" t="inlineStr">
        <is>
          <t>1991-11-25</t>
        </is>
      </c>
      <c r="Y1349" t="n">
        <v>184</v>
      </c>
      <c r="Z1349" t="n">
        <v>125</v>
      </c>
      <c r="AA1349" t="n">
        <v>125</v>
      </c>
      <c r="AB1349" t="n">
        <v>2</v>
      </c>
      <c r="AC1349" t="n">
        <v>2</v>
      </c>
      <c r="AD1349" t="n">
        <v>12</v>
      </c>
      <c r="AE1349" t="n">
        <v>12</v>
      </c>
      <c r="AF1349" t="n">
        <v>4</v>
      </c>
      <c r="AG1349" t="n">
        <v>4</v>
      </c>
      <c r="AH1349" t="n">
        <v>4</v>
      </c>
      <c r="AI1349" t="n">
        <v>4</v>
      </c>
      <c r="AJ1349" t="n">
        <v>7</v>
      </c>
      <c r="AK1349" t="n">
        <v>7</v>
      </c>
      <c r="AL1349" t="n">
        <v>1</v>
      </c>
      <c r="AM1349" t="n">
        <v>1</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HYPERLINK("https://creighton-primo.hosted.exlibrisgroup.com/primo-explore/search?tab=default_tab&amp;search_scope=EVERYTHING&amp;vid=01CRU&amp;lang=en_US&amp;offset=0&amp;query=any,contains,991004494559702656","Catalog Record")</f>
        <v/>
      </c>
      <c r="AT1349">
        <f>HYPERLINK("http://www.worldcat.org/oclc/3686335","WorldCat Record")</f>
        <v/>
      </c>
      <c r="AU1349" t="inlineStr">
        <is>
          <t>196082902:eng</t>
        </is>
      </c>
      <c r="AV1349" t="inlineStr">
        <is>
          <t>3686335</t>
        </is>
      </c>
      <c r="AW1349" t="inlineStr">
        <is>
          <t>991004494559702656</t>
        </is>
      </c>
      <c r="AX1349" t="inlineStr">
        <is>
          <t>991004494559702656</t>
        </is>
      </c>
      <c r="AY1349" t="inlineStr">
        <is>
          <t>2262166210002656</t>
        </is>
      </c>
      <c r="AZ1349" t="inlineStr">
        <is>
          <t>BOOK</t>
        </is>
      </c>
      <c r="BC1349" t="inlineStr">
        <is>
          <t>32285000654375</t>
        </is>
      </c>
      <c r="BD1349" t="inlineStr">
        <is>
          <t>893526141</t>
        </is>
      </c>
    </row>
    <row r="1350">
      <c r="A1350" t="inlineStr">
        <is>
          <t>No</t>
        </is>
      </c>
      <c r="B1350" t="inlineStr">
        <is>
          <t>DG78 .C7</t>
        </is>
      </c>
      <c r="C1350" t="inlineStr">
        <is>
          <t>0                      DG 0078000C  7</t>
        </is>
      </c>
      <c r="D1350" t="inlineStr">
        <is>
          <t>Law and life of Rome.</t>
        </is>
      </c>
      <c r="F1350" t="inlineStr">
        <is>
          <t>No</t>
        </is>
      </c>
      <c r="G1350" t="inlineStr">
        <is>
          <t>1</t>
        </is>
      </c>
      <c r="H1350" t="inlineStr">
        <is>
          <t>No</t>
        </is>
      </c>
      <c r="I1350" t="inlineStr">
        <is>
          <t>No</t>
        </is>
      </c>
      <c r="J1350" t="inlineStr">
        <is>
          <t>0</t>
        </is>
      </c>
      <c r="K1350" t="inlineStr">
        <is>
          <t>Crook, J. A. (John Anthony)</t>
        </is>
      </c>
      <c r="L1350" t="inlineStr">
        <is>
          <t>Ithaca, N.Y., Cornell University Press [1967]</t>
        </is>
      </c>
      <c r="M1350" t="inlineStr">
        <is>
          <t>1967</t>
        </is>
      </c>
      <c r="O1350" t="inlineStr">
        <is>
          <t>eng</t>
        </is>
      </c>
      <c r="P1350" t="inlineStr">
        <is>
          <t>nyu</t>
        </is>
      </c>
      <c r="Q1350" t="inlineStr">
        <is>
          <t>Aspects of Greek and Roman life</t>
        </is>
      </c>
      <c r="R1350" t="inlineStr">
        <is>
          <t xml:space="preserve">DG </t>
        </is>
      </c>
      <c r="S1350" t="n">
        <v>2</v>
      </c>
      <c r="T1350" t="n">
        <v>2</v>
      </c>
      <c r="U1350" t="inlineStr">
        <is>
          <t>2010-10-01</t>
        </is>
      </c>
      <c r="V1350" t="inlineStr">
        <is>
          <t>2010-10-01</t>
        </is>
      </c>
      <c r="W1350" t="inlineStr">
        <is>
          <t>1997-02-03</t>
        </is>
      </c>
      <c r="X1350" t="inlineStr">
        <is>
          <t>1997-02-03</t>
        </is>
      </c>
      <c r="Y1350" t="n">
        <v>1100</v>
      </c>
      <c r="Z1350" t="n">
        <v>1012</v>
      </c>
      <c r="AA1350" t="n">
        <v>1285</v>
      </c>
      <c r="AB1350" t="n">
        <v>5</v>
      </c>
      <c r="AC1350" t="n">
        <v>8</v>
      </c>
      <c r="AD1350" t="n">
        <v>51</v>
      </c>
      <c r="AE1350" t="n">
        <v>68</v>
      </c>
      <c r="AF1350" t="n">
        <v>21</v>
      </c>
      <c r="AG1350" t="n">
        <v>26</v>
      </c>
      <c r="AH1350" t="n">
        <v>8</v>
      </c>
      <c r="AI1350" t="n">
        <v>11</v>
      </c>
      <c r="AJ1350" t="n">
        <v>23</v>
      </c>
      <c r="AK1350" t="n">
        <v>25</v>
      </c>
      <c r="AL1350" t="n">
        <v>4</v>
      </c>
      <c r="AM1350" t="n">
        <v>6</v>
      </c>
      <c r="AN1350" t="n">
        <v>8</v>
      </c>
      <c r="AO1350" t="n">
        <v>13</v>
      </c>
      <c r="AP1350" t="inlineStr">
        <is>
          <t>No</t>
        </is>
      </c>
      <c r="AQ1350" t="inlineStr">
        <is>
          <t>Yes</t>
        </is>
      </c>
      <c r="AR1350">
        <f>HYPERLINK("http://catalog.hathitrust.org/Record/000402095","HathiTrust Record")</f>
        <v/>
      </c>
      <c r="AS1350">
        <f>HYPERLINK("https://creighton-primo.hosted.exlibrisgroup.com/primo-explore/search?tab=default_tab&amp;search_scope=EVERYTHING&amp;vid=01CRU&amp;lang=en_US&amp;offset=0&amp;query=any,contains,991002704969702656","Catalog Record")</f>
        <v/>
      </c>
      <c r="AT1350">
        <f>HYPERLINK("http://www.worldcat.org/oclc/406796","WorldCat Record")</f>
        <v/>
      </c>
      <c r="AU1350" t="inlineStr">
        <is>
          <t>1436299:eng</t>
        </is>
      </c>
      <c r="AV1350" t="inlineStr">
        <is>
          <t>406796</t>
        </is>
      </c>
      <c r="AW1350" t="inlineStr">
        <is>
          <t>991002704969702656</t>
        </is>
      </c>
      <c r="AX1350" t="inlineStr">
        <is>
          <t>991002704969702656</t>
        </is>
      </c>
      <c r="AY1350" t="inlineStr">
        <is>
          <t>2261110560002656</t>
        </is>
      </c>
      <c r="AZ1350" t="inlineStr">
        <is>
          <t>BOOK</t>
        </is>
      </c>
      <c r="BC1350" t="inlineStr">
        <is>
          <t>32285002419538</t>
        </is>
      </c>
      <c r="BD1350" t="inlineStr">
        <is>
          <t>893523949</t>
        </is>
      </c>
    </row>
    <row r="1351">
      <c r="A1351" t="inlineStr">
        <is>
          <t>No</t>
        </is>
      </c>
      <c r="B1351" t="inlineStr">
        <is>
          <t>DG78 .F82</t>
        </is>
      </c>
      <c r="C1351" t="inlineStr">
        <is>
          <t>0                      DG 0078000F  82</t>
        </is>
      </c>
      <c r="D1351" t="inlineStr">
        <is>
          <t>Roman life and manners under the early empire / by Ludwig Friedlander ; authorized translation of the 7th enl. and rev. ed. of the Sittengeschichte Roms ...</t>
        </is>
      </c>
      <c r="E1351" t="inlineStr">
        <is>
          <t>V.2</t>
        </is>
      </c>
      <c r="F1351" t="inlineStr">
        <is>
          <t>Yes</t>
        </is>
      </c>
      <c r="G1351" t="inlineStr">
        <is>
          <t>1</t>
        </is>
      </c>
      <c r="H1351" t="inlineStr">
        <is>
          <t>No</t>
        </is>
      </c>
      <c r="I1351" t="inlineStr">
        <is>
          <t>No</t>
        </is>
      </c>
      <c r="J1351" t="inlineStr">
        <is>
          <t>0</t>
        </is>
      </c>
      <c r="K1351" t="inlineStr">
        <is>
          <t>Friedlaender, Ludwig, 1824-1909.</t>
        </is>
      </c>
      <c r="L1351" t="inlineStr">
        <is>
          <t>London : G. Routledge &amp; Sons ; New York : E. P. Dutton, [1908]-13.</t>
        </is>
      </c>
      <c r="M1351" t="inlineStr">
        <is>
          <t>1908</t>
        </is>
      </c>
      <c r="O1351" t="inlineStr">
        <is>
          <t>eng</t>
        </is>
      </c>
      <c r="P1351" t="inlineStr">
        <is>
          <t>___</t>
        </is>
      </c>
      <c r="R1351" t="inlineStr">
        <is>
          <t xml:space="preserve">DG </t>
        </is>
      </c>
      <c r="S1351" t="n">
        <v>5</v>
      </c>
      <c r="T1351" t="n">
        <v>14</v>
      </c>
      <c r="U1351" t="inlineStr">
        <is>
          <t>2010-10-01</t>
        </is>
      </c>
      <c r="V1351" t="inlineStr">
        <is>
          <t>2010-10-01</t>
        </is>
      </c>
      <c r="W1351" t="inlineStr">
        <is>
          <t>1991-03-22</t>
        </is>
      </c>
      <c r="X1351" t="inlineStr">
        <is>
          <t>1991-03-22</t>
        </is>
      </c>
      <c r="Y1351" t="n">
        <v>290</v>
      </c>
      <c r="Z1351" t="n">
        <v>236</v>
      </c>
      <c r="AA1351" t="n">
        <v>692</v>
      </c>
      <c r="AB1351" t="n">
        <v>2</v>
      </c>
      <c r="AC1351" t="n">
        <v>4</v>
      </c>
      <c r="AD1351" t="n">
        <v>12</v>
      </c>
      <c r="AE1351" t="n">
        <v>31</v>
      </c>
      <c r="AF1351" t="n">
        <v>7</v>
      </c>
      <c r="AG1351" t="n">
        <v>14</v>
      </c>
      <c r="AH1351" t="n">
        <v>2</v>
      </c>
      <c r="AI1351" t="n">
        <v>8</v>
      </c>
      <c r="AJ1351" t="n">
        <v>8</v>
      </c>
      <c r="AK1351" t="n">
        <v>17</v>
      </c>
      <c r="AL1351" t="n">
        <v>0</v>
      </c>
      <c r="AM1351" t="n">
        <v>2</v>
      </c>
      <c r="AN1351" t="n">
        <v>0</v>
      </c>
      <c r="AO1351" t="n">
        <v>1</v>
      </c>
      <c r="AP1351" t="inlineStr">
        <is>
          <t>Yes</t>
        </is>
      </c>
      <c r="AQ1351" t="inlineStr">
        <is>
          <t>No</t>
        </is>
      </c>
      <c r="AR1351">
        <f>HYPERLINK("http://catalog.hathitrust.org/Record/003133033","HathiTrust Record")</f>
        <v/>
      </c>
      <c r="AS1351">
        <f>HYPERLINK("https://creighton-primo.hosted.exlibrisgroup.com/primo-explore/search?tab=default_tab&amp;search_scope=EVERYTHING&amp;vid=01CRU&amp;lang=en_US&amp;offset=0&amp;query=any,contains,991003646829702656","Catalog Record")</f>
        <v/>
      </c>
      <c r="AT1351">
        <f>HYPERLINK("http://www.worldcat.org/oclc/1248886","WorldCat Record")</f>
        <v/>
      </c>
      <c r="AU1351" t="inlineStr">
        <is>
          <t>10596147626:eng</t>
        </is>
      </c>
      <c r="AV1351" t="inlineStr">
        <is>
          <t>1248886</t>
        </is>
      </c>
      <c r="AW1351" t="inlineStr">
        <is>
          <t>991003646829702656</t>
        </is>
      </c>
      <c r="AX1351" t="inlineStr">
        <is>
          <t>991003646829702656</t>
        </is>
      </c>
      <c r="AY1351" t="inlineStr">
        <is>
          <t>2264099290002656</t>
        </is>
      </c>
      <c r="AZ1351" t="inlineStr">
        <is>
          <t>BOOK</t>
        </is>
      </c>
      <c r="BC1351" t="inlineStr">
        <is>
          <t>32285000521095</t>
        </is>
      </c>
      <c r="BD1351" t="inlineStr">
        <is>
          <t>893410503</t>
        </is>
      </c>
    </row>
    <row r="1352">
      <c r="A1352" t="inlineStr">
        <is>
          <t>No</t>
        </is>
      </c>
      <c r="B1352" t="inlineStr">
        <is>
          <t>DG78 .K37 1990</t>
        </is>
      </c>
      <c r="C1352" t="inlineStr">
        <is>
          <t>0                      DG 0078000K  37          1990</t>
        </is>
      </c>
      <c r="D1352" t="inlineStr">
        <is>
          <t>Greeks and the imperial court, from Tiberius to Nero / Michael Kaplan.</t>
        </is>
      </c>
      <c r="F1352" t="inlineStr">
        <is>
          <t>No</t>
        </is>
      </c>
      <c r="G1352" t="inlineStr">
        <is>
          <t>1</t>
        </is>
      </c>
      <c r="H1352" t="inlineStr">
        <is>
          <t>No</t>
        </is>
      </c>
      <c r="I1352" t="inlineStr">
        <is>
          <t>No</t>
        </is>
      </c>
      <c r="J1352" t="inlineStr">
        <is>
          <t>0</t>
        </is>
      </c>
      <c r="K1352" t="inlineStr">
        <is>
          <t>Kaplan, Michael (Michael Steven)</t>
        </is>
      </c>
      <c r="L1352" t="inlineStr">
        <is>
          <t>New York : Garland, 1990.</t>
        </is>
      </c>
      <c r="M1352" t="inlineStr">
        <is>
          <t>1990</t>
        </is>
      </c>
      <c r="O1352" t="inlineStr">
        <is>
          <t>eng</t>
        </is>
      </c>
      <c r="P1352" t="inlineStr">
        <is>
          <t>nyu</t>
        </is>
      </c>
      <c r="Q1352" t="inlineStr">
        <is>
          <t>Harvard dissertations in classics</t>
        </is>
      </c>
      <c r="R1352" t="inlineStr">
        <is>
          <t xml:space="preserve">DG </t>
        </is>
      </c>
      <c r="S1352" t="n">
        <v>1</v>
      </c>
      <c r="T1352" t="n">
        <v>1</v>
      </c>
      <c r="U1352" t="inlineStr">
        <is>
          <t>1998-01-15</t>
        </is>
      </c>
      <c r="V1352" t="inlineStr">
        <is>
          <t>1998-01-15</t>
        </is>
      </c>
      <c r="W1352" t="inlineStr">
        <is>
          <t>1990-11-13</t>
        </is>
      </c>
      <c r="X1352" t="inlineStr">
        <is>
          <t>1990-11-13</t>
        </is>
      </c>
      <c r="Y1352" t="n">
        <v>110</v>
      </c>
      <c r="Z1352" t="n">
        <v>63</v>
      </c>
      <c r="AA1352" t="n">
        <v>67</v>
      </c>
      <c r="AB1352" t="n">
        <v>1</v>
      </c>
      <c r="AC1352" t="n">
        <v>1</v>
      </c>
      <c r="AD1352" t="n">
        <v>2</v>
      </c>
      <c r="AE1352" t="n">
        <v>2</v>
      </c>
      <c r="AF1352" t="n">
        <v>0</v>
      </c>
      <c r="AG1352" t="n">
        <v>0</v>
      </c>
      <c r="AH1352" t="n">
        <v>1</v>
      </c>
      <c r="AI1352" t="n">
        <v>1</v>
      </c>
      <c r="AJ1352" t="n">
        <v>2</v>
      </c>
      <c r="AK1352" t="n">
        <v>2</v>
      </c>
      <c r="AL1352" t="n">
        <v>0</v>
      </c>
      <c r="AM1352" t="n">
        <v>0</v>
      </c>
      <c r="AN1352" t="n">
        <v>0</v>
      </c>
      <c r="AO1352" t="n">
        <v>0</v>
      </c>
      <c r="AP1352" t="inlineStr">
        <is>
          <t>No</t>
        </is>
      </c>
      <c r="AQ1352" t="inlineStr">
        <is>
          <t>Yes</t>
        </is>
      </c>
      <c r="AR1352">
        <f>HYPERLINK("http://catalog.hathitrust.org/Record/008999918","HathiTrust Record")</f>
        <v/>
      </c>
      <c r="AS1352">
        <f>HYPERLINK("https://creighton-primo.hosted.exlibrisgroup.com/primo-explore/search?tab=default_tab&amp;search_scope=EVERYTHING&amp;vid=01CRU&amp;lang=en_US&amp;offset=0&amp;query=any,contains,991001624539702656","Catalog Record")</f>
        <v/>
      </c>
      <c r="AT1352">
        <f>HYPERLINK("http://www.worldcat.org/oclc/20827731","WorldCat Record")</f>
        <v/>
      </c>
      <c r="AU1352" t="inlineStr">
        <is>
          <t>909655:eng</t>
        </is>
      </c>
      <c r="AV1352" t="inlineStr">
        <is>
          <t>20827731</t>
        </is>
      </c>
      <c r="AW1352" t="inlineStr">
        <is>
          <t>991001624539702656</t>
        </is>
      </c>
      <c r="AX1352" t="inlineStr">
        <is>
          <t>991001624539702656</t>
        </is>
      </c>
      <c r="AY1352" t="inlineStr">
        <is>
          <t>2261816270002656</t>
        </is>
      </c>
      <c r="AZ1352" t="inlineStr">
        <is>
          <t>BOOK</t>
        </is>
      </c>
      <c r="BB1352" t="inlineStr">
        <is>
          <t>9780824032135</t>
        </is>
      </c>
      <c r="BC1352" t="inlineStr">
        <is>
          <t>32285000314806</t>
        </is>
      </c>
      <c r="BD1352" t="inlineStr">
        <is>
          <t>893791546</t>
        </is>
      </c>
    </row>
    <row r="1353">
      <c r="A1353" t="inlineStr">
        <is>
          <t>No</t>
        </is>
      </c>
      <c r="B1353" t="inlineStr">
        <is>
          <t>DG78 .L4</t>
        </is>
      </c>
      <c r="C1353" t="inlineStr">
        <is>
          <t>0                      DG 0078000L  4</t>
        </is>
      </c>
      <c r="D1353" t="inlineStr">
        <is>
          <t>... Social and private life at Rome in the time of Plautus and Terence, by Georgia Williams Leffingwell ...</t>
        </is>
      </c>
      <c r="F1353" t="inlineStr">
        <is>
          <t>No</t>
        </is>
      </c>
      <c r="G1353" t="inlineStr">
        <is>
          <t>1</t>
        </is>
      </c>
      <c r="H1353" t="inlineStr">
        <is>
          <t>No</t>
        </is>
      </c>
      <c r="I1353" t="inlineStr">
        <is>
          <t>No</t>
        </is>
      </c>
      <c r="J1353" t="inlineStr">
        <is>
          <t>0</t>
        </is>
      </c>
      <c r="K1353" t="inlineStr">
        <is>
          <t>Leffingwell, Georgia Williams, 1893-</t>
        </is>
      </c>
      <c r="L1353" t="inlineStr">
        <is>
          <t>New York, Columbia university; [etc., etc.] 1918.</t>
        </is>
      </c>
      <c r="M1353" t="inlineStr">
        <is>
          <t>1918</t>
        </is>
      </c>
      <c r="O1353" t="inlineStr">
        <is>
          <t>eng</t>
        </is>
      </c>
      <c r="P1353" t="inlineStr">
        <is>
          <t xml:space="preserve">xx </t>
        </is>
      </c>
      <c r="Q1353" t="inlineStr">
        <is>
          <t>Studies in history, economics and public law, ed. by the faculty of political science of Columbia university. Vol. LXXXI, no. 1; whole no. 188</t>
        </is>
      </c>
      <c r="R1353" t="inlineStr">
        <is>
          <t xml:space="preserve">DG </t>
        </is>
      </c>
      <c r="S1353" t="n">
        <v>4</v>
      </c>
      <c r="T1353" t="n">
        <v>4</v>
      </c>
      <c r="U1353" t="inlineStr">
        <is>
          <t>2009-10-30</t>
        </is>
      </c>
      <c r="V1353" t="inlineStr">
        <is>
          <t>2009-10-30</t>
        </is>
      </c>
      <c r="W1353" t="inlineStr">
        <is>
          <t>1997-02-03</t>
        </is>
      </c>
      <c r="X1353" t="inlineStr">
        <is>
          <t>1997-02-03</t>
        </is>
      </c>
      <c r="Y1353" t="n">
        <v>174</v>
      </c>
      <c r="Z1353" t="n">
        <v>152</v>
      </c>
      <c r="AA1353" t="n">
        <v>333</v>
      </c>
      <c r="AB1353" t="n">
        <v>3</v>
      </c>
      <c r="AC1353" t="n">
        <v>5</v>
      </c>
      <c r="AD1353" t="n">
        <v>7</v>
      </c>
      <c r="AE1353" t="n">
        <v>18</v>
      </c>
      <c r="AF1353" t="n">
        <v>0</v>
      </c>
      <c r="AG1353" t="n">
        <v>4</v>
      </c>
      <c r="AH1353" t="n">
        <v>2</v>
      </c>
      <c r="AI1353" t="n">
        <v>4</v>
      </c>
      <c r="AJ1353" t="n">
        <v>3</v>
      </c>
      <c r="AK1353" t="n">
        <v>4</v>
      </c>
      <c r="AL1353" t="n">
        <v>2</v>
      </c>
      <c r="AM1353" t="n">
        <v>3</v>
      </c>
      <c r="AN1353" t="n">
        <v>0</v>
      </c>
      <c r="AO1353" t="n">
        <v>5</v>
      </c>
      <c r="AP1353" t="inlineStr">
        <is>
          <t>Yes</t>
        </is>
      </c>
      <c r="AQ1353" t="inlineStr">
        <is>
          <t>No</t>
        </is>
      </c>
      <c r="AR1353">
        <f>HYPERLINK("http://catalog.hathitrust.org/Record/100395975","HathiTrust Record")</f>
        <v/>
      </c>
      <c r="AS1353">
        <f>HYPERLINK("https://creighton-primo.hosted.exlibrisgroup.com/primo-explore/search?tab=default_tab&amp;search_scope=EVERYTHING&amp;vid=01CRU&amp;lang=en_US&amp;offset=0&amp;query=any,contains,991004182289702656","Catalog Record")</f>
        <v/>
      </c>
      <c r="AT1353">
        <f>HYPERLINK("http://www.worldcat.org/oclc/2608089","WorldCat Record")</f>
        <v/>
      </c>
      <c r="AU1353" t="inlineStr">
        <is>
          <t>1272448:eng</t>
        </is>
      </c>
      <c r="AV1353" t="inlineStr">
        <is>
          <t>2608089</t>
        </is>
      </c>
      <c r="AW1353" t="inlineStr">
        <is>
          <t>991004182289702656</t>
        </is>
      </c>
      <c r="AX1353" t="inlineStr">
        <is>
          <t>991004182289702656</t>
        </is>
      </c>
      <c r="AY1353" t="inlineStr">
        <is>
          <t>2261657970002656</t>
        </is>
      </c>
      <c r="AZ1353" t="inlineStr">
        <is>
          <t>BOOK</t>
        </is>
      </c>
      <c r="BC1353" t="inlineStr">
        <is>
          <t>32285002419546</t>
        </is>
      </c>
      <c r="BD1353" t="inlineStr">
        <is>
          <t>893512917</t>
        </is>
      </c>
    </row>
    <row r="1354">
      <c r="A1354" t="inlineStr">
        <is>
          <t>No</t>
        </is>
      </c>
      <c r="B1354" t="inlineStr">
        <is>
          <t>DG78 .M22 2000</t>
        </is>
      </c>
      <c r="C1354" t="inlineStr">
        <is>
          <t>0                      DG 0078000M  22          2000</t>
        </is>
      </c>
      <c r="D1354" t="inlineStr">
        <is>
          <t>Readings in late antiquity : a sourcebook / Michael Maas.</t>
        </is>
      </c>
      <c r="F1354" t="inlineStr">
        <is>
          <t>No</t>
        </is>
      </c>
      <c r="G1354" t="inlineStr">
        <is>
          <t>1</t>
        </is>
      </c>
      <c r="H1354" t="inlineStr">
        <is>
          <t>No</t>
        </is>
      </c>
      <c r="I1354" t="inlineStr">
        <is>
          <t>No</t>
        </is>
      </c>
      <c r="J1354" t="inlineStr">
        <is>
          <t>0</t>
        </is>
      </c>
      <c r="K1354" t="inlineStr">
        <is>
          <t>Maas, Michael, 1951-</t>
        </is>
      </c>
      <c r="L1354" t="inlineStr">
        <is>
          <t>London ; New York : Routledge, 2000.</t>
        </is>
      </c>
      <c r="M1354" t="inlineStr">
        <is>
          <t>2000</t>
        </is>
      </c>
      <c r="O1354" t="inlineStr">
        <is>
          <t>eng</t>
        </is>
      </c>
      <c r="P1354" t="inlineStr">
        <is>
          <t>enk</t>
        </is>
      </c>
      <c r="R1354" t="inlineStr">
        <is>
          <t xml:space="preserve">DG </t>
        </is>
      </c>
      <c r="S1354" t="n">
        <v>6</v>
      </c>
      <c r="T1354" t="n">
        <v>6</v>
      </c>
      <c r="U1354" t="inlineStr">
        <is>
          <t>2006-04-12</t>
        </is>
      </c>
      <c r="V1354" t="inlineStr">
        <is>
          <t>2006-04-12</t>
        </is>
      </c>
      <c r="W1354" t="inlineStr">
        <is>
          <t>2001-02-21</t>
        </is>
      </c>
      <c r="X1354" t="inlineStr">
        <is>
          <t>2001-02-21</t>
        </is>
      </c>
      <c r="Y1354" t="n">
        <v>345</v>
      </c>
      <c r="Z1354" t="n">
        <v>234</v>
      </c>
      <c r="AA1354" t="n">
        <v>626</v>
      </c>
      <c r="AB1354" t="n">
        <v>3</v>
      </c>
      <c r="AC1354" t="n">
        <v>7</v>
      </c>
      <c r="AD1354" t="n">
        <v>22</v>
      </c>
      <c r="AE1354" t="n">
        <v>39</v>
      </c>
      <c r="AF1354" t="n">
        <v>7</v>
      </c>
      <c r="AG1354" t="n">
        <v>15</v>
      </c>
      <c r="AH1354" t="n">
        <v>6</v>
      </c>
      <c r="AI1354" t="n">
        <v>10</v>
      </c>
      <c r="AJ1354" t="n">
        <v>15</v>
      </c>
      <c r="AK1354" t="n">
        <v>20</v>
      </c>
      <c r="AL1354" t="n">
        <v>2</v>
      </c>
      <c r="AM1354" t="n">
        <v>6</v>
      </c>
      <c r="AN1354" t="n">
        <v>0</v>
      </c>
      <c r="AO1354" t="n">
        <v>1</v>
      </c>
      <c r="AP1354" t="inlineStr">
        <is>
          <t>No</t>
        </is>
      </c>
      <c r="AQ1354" t="inlineStr">
        <is>
          <t>No</t>
        </is>
      </c>
      <c r="AS1354">
        <f>HYPERLINK("https://creighton-primo.hosted.exlibrisgroup.com/primo-explore/search?tab=default_tab&amp;search_scope=EVERYTHING&amp;vid=01CRU&amp;lang=en_US&amp;offset=0&amp;query=any,contains,991003478189702656","Catalog Record")</f>
        <v/>
      </c>
      <c r="AT1354">
        <f>HYPERLINK("http://www.worldcat.org/oclc/40907680","WorldCat Record")</f>
        <v/>
      </c>
      <c r="AU1354" t="inlineStr">
        <is>
          <t>23612878:eng</t>
        </is>
      </c>
      <c r="AV1354" t="inlineStr">
        <is>
          <t>40907680</t>
        </is>
      </c>
      <c r="AW1354" t="inlineStr">
        <is>
          <t>991003478189702656</t>
        </is>
      </c>
      <c r="AX1354" t="inlineStr">
        <is>
          <t>991003478189702656</t>
        </is>
      </c>
      <c r="AY1354" t="inlineStr">
        <is>
          <t>2256888170002656</t>
        </is>
      </c>
      <c r="AZ1354" t="inlineStr">
        <is>
          <t>BOOK</t>
        </is>
      </c>
      <c r="BB1354" t="inlineStr">
        <is>
          <t>9780415159876</t>
        </is>
      </c>
      <c r="BC1354" t="inlineStr">
        <is>
          <t>32285004296116</t>
        </is>
      </c>
      <c r="BD1354" t="inlineStr">
        <is>
          <t>893887502</t>
        </is>
      </c>
    </row>
    <row r="1355">
      <c r="A1355" t="inlineStr">
        <is>
          <t>No</t>
        </is>
      </c>
      <c r="B1355" t="inlineStr">
        <is>
          <t>DG78 .M3</t>
        </is>
      </c>
      <c r="C1355" t="inlineStr">
        <is>
          <t>0                      DG 0078000M  3</t>
        </is>
      </c>
      <c r="D1355" t="inlineStr">
        <is>
          <t>Roman private life and its survivals, by Walton Brooks McDaniel.</t>
        </is>
      </c>
      <c r="F1355" t="inlineStr">
        <is>
          <t>No</t>
        </is>
      </c>
      <c r="G1355" t="inlineStr">
        <is>
          <t>1</t>
        </is>
      </c>
      <c r="H1355" t="inlineStr">
        <is>
          <t>No</t>
        </is>
      </c>
      <c r="I1355" t="inlineStr">
        <is>
          <t>No</t>
        </is>
      </c>
      <c r="J1355" t="inlineStr">
        <is>
          <t>0</t>
        </is>
      </c>
      <c r="K1355" t="inlineStr">
        <is>
          <t>McDaniel, Walton Brooks, 1871-</t>
        </is>
      </c>
      <c r="L1355" t="inlineStr">
        <is>
          <t>Boston, Mass. Marshall Jones company [c1924]</t>
        </is>
      </c>
      <c r="M1355" t="inlineStr">
        <is>
          <t>1924</t>
        </is>
      </c>
      <c r="O1355" t="inlineStr">
        <is>
          <t>eng</t>
        </is>
      </c>
      <c r="P1355" t="inlineStr">
        <is>
          <t xml:space="preserve">xx </t>
        </is>
      </c>
      <c r="Q1355" t="inlineStr">
        <is>
          <t>Our debt to Greece and Rome</t>
        </is>
      </c>
      <c r="R1355" t="inlineStr">
        <is>
          <t xml:space="preserve">DG </t>
        </is>
      </c>
      <c r="S1355" t="n">
        <v>2</v>
      </c>
      <c r="T1355" t="n">
        <v>2</v>
      </c>
      <c r="U1355" t="inlineStr">
        <is>
          <t>2009-10-30</t>
        </is>
      </c>
      <c r="V1355" t="inlineStr">
        <is>
          <t>2009-10-30</t>
        </is>
      </c>
      <c r="W1355" t="inlineStr">
        <is>
          <t>1997-02-03</t>
        </is>
      </c>
      <c r="X1355" t="inlineStr">
        <is>
          <t>1997-02-03</t>
        </is>
      </c>
      <c r="Y1355" t="n">
        <v>274</v>
      </c>
      <c r="Z1355" t="n">
        <v>263</v>
      </c>
      <c r="AA1355" t="n">
        <v>951</v>
      </c>
      <c r="AB1355" t="n">
        <v>4</v>
      </c>
      <c r="AC1355" t="n">
        <v>8</v>
      </c>
      <c r="AD1355" t="n">
        <v>13</v>
      </c>
      <c r="AE1355" t="n">
        <v>41</v>
      </c>
      <c r="AF1355" t="n">
        <v>3</v>
      </c>
      <c r="AG1355" t="n">
        <v>18</v>
      </c>
      <c r="AH1355" t="n">
        <v>4</v>
      </c>
      <c r="AI1355" t="n">
        <v>8</v>
      </c>
      <c r="AJ1355" t="n">
        <v>8</v>
      </c>
      <c r="AK1355" t="n">
        <v>21</v>
      </c>
      <c r="AL1355" t="n">
        <v>2</v>
      </c>
      <c r="AM1355" t="n">
        <v>5</v>
      </c>
      <c r="AN1355" t="n">
        <v>0</v>
      </c>
      <c r="AO1355" t="n">
        <v>0</v>
      </c>
      <c r="AP1355" t="inlineStr">
        <is>
          <t>Yes</t>
        </is>
      </c>
      <c r="AQ1355" t="inlineStr">
        <is>
          <t>No</t>
        </is>
      </c>
      <c r="AR1355">
        <f>HYPERLINK("http://catalog.hathitrust.org/Record/000839155","HathiTrust Record")</f>
        <v/>
      </c>
      <c r="AS1355">
        <f>HYPERLINK("https://creighton-primo.hosted.exlibrisgroup.com/primo-explore/search?tab=default_tab&amp;search_scope=EVERYTHING&amp;vid=01CRU&amp;lang=en_US&amp;offset=0&amp;query=any,contains,991004147769702656","Catalog Record")</f>
        <v/>
      </c>
      <c r="AT1355">
        <f>HYPERLINK("http://www.worldcat.org/oclc/2516643","WorldCat Record")</f>
        <v/>
      </c>
      <c r="AU1355" t="inlineStr">
        <is>
          <t>116983910:eng</t>
        </is>
      </c>
      <c r="AV1355" t="inlineStr">
        <is>
          <t>2516643</t>
        </is>
      </c>
      <c r="AW1355" t="inlineStr">
        <is>
          <t>991004147769702656</t>
        </is>
      </c>
      <c r="AX1355" t="inlineStr">
        <is>
          <t>991004147769702656</t>
        </is>
      </c>
      <c r="AY1355" t="inlineStr">
        <is>
          <t>2258820350002656</t>
        </is>
      </c>
      <c r="AZ1355" t="inlineStr">
        <is>
          <t>BOOK</t>
        </is>
      </c>
      <c r="BC1355" t="inlineStr">
        <is>
          <t>32285002419553</t>
        </is>
      </c>
      <c r="BD1355" t="inlineStr">
        <is>
          <t>893263119</t>
        </is>
      </c>
    </row>
    <row r="1356">
      <c r="A1356" t="inlineStr">
        <is>
          <t>No</t>
        </is>
      </c>
      <c r="B1356" t="inlineStr">
        <is>
          <t>DG78 .O63 1967</t>
        </is>
      </c>
      <c r="C1356" t="inlineStr">
        <is>
          <t>0                      DG 0078000O  63          1967</t>
        </is>
      </c>
      <c r="D1356" t="inlineStr">
        <is>
          <t>Römische Wertbefriffe / hrsg. von Hans Oppermann.</t>
        </is>
      </c>
      <c r="F1356" t="inlineStr">
        <is>
          <t>No</t>
        </is>
      </c>
      <c r="G1356" t="inlineStr">
        <is>
          <t>1</t>
        </is>
      </c>
      <c r="H1356" t="inlineStr">
        <is>
          <t>No</t>
        </is>
      </c>
      <c r="I1356" t="inlineStr">
        <is>
          <t>No</t>
        </is>
      </c>
      <c r="J1356" t="inlineStr">
        <is>
          <t>0</t>
        </is>
      </c>
      <c r="K1356" t="inlineStr">
        <is>
          <t>Oppermann, Hans, 1895-1982 compiler.</t>
        </is>
      </c>
      <c r="L1356" t="inlineStr">
        <is>
          <t>Darmstadt : Wissenschaftliche Buchgesellschaft, c1967, 1983 printing.</t>
        </is>
      </c>
      <c r="M1356" t="inlineStr">
        <is>
          <t>1974</t>
        </is>
      </c>
      <c r="N1356" t="inlineStr">
        <is>
          <t>3. unveränderte Aufl.</t>
        </is>
      </c>
      <c r="O1356" t="inlineStr">
        <is>
          <t>ger</t>
        </is>
      </c>
      <c r="P1356" t="inlineStr">
        <is>
          <t xml:space="preserve">gw </t>
        </is>
      </c>
      <c r="Q1356" t="inlineStr">
        <is>
          <t>Wege der Forschung ; Bd. 34</t>
        </is>
      </c>
      <c r="R1356" t="inlineStr">
        <is>
          <t xml:space="preserve">DG </t>
        </is>
      </c>
      <c r="S1356" t="n">
        <v>4</v>
      </c>
      <c r="T1356" t="n">
        <v>4</v>
      </c>
      <c r="U1356" t="inlineStr">
        <is>
          <t>2000-02-24</t>
        </is>
      </c>
      <c r="V1356" t="inlineStr">
        <is>
          <t>2000-02-24</t>
        </is>
      </c>
      <c r="W1356" t="inlineStr">
        <is>
          <t>1991-03-22</t>
        </is>
      </c>
      <c r="X1356" t="inlineStr">
        <is>
          <t>1991-03-22</t>
        </is>
      </c>
      <c r="Y1356" t="n">
        <v>49</v>
      </c>
      <c r="Z1356" t="n">
        <v>11</v>
      </c>
      <c r="AA1356" t="n">
        <v>87</v>
      </c>
      <c r="AB1356" t="n">
        <v>1</v>
      </c>
      <c r="AC1356" t="n">
        <v>2</v>
      </c>
      <c r="AD1356" t="n">
        <v>0</v>
      </c>
      <c r="AE1356" t="n">
        <v>6</v>
      </c>
      <c r="AF1356" t="n">
        <v>0</v>
      </c>
      <c r="AG1356" t="n">
        <v>0</v>
      </c>
      <c r="AH1356" t="n">
        <v>0</v>
      </c>
      <c r="AI1356" t="n">
        <v>3</v>
      </c>
      <c r="AJ1356" t="n">
        <v>0</v>
      </c>
      <c r="AK1356" t="n">
        <v>4</v>
      </c>
      <c r="AL1356" t="n">
        <v>0</v>
      </c>
      <c r="AM1356" t="n">
        <v>1</v>
      </c>
      <c r="AN1356" t="n">
        <v>0</v>
      </c>
      <c r="AO1356" t="n">
        <v>0</v>
      </c>
      <c r="AP1356" t="inlineStr">
        <is>
          <t>No</t>
        </is>
      </c>
      <c r="AQ1356" t="inlineStr">
        <is>
          <t>Yes</t>
        </is>
      </c>
      <c r="AR1356">
        <f>HYPERLINK("http://catalog.hathitrust.org/Record/000023807","HathiTrust Record")</f>
        <v/>
      </c>
      <c r="AS1356">
        <f>HYPERLINK("https://creighton-primo.hosted.exlibrisgroup.com/primo-explore/search?tab=default_tab&amp;search_scope=EVERYTHING&amp;vid=01CRU&amp;lang=en_US&amp;offset=0&amp;query=any,contains,991005364239702656","Catalog Record")</f>
        <v/>
      </c>
      <c r="AT1356">
        <f>HYPERLINK("http://www.worldcat.org/oclc/1690514","WorldCat Record")</f>
        <v/>
      </c>
      <c r="AU1356" t="inlineStr">
        <is>
          <t>118328172:ger</t>
        </is>
      </c>
      <c r="AV1356" t="inlineStr">
        <is>
          <t>1690514</t>
        </is>
      </c>
      <c r="AW1356" t="inlineStr">
        <is>
          <t>991005364239702656</t>
        </is>
      </c>
      <c r="AX1356" t="inlineStr">
        <is>
          <t>991005364239702656</t>
        </is>
      </c>
      <c r="AY1356" t="inlineStr">
        <is>
          <t>2259287530002656</t>
        </is>
      </c>
      <c r="AZ1356" t="inlineStr">
        <is>
          <t>BOOK</t>
        </is>
      </c>
      <c r="BB1356" t="inlineStr">
        <is>
          <t>9783534020942</t>
        </is>
      </c>
      <c r="BC1356" t="inlineStr">
        <is>
          <t>32285000521129</t>
        </is>
      </c>
      <c r="BD1356" t="inlineStr">
        <is>
          <t>893351151</t>
        </is>
      </c>
    </row>
    <row r="1357">
      <c r="A1357" t="inlineStr">
        <is>
          <t>No</t>
        </is>
      </c>
      <c r="B1357" t="inlineStr">
        <is>
          <t>DG78 .V3513 1998</t>
        </is>
      </c>
      <c r="C1357" t="inlineStr">
        <is>
          <t>0                      DG 0078000V  3513        1998</t>
        </is>
      </c>
      <c r="D1357" t="inlineStr">
        <is>
          <t>Memorable deeds and sayings, Book I / Valerius Maximus ; translated with introduction and commentary by D. Wardle.</t>
        </is>
      </c>
      <c r="F1357" t="inlineStr">
        <is>
          <t>No</t>
        </is>
      </c>
      <c r="G1357" t="inlineStr">
        <is>
          <t>1</t>
        </is>
      </c>
      <c r="H1357" t="inlineStr">
        <is>
          <t>No</t>
        </is>
      </c>
      <c r="I1357" t="inlineStr">
        <is>
          <t>No</t>
        </is>
      </c>
      <c r="J1357" t="inlineStr">
        <is>
          <t>0</t>
        </is>
      </c>
      <c r="K1357" t="inlineStr">
        <is>
          <t>Valerius Maximus.</t>
        </is>
      </c>
      <c r="L1357" t="inlineStr">
        <is>
          <t>New York : Clarendon Press, 1998.</t>
        </is>
      </c>
      <c r="M1357" t="inlineStr">
        <is>
          <t>1998</t>
        </is>
      </c>
      <c r="O1357" t="inlineStr">
        <is>
          <t>eng</t>
        </is>
      </c>
      <c r="P1357" t="inlineStr">
        <is>
          <t>nyu</t>
        </is>
      </c>
      <c r="R1357" t="inlineStr">
        <is>
          <t xml:space="preserve">DG </t>
        </is>
      </c>
      <c r="S1357" t="n">
        <v>3</v>
      </c>
      <c r="T1357" t="n">
        <v>3</v>
      </c>
      <c r="U1357" t="inlineStr">
        <is>
          <t>2000-11-13</t>
        </is>
      </c>
      <c r="V1357" t="inlineStr">
        <is>
          <t>2000-11-13</t>
        </is>
      </c>
      <c r="W1357" t="inlineStr">
        <is>
          <t>2000-10-26</t>
        </is>
      </c>
      <c r="X1357" t="inlineStr">
        <is>
          <t>2000-10-26</t>
        </is>
      </c>
      <c r="Y1357" t="n">
        <v>239</v>
      </c>
      <c r="Z1357" t="n">
        <v>178</v>
      </c>
      <c r="AA1357" t="n">
        <v>179</v>
      </c>
      <c r="AB1357" t="n">
        <v>3</v>
      </c>
      <c r="AC1357" t="n">
        <v>3</v>
      </c>
      <c r="AD1357" t="n">
        <v>14</v>
      </c>
      <c r="AE1357" t="n">
        <v>14</v>
      </c>
      <c r="AF1357" t="n">
        <v>4</v>
      </c>
      <c r="AG1357" t="n">
        <v>4</v>
      </c>
      <c r="AH1357" t="n">
        <v>4</v>
      </c>
      <c r="AI1357" t="n">
        <v>4</v>
      </c>
      <c r="AJ1357" t="n">
        <v>9</v>
      </c>
      <c r="AK1357" t="n">
        <v>9</v>
      </c>
      <c r="AL1357" t="n">
        <v>2</v>
      </c>
      <c r="AM1357" t="n">
        <v>2</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HYPERLINK("https://creighton-primo.hosted.exlibrisgroup.com/primo-explore/search?tab=default_tab&amp;search_scope=EVERYTHING&amp;vid=01CRU&amp;lang=en_US&amp;offset=0&amp;query=any,contains,991003218639702656","Catalog Record")</f>
        <v/>
      </c>
      <c r="AT1357">
        <f>HYPERLINK("http://www.worldcat.org/oclc/38081438","WorldCat Record")</f>
        <v/>
      </c>
      <c r="AU1357" t="inlineStr">
        <is>
          <t>5622568312:eng</t>
        </is>
      </c>
      <c r="AV1357" t="inlineStr">
        <is>
          <t>38081438</t>
        </is>
      </c>
      <c r="AW1357" t="inlineStr">
        <is>
          <t>991003218639702656</t>
        </is>
      </c>
      <c r="AX1357" t="inlineStr">
        <is>
          <t>991003218639702656</t>
        </is>
      </c>
      <c r="AY1357" t="inlineStr">
        <is>
          <t>2268981850002656</t>
        </is>
      </c>
      <c r="AZ1357" t="inlineStr">
        <is>
          <t>BOOK</t>
        </is>
      </c>
      <c r="BB1357" t="inlineStr">
        <is>
          <t>9780198150169</t>
        </is>
      </c>
      <c r="BC1357" t="inlineStr">
        <is>
          <t>32285004261037</t>
        </is>
      </c>
      <c r="BD1357" t="inlineStr">
        <is>
          <t>893604548</t>
        </is>
      </c>
    </row>
    <row r="1358">
      <c r="A1358" t="inlineStr">
        <is>
          <t>No</t>
        </is>
      </c>
      <c r="B1358" t="inlineStr">
        <is>
          <t>DG794 .M35 1991</t>
        </is>
      </c>
      <c r="C1358" t="inlineStr">
        <is>
          <t>0                      DG 0794000M  35          1991</t>
        </is>
      </c>
      <c r="D1358" t="inlineStr">
        <is>
          <t>Inside the Vatican / by Bart McDowell ; photographed by James L. Stanfield ; prepared by the Book Division, National Geographic Society.</t>
        </is>
      </c>
      <c r="F1358" t="inlineStr">
        <is>
          <t>No</t>
        </is>
      </c>
      <c r="G1358" t="inlineStr">
        <is>
          <t>1</t>
        </is>
      </c>
      <c r="H1358" t="inlineStr">
        <is>
          <t>No</t>
        </is>
      </c>
      <c r="I1358" t="inlineStr">
        <is>
          <t>No</t>
        </is>
      </c>
      <c r="J1358" t="inlineStr">
        <is>
          <t>0</t>
        </is>
      </c>
      <c r="K1358" t="inlineStr">
        <is>
          <t>McDowell, Bart.</t>
        </is>
      </c>
      <c r="L1358" t="inlineStr">
        <is>
          <t>Washington, D.C. : The Society, c1991.</t>
        </is>
      </c>
      <c r="M1358" t="inlineStr">
        <is>
          <t>1991</t>
        </is>
      </c>
      <c r="O1358" t="inlineStr">
        <is>
          <t>eng</t>
        </is>
      </c>
      <c r="P1358" t="inlineStr">
        <is>
          <t>dcu</t>
        </is>
      </c>
      <c r="R1358" t="inlineStr">
        <is>
          <t xml:space="preserve">DG </t>
        </is>
      </c>
      <c r="S1358" t="n">
        <v>9</v>
      </c>
      <c r="T1358" t="n">
        <v>9</v>
      </c>
      <c r="U1358" t="inlineStr">
        <is>
          <t>2010-11-17</t>
        </is>
      </c>
      <c r="V1358" t="inlineStr">
        <is>
          <t>2010-11-17</t>
        </is>
      </c>
      <c r="W1358" t="inlineStr">
        <is>
          <t>1993-09-01</t>
        </is>
      </c>
      <c r="X1358" t="inlineStr">
        <is>
          <t>1993-09-01</t>
        </is>
      </c>
      <c r="Y1358" t="n">
        <v>1286</v>
      </c>
      <c r="Z1358" t="n">
        <v>1185</v>
      </c>
      <c r="AA1358" t="n">
        <v>1338</v>
      </c>
      <c r="AB1358" t="n">
        <v>13</v>
      </c>
      <c r="AC1358" t="n">
        <v>16</v>
      </c>
      <c r="AD1358" t="n">
        <v>30</v>
      </c>
      <c r="AE1358" t="n">
        <v>31</v>
      </c>
      <c r="AF1358" t="n">
        <v>14</v>
      </c>
      <c r="AG1358" t="n">
        <v>15</v>
      </c>
      <c r="AH1358" t="n">
        <v>5</v>
      </c>
      <c r="AI1358" t="n">
        <v>5</v>
      </c>
      <c r="AJ1358" t="n">
        <v>19</v>
      </c>
      <c r="AK1358" t="n">
        <v>19</v>
      </c>
      <c r="AL1358" t="n">
        <v>2</v>
      </c>
      <c r="AM1358" t="n">
        <v>2</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HYPERLINK("https://creighton-primo.hosted.exlibrisgroup.com/primo-explore/search?tab=default_tab&amp;search_scope=EVERYTHING&amp;vid=01CRU&amp;lang=en_US&amp;offset=0&amp;query=any,contains,991001892099702656","Catalog Record")</f>
        <v/>
      </c>
      <c r="AT1358">
        <f>HYPERLINK("http://www.worldcat.org/oclc/23900594","WorldCat Record")</f>
        <v/>
      </c>
      <c r="AU1358" t="inlineStr">
        <is>
          <t>590174:eng</t>
        </is>
      </c>
      <c r="AV1358" t="inlineStr">
        <is>
          <t>23900594</t>
        </is>
      </c>
      <c r="AW1358" t="inlineStr">
        <is>
          <t>991001892099702656</t>
        </is>
      </c>
      <c r="AX1358" t="inlineStr">
        <is>
          <t>991001892099702656</t>
        </is>
      </c>
      <c r="AY1358" t="inlineStr">
        <is>
          <t>2254918230002656</t>
        </is>
      </c>
      <c r="AZ1358" t="inlineStr">
        <is>
          <t>BOOK</t>
        </is>
      </c>
      <c r="BB1358" t="inlineStr">
        <is>
          <t>9780870448584</t>
        </is>
      </c>
      <c r="BC1358" t="inlineStr">
        <is>
          <t>32285001729465</t>
        </is>
      </c>
      <c r="BD1358" t="inlineStr">
        <is>
          <t>893772994</t>
        </is>
      </c>
    </row>
    <row r="1359">
      <c r="A1359" t="inlineStr">
        <is>
          <t>No</t>
        </is>
      </c>
      <c r="B1359" t="inlineStr">
        <is>
          <t>DG797.3 .W3</t>
        </is>
      </c>
      <c r="C1359" t="inlineStr">
        <is>
          <t>0                      DG 0797300W  3</t>
        </is>
      </c>
      <c r="D1359" t="inlineStr">
        <is>
          <t>The Papal State in the thirteenth century, by Daniel Waley.</t>
        </is>
      </c>
      <c r="F1359" t="inlineStr">
        <is>
          <t>No</t>
        </is>
      </c>
      <c r="G1359" t="inlineStr">
        <is>
          <t>1</t>
        </is>
      </c>
      <c r="H1359" t="inlineStr">
        <is>
          <t>No</t>
        </is>
      </c>
      <c r="I1359" t="inlineStr">
        <is>
          <t>No</t>
        </is>
      </c>
      <c r="J1359" t="inlineStr">
        <is>
          <t>0</t>
        </is>
      </c>
      <c r="K1359" t="inlineStr">
        <is>
          <t>Waley, Daniel Philip.</t>
        </is>
      </c>
      <c r="L1359" t="inlineStr">
        <is>
          <t>London, Macmillan; New York, St. Martin's Press, 1961.</t>
        </is>
      </c>
      <c r="M1359" t="inlineStr">
        <is>
          <t>1961</t>
        </is>
      </c>
      <c r="O1359" t="inlineStr">
        <is>
          <t>eng</t>
        </is>
      </c>
      <c r="P1359" t="inlineStr">
        <is>
          <t>enk</t>
        </is>
      </c>
      <c r="R1359" t="inlineStr">
        <is>
          <t xml:space="preserve">DG </t>
        </is>
      </c>
      <c r="S1359" t="n">
        <v>4</v>
      </c>
      <c r="T1359" t="n">
        <v>4</v>
      </c>
      <c r="U1359" t="inlineStr">
        <is>
          <t>2009-03-25</t>
        </is>
      </c>
      <c r="V1359" t="inlineStr">
        <is>
          <t>2009-03-25</t>
        </is>
      </c>
      <c r="W1359" t="inlineStr">
        <is>
          <t>1997-02-06</t>
        </is>
      </c>
      <c r="X1359" t="inlineStr">
        <is>
          <t>1997-02-06</t>
        </is>
      </c>
      <c r="Y1359" t="n">
        <v>705</v>
      </c>
      <c r="Z1359" t="n">
        <v>555</v>
      </c>
      <c r="AA1359" t="n">
        <v>628</v>
      </c>
      <c r="AB1359" t="n">
        <v>5</v>
      </c>
      <c r="AC1359" t="n">
        <v>5</v>
      </c>
      <c r="AD1359" t="n">
        <v>39</v>
      </c>
      <c r="AE1359" t="n">
        <v>43</v>
      </c>
      <c r="AF1359" t="n">
        <v>14</v>
      </c>
      <c r="AG1359" t="n">
        <v>16</v>
      </c>
      <c r="AH1359" t="n">
        <v>10</v>
      </c>
      <c r="AI1359" t="n">
        <v>11</v>
      </c>
      <c r="AJ1359" t="n">
        <v>22</v>
      </c>
      <c r="AK1359" t="n">
        <v>22</v>
      </c>
      <c r="AL1359" t="n">
        <v>4</v>
      </c>
      <c r="AM1359" t="n">
        <v>4</v>
      </c>
      <c r="AN1359" t="n">
        <v>0</v>
      </c>
      <c r="AO1359" t="n">
        <v>2</v>
      </c>
      <c r="AP1359" t="inlineStr">
        <is>
          <t>No</t>
        </is>
      </c>
      <c r="AQ1359" t="inlineStr">
        <is>
          <t>Yes</t>
        </is>
      </c>
      <c r="AR1359">
        <f>HYPERLINK("http://catalog.hathitrust.org/Record/000430118","HathiTrust Record")</f>
        <v/>
      </c>
      <c r="AS1359">
        <f>HYPERLINK("https://creighton-primo.hosted.exlibrisgroup.com/primo-explore/search?tab=default_tab&amp;search_scope=EVERYTHING&amp;vid=01CRU&amp;lang=en_US&amp;offset=0&amp;query=any,contains,991001921509702656","Catalog Record")</f>
        <v/>
      </c>
      <c r="AT1359">
        <f>HYPERLINK("http://www.worldcat.org/oclc/245246","WorldCat Record")</f>
        <v/>
      </c>
      <c r="AU1359" t="inlineStr">
        <is>
          <t>1397687:eng</t>
        </is>
      </c>
      <c r="AV1359" t="inlineStr">
        <is>
          <t>245246</t>
        </is>
      </c>
      <c r="AW1359" t="inlineStr">
        <is>
          <t>991001921509702656</t>
        </is>
      </c>
      <c r="AX1359" t="inlineStr">
        <is>
          <t>991001921509702656</t>
        </is>
      </c>
      <c r="AY1359" t="inlineStr">
        <is>
          <t>2267160880002656</t>
        </is>
      </c>
      <c r="AZ1359" t="inlineStr">
        <is>
          <t>BOOK</t>
        </is>
      </c>
      <c r="BC1359" t="inlineStr">
        <is>
          <t>32285002423472</t>
        </is>
      </c>
      <c r="BD1359" t="inlineStr">
        <is>
          <t>893785511</t>
        </is>
      </c>
    </row>
    <row r="1360">
      <c r="A1360" t="inlineStr">
        <is>
          <t>No</t>
        </is>
      </c>
      <c r="B1360" t="inlineStr">
        <is>
          <t>DG798.7 .K47 2004</t>
        </is>
      </c>
      <c r="C1360" t="inlineStr">
        <is>
          <t>0                      DG 0798700K  47          2004</t>
        </is>
      </c>
      <c r="D1360" t="inlineStr">
        <is>
          <t>Prisoner of the Vatican : the popes' secret plot to capture Rome from the new Italian state / David I. Kertzer.</t>
        </is>
      </c>
      <c r="F1360" t="inlineStr">
        <is>
          <t>No</t>
        </is>
      </c>
      <c r="G1360" t="inlineStr">
        <is>
          <t>1</t>
        </is>
      </c>
      <c r="H1360" t="inlineStr">
        <is>
          <t>No</t>
        </is>
      </c>
      <c r="I1360" t="inlineStr">
        <is>
          <t>No</t>
        </is>
      </c>
      <c r="J1360" t="inlineStr">
        <is>
          <t>0</t>
        </is>
      </c>
      <c r="K1360" t="inlineStr">
        <is>
          <t>Kertzer, David I., 1948-</t>
        </is>
      </c>
      <c r="L1360" t="inlineStr">
        <is>
          <t>Boston : Houghton Mifflin, 2004.</t>
        </is>
      </c>
      <c r="M1360" t="inlineStr">
        <is>
          <t>2004</t>
        </is>
      </c>
      <c r="O1360" t="inlineStr">
        <is>
          <t>eng</t>
        </is>
      </c>
      <c r="P1360" t="inlineStr">
        <is>
          <t>mau</t>
        </is>
      </c>
      <c r="R1360" t="inlineStr">
        <is>
          <t xml:space="preserve">DG </t>
        </is>
      </c>
      <c r="S1360" t="n">
        <v>4</v>
      </c>
      <c r="T1360" t="n">
        <v>4</v>
      </c>
      <c r="U1360" t="inlineStr">
        <is>
          <t>2006-11-27</t>
        </is>
      </c>
      <c r="V1360" t="inlineStr">
        <is>
          <t>2006-11-27</t>
        </is>
      </c>
      <c r="W1360" t="inlineStr">
        <is>
          <t>2004-12-02</t>
        </is>
      </c>
      <c r="X1360" t="inlineStr">
        <is>
          <t>2004-12-02</t>
        </is>
      </c>
      <c r="Y1360" t="n">
        <v>768</v>
      </c>
      <c r="Z1360" t="n">
        <v>688</v>
      </c>
      <c r="AA1360" t="n">
        <v>716</v>
      </c>
      <c r="AB1360" t="n">
        <v>7</v>
      </c>
      <c r="AC1360" t="n">
        <v>7</v>
      </c>
      <c r="AD1360" t="n">
        <v>29</v>
      </c>
      <c r="AE1360" t="n">
        <v>29</v>
      </c>
      <c r="AF1360" t="n">
        <v>12</v>
      </c>
      <c r="AG1360" t="n">
        <v>12</v>
      </c>
      <c r="AH1360" t="n">
        <v>9</v>
      </c>
      <c r="AI1360" t="n">
        <v>9</v>
      </c>
      <c r="AJ1360" t="n">
        <v>15</v>
      </c>
      <c r="AK1360" t="n">
        <v>15</v>
      </c>
      <c r="AL1360" t="n">
        <v>3</v>
      </c>
      <c r="AM1360" t="n">
        <v>3</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HYPERLINK("https://creighton-primo.hosted.exlibrisgroup.com/primo-explore/search?tab=default_tab&amp;search_scope=EVERYTHING&amp;vid=01CRU&amp;lang=en_US&amp;offset=0&amp;query=any,contains,991004380779702656","Catalog Record")</f>
        <v/>
      </c>
      <c r="AT1360">
        <f>HYPERLINK("http://www.worldcat.org/oclc/56367520","WorldCat Record")</f>
        <v/>
      </c>
      <c r="AU1360" t="inlineStr">
        <is>
          <t>796378674:eng</t>
        </is>
      </c>
      <c r="AV1360" t="inlineStr">
        <is>
          <t>56367520</t>
        </is>
      </c>
      <c r="AW1360" t="inlineStr">
        <is>
          <t>991004380779702656</t>
        </is>
      </c>
      <c r="AX1360" t="inlineStr">
        <is>
          <t>991004380779702656</t>
        </is>
      </c>
      <c r="AY1360" t="inlineStr">
        <is>
          <t>2261751000002656</t>
        </is>
      </c>
      <c r="AZ1360" t="inlineStr">
        <is>
          <t>BOOK</t>
        </is>
      </c>
      <c r="BB1360" t="inlineStr">
        <is>
          <t>9780618224425</t>
        </is>
      </c>
      <c r="BC1360" t="inlineStr">
        <is>
          <t>32285005014260</t>
        </is>
      </c>
      <c r="BD1360" t="inlineStr">
        <is>
          <t>893693879</t>
        </is>
      </c>
    </row>
    <row r="1361">
      <c r="A1361" t="inlineStr">
        <is>
          <t>No</t>
        </is>
      </c>
      <c r="B1361" t="inlineStr">
        <is>
          <t>DG799 .R45 1983</t>
        </is>
      </c>
      <c r="C1361" t="inlineStr">
        <is>
          <t>0                      DG 0799000R  45          1983</t>
        </is>
      </c>
      <c r="D1361" t="inlineStr">
        <is>
          <t>The power of Rome in the twentieth century : the Vatican in the age of liberal democracies, 1870-1922 / Anthony Rhodes.</t>
        </is>
      </c>
      <c r="F1361" t="inlineStr">
        <is>
          <t>No</t>
        </is>
      </c>
      <c r="G1361" t="inlineStr">
        <is>
          <t>1</t>
        </is>
      </c>
      <c r="H1361" t="inlineStr">
        <is>
          <t>No</t>
        </is>
      </c>
      <c r="I1361" t="inlineStr">
        <is>
          <t>No</t>
        </is>
      </c>
      <c r="J1361" t="inlineStr">
        <is>
          <t>0</t>
        </is>
      </c>
      <c r="K1361" t="inlineStr">
        <is>
          <t>Rhodes, Anthony, 1916-2004.</t>
        </is>
      </c>
      <c r="L1361" t="inlineStr">
        <is>
          <t>London : Sidgwick &amp; Jackson, 1983.</t>
        </is>
      </c>
      <c r="M1361" t="inlineStr">
        <is>
          <t>1983</t>
        </is>
      </c>
      <c r="O1361" t="inlineStr">
        <is>
          <t>eng</t>
        </is>
      </c>
      <c r="P1361" t="inlineStr">
        <is>
          <t>enk</t>
        </is>
      </c>
      <c r="R1361" t="inlineStr">
        <is>
          <t xml:space="preserve">DG </t>
        </is>
      </c>
      <c r="S1361" t="n">
        <v>5</v>
      </c>
      <c r="T1361" t="n">
        <v>5</v>
      </c>
      <c r="U1361" t="inlineStr">
        <is>
          <t>1999-06-28</t>
        </is>
      </c>
      <c r="V1361" t="inlineStr">
        <is>
          <t>1999-06-28</t>
        </is>
      </c>
      <c r="W1361" t="inlineStr">
        <is>
          <t>1991-04-23</t>
        </is>
      </c>
      <c r="X1361" t="inlineStr">
        <is>
          <t>1991-04-23</t>
        </is>
      </c>
      <c r="Y1361" t="n">
        <v>167</v>
      </c>
      <c r="Z1361" t="n">
        <v>73</v>
      </c>
      <c r="AA1361" t="n">
        <v>409</v>
      </c>
      <c r="AB1361" t="n">
        <v>2</v>
      </c>
      <c r="AC1361" t="n">
        <v>3</v>
      </c>
      <c r="AD1361" t="n">
        <v>7</v>
      </c>
      <c r="AE1361" t="n">
        <v>30</v>
      </c>
      <c r="AF1361" t="n">
        <v>0</v>
      </c>
      <c r="AG1361" t="n">
        <v>11</v>
      </c>
      <c r="AH1361" t="n">
        <v>1</v>
      </c>
      <c r="AI1361" t="n">
        <v>9</v>
      </c>
      <c r="AJ1361" t="n">
        <v>5</v>
      </c>
      <c r="AK1361" t="n">
        <v>20</v>
      </c>
      <c r="AL1361" t="n">
        <v>1</v>
      </c>
      <c r="AM1361" t="n">
        <v>1</v>
      </c>
      <c r="AN1361" t="n">
        <v>0</v>
      </c>
      <c r="AO1361" t="n">
        <v>0</v>
      </c>
      <c r="AP1361" t="inlineStr">
        <is>
          <t>No</t>
        </is>
      </c>
      <c r="AQ1361" t="inlineStr">
        <is>
          <t>Yes</t>
        </is>
      </c>
      <c r="AR1361">
        <f>HYPERLINK("http://catalog.hathitrust.org/Record/000659351","HathiTrust Record")</f>
        <v/>
      </c>
      <c r="AS1361">
        <f>HYPERLINK("https://creighton-primo.hosted.exlibrisgroup.com/primo-explore/search?tab=default_tab&amp;search_scope=EVERYTHING&amp;vid=01CRU&amp;lang=en_US&amp;offset=0&amp;query=any,contains,991000314899702656","Catalog Record")</f>
        <v/>
      </c>
      <c r="AT1361">
        <f>HYPERLINK("http://www.worldcat.org/oclc/16647143","WorldCat Record")</f>
        <v/>
      </c>
      <c r="AU1361" t="inlineStr">
        <is>
          <t>3256618:eng</t>
        </is>
      </c>
      <c r="AV1361" t="inlineStr">
        <is>
          <t>16647143</t>
        </is>
      </c>
      <c r="AW1361" t="inlineStr">
        <is>
          <t>991000314899702656</t>
        </is>
      </c>
      <c r="AX1361" t="inlineStr">
        <is>
          <t>991000314899702656</t>
        </is>
      </c>
      <c r="AY1361" t="inlineStr">
        <is>
          <t>2272031770002656</t>
        </is>
      </c>
      <c r="AZ1361" t="inlineStr">
        <is>
          <t>BOOK</t>
        </is>
      </c>
      <c r="BB1361" t="inlineStr">
        <is>
          <t>9780283990038</t>
        </is>
      </c>
      <c r="BC1361" t="inlineStr">
        <is>
          <t>32285000522416</t>
        </is>
      </c>
      <c r="BD1361" t="inlineStr">
        <is>
          <t>893708277</t>
        </is>
      </c>
    </row>
    <row r="1362">
      <c r="A1362" t="inlineStr">
        <is>
          <t>No</t>
        </is>
      </c>
      <c r="B1362" t="inlineStr">
        <is>
          <t>DG800 .C26</t>
        </is>
      </c>
      <c r="C1362" t="inlineStr">
        <is>
          <t>0                      DG 0800000C  26</t>
        </is>
      </c>
      <c r="D1362" t="inlineStr">
        <is>
          <t>The Vatican; behind the scenes in the Holy City. With photographs by David Seymour.</t>
        </is>
      </c>
      <c r="F1362" t="inlineStr">
        <is>
          <t>No</t>
        </is>
      </c>
      <c r="G1362" t="inlineStr">
        <is>
          <t>1</t>
        </is>
      </c>
      <c r="H1362" t="inlineStr">
        <is>
          <t>Yes</t>
        </is>
      </c>
      <c r="I1362" t="inlineStr">
        <is>
          <t>No</t>
        </is>
      </c>
      <c r="J1362" t="inlineStr">
        <is>
          <t>0</t>
        </is>
      </c>
      <c r="K1362" t="inlineStr">
        <is>
          <t>Carnahan, Ann.</t>
        </is>
      </c>
      <c r="L1362" t="inlineStr">
        <is>
          <t>New York, Farrar, Straus [1949]</t>
        </is>
      </c>
      <c r="M1362" t="inlineStr">
        <is>
          <t>1949</t>
        </is>
      </c>
      <c r="O1362" t="inlineStr">
        <is>
          <t>eng</t>
        </is>
      </c>
      <c r="P1362" t="inlineStr">
        <is>
          <t>___</t>
        </is>
      </c>
      <c r="R1362" t="inlineStr">
        <is>
          <t xml:space="preserve">DG </t>
        </is>
      </c>
      <c r="S1362" t="n">
        <v>2</v>
      </c>
      <c r="T1362" t="n">
        <v>4</v>
      </c>
      <c r="U1362" t="inlineStr">
        <is>
          <t>2007-11-14</t>
        </is>
      </c>
      <c r="V1362" t="inlineStr">
        <is>
          <t>2007-11-14</t>
        </is>
      </c>
      <c r="W1362" t="inlineStr">
        <is>
          <t>1991-04-23</t>
        </is>
      </c>
      <c r="X1362" t="inlineStr">
        <is>
          <t>1991-04-23</t>
        </is>
      </c>
      <c r="Y1362" t="n">
        <v>455</v>
      </c>
      <c r="Z1362" t="n">
        <v>429</v>
      </c>
      <c r="AA1362" t="n">
        <v>452</v>
      </c>
      <c r="AB1362" t="n">
        <v>6</v>
      </c>
      <c r="AC1362" t="n">
        <v>7</v>
      </c>
      <c r="AD1362" t="n">
        <v>32</v>
      </c>
      <c r="AE1362" t="n">
        <v>33</v>
      </c>
      <c r="AF1362" t="n">
        <v>11</v>
      </c>
      <c r="AG1362" t="n">
        <v>11</v>
      </c>
      <c r="AH1362" t="n">
        <v>7</v>
      </c>
      <c r="AI1362" t="n">
        <v>7</v>
      </c>
      <c r="AJ1362" t="n">
        <v>22</v>
      </c>
      <c r="AK1362" t="n">
        <v>22</v>
      </c>
      <c r="AL1362" t="n">
        <v>2</v>
      </c>
      <c r="AM1362" t="n">
        <v>3</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HYPERLINK("https://creighton-primo.hosted.exlibrisgroup.com/primo-explore/search?tab=default_tab&amp;search_scope=EVERYTHING&amp;vid=01CRU&amp;lang=en_US&amp;offset=0&amp;query=any,contains,991003698889702656","Catalog Record")</f>
        <v/>
      </c>
      <c r="AT1362">
        <f>HYPERLINK("http://www.worldcat.org/oclc/1333387","WorldCat Record")</f>
        <v/>
      </c>
      <c r="AU1362" t="inlineStr">
        <is>
          <t>2220085:eng</t>
        </is>
      </c>
      <c r="AV1362" t="inlineStr">
        <is>
          <t>1333387</t>
        </is>
      </c>
      <c r="AW1362" t="inlineStr">
        <is>
          <t>991003698889702656</t>
        </is>
      </c>
      <c r="AX1362" t="inlineStr">
        <is>
          <t>991003698889702656</t>
        </is>
      </c>
      <c r="AY1362" t="inlineStr">
        <is>
          <t>2260363910002656</t>
        </is>
      </c>
      <c r="AZ1362" t="inlineStr">
        <is>
          <t>BOOK</t>
        </is>
      </c>
      <c r="BC1362" t="inlineStr">
        <is>
          <t>32285000522424</t>
        </is>
      </c>
      <c r="BD1362" t="inlineStr">
        <is>
          <t>893228344</t>
        </is>
      </c>
    </row>
    <row r="1363">
      <c r="A1363" t="inlineStr">
        <is>
          <t>No</t>
        </is>
      </c>
      <c r="B1363" t="inlineStr">
        <is>
          <t>DG800 .C26</t>
        </is>
      </c>
      <c r="C1363" t="inlineStr">
        <is>
          <t>0                      DG 0800000C  26</t>
        </is>
      </c>
      <c r="D1363" t="inlineStr">
        <is>
          <t>The Vatican; behind the scenes in the Holy City. With photographs by David Seymour.</t>
        </is>
      </c>
      <c r="F1363" t="inlineStr">
        <is>
          <t>No</t>
        </is>
      </c>
      <c r="G1363" t="inlineStr">
        <is>
          <t>1</t>
        </is>
      </c>
      <c r="H1363" t="inlineStr">
        <is>
          <t>Yes</t>
        </is>
      </c>
      <c r="I1363" t="inlineStr">
        <is>
          <t>No</t>
        </is>
      </c>
      <c r="J1363" t="inlineStr">
        <is>
          <t>0</t>
        </is>
      </c>
      <c r="K1363" t="inlineStr">
        <is>
          <t>Carnahan, Ann.</t>
        </is>
      </c>
      <c r="L1363" t="inlineStr">
        <is>
          <t>New York, Farrar, Straus [1949]</t>
        </is>
      </c>
      <c r="M1363" t="inlineStr">
        <is>
          <t>1949</t>
        </is>
      </c>
      <c r="O1363" t="inlineStr">
        <is>
          <t>eng</t>
        </is>
      </c>
      <c r="P1363" t="inlineStr">
        <is>
          <t>___</t>
        </is>
      </c>
      <c r="R1363" t="inlineStr">
        <is>
          <t xml:space="preserve">DG </t>
        </is>
      </c>
      <c r="S1363" t="n">
        <v>2</v>
      </c>
      <c r="T1363" t="n">
        <v>4</v>
      </c>
      <c r="U1363" t="inlineStr">
        <is>
          <t>1993-02-10</t>
        </is>
      </c>
      <c r="V1363" t="inlineStr">
        <is>
          <t>2007-11-14</t>
        </is>
      </c>
      <c r="W1363" t="inlineStr">
        <is>
          <t>1991-04-23</t>
        </is>
      </c>
      <c r="X1363" t="inlineStr">
        <is>
          <t>1991-04-23</t>
        </is>
      </c>
      <c r="Y1363" t="n">
        <v>455</v>
      </c>
      <c r="Z1363" t="n">
        <v>429</v>
      </c>
      <c r="AA1363" t="n">
        <v>452</v>
      </c>
      <c r="AB1363" t="n">
        <v>6</v>
      </c>
      <c r="AC1363" t="n">
        <v>7</v>
      </c>
      <c r="AD1363" t="n">
        <v>32</v>
      </c>
      <c r="AE1363" t="n">
        <v>33</v>
      </c>
      <c r="AF1363" t="n">
        <v>11</v>
      </c>
      <c r="AG1363" t="n">
        <v>11</v>
      </c>
      <c r="AH1363" t="n">
        <v>7</v>
      </c>
      <c r="AI1363" t="n">
        <v>7</v>
      </c>
      <c r="AJ1363" t="n">
        <v>22</v>
      </c>
      <c r="AK1363" t="n">
        <v>22</v>
      </c>
      <c r="AL1363" t="n">
        <v>2</v>
      </c>
      <c r="AM1363" t="n">
        <v>3</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HYPERLINK("https://creighton-primo.hosted.exlibrisgroup.com/primo-explore/search?tab=default_tab&amp;search_scope=EVERYTHING&amp;vid=01CRU&amp;lang=en_US&amp;offset=0&amp;query=any,contains,991003698889702656","Catalog Record")</f>
        <v/>
      </c>
      <c r="AT1363">
        <f>HYPERLINK("http://www.worldcat.org/oclc/1333387","WorldCat Record")</f>
        <v/>
      </c>
      <c r="AU1363" t="inlineStr">
        <is>
          <t>2220085:eng</t>
        </is>
      </c>
      <c r="AV1363" t="inlineStr">
        <is>
          <t>1333387</t>
        </is>
      </c>
      <c r="AW1363" t="inlineStr">
        <is>
          <t>991003698889702656</t>
        </is>
      </c>
      <c r="AX1363" t="inlineStr">
        <is>
          <t>991003698889702656</t>
        </is>
      </c>
      <c r="AY1363" t="inlineStr">
        <is>
          <t>2260363910002656</t>
        </is>
      </c>
      <c r="AZ1363" t="inlineStr">
        <is>
          <t>BOOK</t>
        </is>
      </c>
      <c r="BC1363" t="inlineStr">
        <is>
          <t>32285000522432</t>
        </is>
      </c>
      <c r="BD1363" t="inlineStr">
        <is>
          <t>893228343</t>
        </is>
      </c>
    </row>
    <row r="1364">
      <c r="A1364" t="inlineStr">
        <is>
          <t>No</t>
        </is>
      </c>
      <c r="B1364" t="inlineStr">
        <is>
          <t>DG800 .P4 1967</t>
        </is>
      </c>
      <c r="C1364" t="inlineStr">
        <is>
          <t>0                      DG 0800000P  4           1967</t>
        </is>
      </c>
      <c r="D1364" t="inlineStr">
        <is>
          <t>The Pope's back yard / by Curtis G. Pepper.</t>
        </is>
      </c>
      <c r="F1364" t="inlineStr">
        <is>
          <t>No</t>
        </is>
      </c>
      <c r="G1364" t="inlineStr">
        <is>
          <t>1</t>
        </is>
      </c>
      <c r="H1364" t="inlineStr">
        <is>
          <t>No</t>
        </is>
      </c>
      <c r="I1364" t="inlineStr">
        <is>
          <t>No</t>
        </is>
      </c>
      <c r="J1364" t="inlineStr">
        <is>
          <t>0</t>
        </is>
      </c>
      <c r="K1364" t="inlineStr">
        <is>
          <t>Pepper, Curtis Bill.</t>
        </is>
      </c>
      <c r="L1364" t="inlineStr">
        <is>
          <t>New York : Farrar, Straus &amp; Giroux, 1967, c1969.</t>
        </is>
      </c>
      <c r="M1364" t="inlineStr">
        <is>
          <t>1967</t>
        </is>
      </c>
      <c r="O1364" t="inlineStr">
        <is>
          <t>eng</t>
        </is>
      </c>
      <c r="P1364" t="inlineStr">
        <is>
          <t>nyu</t>
        </is>
      </c>
      <c r="R1364" t="inlineStr">
        <is>
          <t xml:space="preserve">DG </t>
        </is>
      </c>
      <c r="S1364" t="n">
        <v>2</v>
      </c>
      <c r="T1364" t="n">
        <v>2</v>
      </c>
      <c r="U1364" t="inlineStr">
        <is>
          <t>2007-11-14</t>
        </is>
      </c>
      <c r="V1364" t="inlineStr">
        <is>
          <t>2007-11-14</t>
        </is>
      </c>
      <c r="W1364" t="inlineStr">
        <is>
          <t>1991-04-23</t>
        </is>
      </c>
      <c r="X1364" t="inlineStr">
        <is>
          <t>1991-04-23</t>
        </is>
      </c>
      <c r="Y1364" t="n">
        <v>187</v>
      </c>
      <c r="Z1364" t="n">
        <v>182</v>
      </c>
      <c r="AA1364" t="n">
        <v>320</v>
      </c>
      <c r="AB1364" t="n">
        <v>3</v>
      </c>
      <c r="AC1364" t="n">
        <v>3</v>
      </c>
      <c r="AD1364" t="n">
        <v>10</v>
      </c>
      <c r="AE1364" t="n">
        <v>15</v>
      </c>
      <c r="AF1364" t="n">
        <v>1</v>
      </c>
      <c r="AG1364" t="n">
        <v>1</v>
      </c>
      <c r="AH1364" t="n">
        <v>2</v>
      </c>
      <c r="AI1364" t="n">
        <v>4</v>
      </c>
      <c r="AJ1364" t="n">
        <v>7</v>
      </c>
      <c r="AK1364" t="n">
        <v>10</v>
      </c>
      <c r="AL1364" t="n">
        <v>1</v>
      </c>
      <c r="AM1364" t="n">
        <v>1</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HYPERLINK("https://creighton-primo.hosted.exlibrisgroup.com/primo-explore/search?tab=default_tab&amp;search_scope=EVERYTHING&amp;vid=01CRU&amp;lang=en_US&amp;offset=0&amp;query=any,contains,991003922259702656","Catalog Record")</f>
        <v/>
      </c>
      <c r="AT1364">
        <f>HYPERLINK("http://www.worldcat.org/oclc/1873784","WorldCat Record")</f>
        <v/>
      </c>
      <c r="AU1364" t="inlineStr">
        <is>
          <t>1811222739:eng</t>
        </is>
      </c>
      <c r="AV1364" t="inlineStr">
        <is>
          <t>1873784</t>
        </is>
      </c>
      <c r="AW1364" t="inlineStr">
        <is>
          <t>991003922259702656</t>
        </is>
      </c>
      <c r="AX1364" t="inlineStr">
        <is>
          <t>991003922259702656</t>
        </is>
      </c>
      <c r="AY1364" t="inlineStr">
        <is>
          <t>2261876690002656</t>
        </is>
      </c>
      <c r="AZ1364" t="inlineStr">
        <is>
          <t>BOOK</t>
        </is>
      </c>
      <c r="BC1364" t="inlineStr">
        <is>
          <t>32285000522440</t>
        </is>
      </c>
      <c r="BD1364" t="inlineStr">
        <is>
          <t>893794266</t>
        </is>
      </c>
    </row>
    <row r="1365">
      <c r="A1365" t="inlineStr">
        <is>
          <t>No</t>
        </is>
      </c>
      <c r="B1365" t="inlineStr">
        <is>
          <t>DG800 .P65 1985</t>
        </is>
      </c>
      <c r="C1365" t="inlineStr">
        <is>
          <t>0                      DG 0800000P  65          1985</t>
        </is>
      </c>
      <c r="D1365" t="inlineStr">
        <is>
          <t>The Vatican and Italian fascism, 1929-32 : a study in conflict / John F. Pollard.</t>
        </is>
      </c>
      <c r="F1365" t="inlineStr">
        <is>
          <t>No</t>
        </is>
      </c>
      <c r="G1365" t="inlineStr">
        <is>
          <t>1</t>
        </is>
      </c>
      <c r="H1365" t="inlineStr">
        <is>
          <t>No</t>
        </is>
      </c>
      <c r="I1365" t="inlineStr">
        <is>
          <t>No</t>
        </is>
      </c>
      <c r="J1365" t="inlineStr">
        <is>
          <t>0</t>
        </is>
      </c>
      <c r="K1365" t="inlineStr">
        <is>
          <t>Pollard, John F. (John Francis), 1944-</t>
        </is>
      </c>
      <c r="L1365" t="inlineStr">
        <is>
          <t>Cambridge (Cambridgeshire) ; New York : Cambridge University Press, 1985.</t>
        </is>
      </c>
      <c r="M1365" t="inlineStr">
        <is>
          <t>1985</t>
        </is>
      </c>
      <c r="O1365" t="inlineStr">
        <is>
          <t>eng</t>
        </is>
      </c>
      <c r="P1365" t="inlineStr">
        <is>
          <t>enk</t>
        </is>
      </c>
      <c r="R1365" t="inlineStr">
        <is>
          <t xml:space="preserve">DG </t>
        </is>
      </c>
      <c r="S1365" t="n">
        <v>2</v>
      </c>
      <c r="T1365" t="n">
        <v>2</v>
      </c>
      <c r="U1365" t="inlineStr">
        <is>
          <t>1993-02-11</t>
        </is>
      </c>
      <c r="V1365" t="inlineStr">
        <is>
          <t>1993-02-11</t>
        </is>
      </c>
      <c r="W1365" t="inlineStr">
        <is>
          <t>1991-04-23</t>
        </is>
      </c>
      <c r="X1365" t="inlineStr">
        <is>
          <t>1991-04-23</t>
        </is>
      </c>
      <c r="Y1365" t="n">
        <v>485</v>
      </c>
      <c r="Z1365" t="n">
        <v>350</v>
      </c>
      <c r="AA1365" t="n">
        <v>368</v>
      </c>
      <c r="AB1365" t="n">
        <v>4</v>
      </c>
      <c r="AC1365" t="n">
        <v>4</v>
      </c>
      <c r="AD1365" t="n">
        <v>23</v>
      </c>
      <c r="AE1365" t="n">
        <v>24</v>
      </c>
      <c r="AF1365" t="n">
        <v>6</v>
      </c>
      <c r="AG1365" t="n">
        <v>7</v>
      </c>
      <c r="AH1365" t="n">
        <v>9</v>
      </c>
      <c r="AI1365" t="n">
        <v>10</v>
      </c>
      <c r="AJ1365" t="n">
        <v>14</v>
      </c>
      <c r="AK1365" t="n">
        <v>14</v>
      </c>
      <c r="AL1365" t="n">
        <v>2</v>
      </c>
      <c r="AM1365" t="n">
        <v>2</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HYPERLINK("https://creighton-primo.hosted.exlibrisgroup.com/primo-explore/search?tab=default_tab&amp;search_scope=EVERYTHING&amp;vid=01CRU&amp;lang=en_US&amp;offset=0&amp;query=any,contains,991000600409702656","Catalog Record")</f>
        <v/>
      </c>
      <c r="AT1365">
        <f>HYPERLINK("http://www.worldcat.org/oclc/11840491","WorldCat Record")</f>
        <v/>
      </c>
      <c r="AU1365" t="inlineStr">
        <is>
          <t>836705193:eng</t>
        </is>
      </c>
      <c r="AV1365" t="inlineStr">
        <is>
          <t>11840491</t>
        </is>
      </c>
      <c r="AW1365" t="inlineStr">
        <is>
          <t>991000600409702656</t>
        </is>
      </c>
      <c r="AX1365" t="inlineStr">
        <is>
          <t>991000600409702656</t>
        </is>
      </c>
      <c r="AY1365" t="inlineStr">
        <is>
          <t>2267938210002656</t>
        </is>
      </c>
      <c r="AZ1365" t="inlineStr">
        <is>
          <t>BOOK</t>
        </is>
      </c>
      <c r="BB1365" t="inlineStr">
        <is>
          <t>9780521268707</t>
        </is>
      </c>
      <c r="BC1365" t="inlineStr">
        <is>
          <t>32285000522457</t>
        </is>
      </c>
      <c r="BD1365" t="inlineStr">
        <is>
          <t>893897038</t>
        </is>
      </c>
    </row>
    <row r="1366">
      <c r="A1366" t="inlineStr">
        <is>
          <t>No</t>
        </is>
      </c>
      <c r="B1366" t="inlineStr">
        <is>
          <t>DG800 .S47 1944</t>
        </is>
      </c>
      <c r="C1366" t="inlineStr">
        <is>
          <t>0                      DG 0800000S  47          1944</t>
        </is>
      </c>
      <c r="D1366" t="inlineStr">
        <is>
          <t>White smoke over the Vatican / [by] Don Sharkey.</t>
        </is>
      </c>
      <c r="F1366" t="inlineStr">
        <is>
          <t>No</t>
        </is>
      </c>
      <c r="G1366" t="inlineStr">
        <is>
          <t>1</t>
        </is>
      </c>
      <c r="H1366" t="inlineStr">
        <is>
          <t>No</t>
        </is>
      </c>
      <c r="I1366" t="inlineStr">
        <is>
          <t>No</t>
        </is>
      </c>
      <c r="J1366" t="inlineStr">
        <is>
          <t>0</t>
        </is>
      </c>
      <c r="K1366" t="inlineStr">
        <is>
          <t>Sharkey, Don, 1912-</t>
        </is>
      </c>
      <c r="L1366" t="inlineStr">
        <is>
          <t>Milwaukee : The Bruce publishing company, [1944]</t>
        </is>
      </c>
      <c r="M1366" t="inlineStr">
        <is>
          <t>1944</t>
        </is>
      </c>
      <c r="O1366" t="inlineStr">
        <is>
          <t>eng</t>
        </is>
      </c>
      <c r="P1366" t="inlineStr">
        <is>
          <t>wiu</t>
        </is>
      </c>
      <c r="R1366" t="inlineStr">
        <is>
          <t xml:space="preserve">DG </t>
        </is>
      </c>
      <c r="S1366" t="n">
        <v>2</v>
      </c>
      <c r="T1366" t="n">
        <v>2</v>
      </c>
      <c r="U1366" t="inlineStr">
        <is>
          <t>1993-02-10</t>
        </is>
      </c>
      <c r="V1366" t="inlineStr">
        <is>
          <t>1993-02-10</t>
        </is>
      </c>
      <c r="W1366" t="inlineStr">
        <is>
          <t>1991-04-23</t>
        </is>
      </c>
      <c r="X1366" t="inlineStr">
        <is>
          <t>1991-04-23</t>
        </is>
      </c>
      <c r="Y1366" t="n">
        <v>235</v>
      </c>
      <c r="Z1366" t="n">
        <v>215</v>
      </c>
      <c r="AA1366" t="n">
        <v>318</v>
      </c>
      <c r="AB1366" t="n">
        <v>4</v>
      </c>
      <c r="AC1366" t="n">
        <v>5</v>
      </c>
      <c r="AD1366" t="n">
        <v>26</v>
      </c>
      <c r="AE1366" t="n">
        <v>32</v>
      </c>
      <c r="AF1366" t="n">
        <v>7</v>
      </c>
      <c r="AG1366" t="n">
        <v>10</v>
      </c>
      <c r="AH1366" t="n">
        <v>6</v>
      </c>
      <c r="AI1366" t="n">
        <v>7</v>
      </c>
      <c r="AJ1366" t="n">
        <v>20</v>
      </c>
      <c r="AK1366" t="n">
        <v>20</v>
      </c>
      <c r="AL1366" t="n">
        <v>1</v>
      </c>
      <c r="AM1366" t="n">
        <v>2</v>
      </c>
      <c r="AN1366" t="n">
        <v>0</v>
      </c>
      <c r="AO1366" t="n">
        <v>2</v>
      </c>
      <c r="AP1366" t="inlineStr">
        <is>
          <t>Yes</t>
        </is>
      </c>
      <c r="AQ1366" t="inlineStr">
        <is>
          <t>No</t>
        </is>
      </c>
      <c r="AR1366">
        <f>HYPERLINK("http://catalog.hathitrust.org/Record/006046783","HathiTrust Record")</f>
        <v/>
      </c>
      <c r="AS1366">
        <f>HYPERLINK("https://creighton-primo.hosted.exlibrisgroup.com/primo-explore/search?tab=default_tab&amp;search_scope=EVERYTHING&amp;vid=01CRU&amp;lang=en_US&amp;offset=0&amp;query=any,contains,991003510019702656","Catalog Record")</f>
        <v/>
      </c>
      <c r="AT1366">
        <f>HYPERLINK("http://www.worldcat.org/oclc/1064275","WorldCat Record")</f>
        <v/>
      </c>
      <c r="AU1366" t="inlineStr">
        <is>
          <t>2008523:eng</t>
        </is>
      </c>
      <c r="AV1366" t="inlineStr">
        <is>
          <t>1064275</t>
        </is>
      </c>
      <c r="AW1366" t="inlineStr">
        <is>
          <t>991003510019702656</t>
        </is>
      </c>
      <c r="AX1366" t="inlineStr">
        <is>
          <t>991003510019702656</t>
        </is>
      </c>
      <c r="AY1366" t="inlineStr">
        <is>
          <t>2257238150002656</t>
        </is>
      </c>
      <c r="AZ1366" t="inlineStr">
        <is>
          <t>BOOK</t>
        </is>
      </c>
      <c r="BC1366" t="inlineStr">
        <is>
          <t>32285000522465</t>
        </is>
      </c>
      <c r="BD1366" t="inlineStr">
        <is>
          <t>893246427</t>
        </is>
      </c>
    </row>
    <row r="1367">
      <c r="A1367" t="inlineStr">
        <is>
          <t>No</t>
        </is>
      </c>
      <c r="B1367" t="inlineStr">
        <is>
          <t>DG804 .F76 1987</t>
        </is>
      </c>
      <c r="C1367" t="inlineStr">
        <is>
          <t>0                      DG 0804000F  76          1987</t>
        </is>
      </c>
      <c r="D1367" t="inlineStr">
        <is>
          <t>The beauty of Rome : an historical guide to the principal churches, buildings, and museums / G.S.P. Freeman-Grenville.</t>
        </is>
      </c>
      <c r="F1367" t="inlineStr">
        <is>
          <t>No</t>
        </is>
      </c>
      <c r="G1367" t="inlineStr">
        <is>
          <t>1</t>
        </is>
      </c>
      <c r="H1367" t="inlineStr">
        <is>
          <t>No</t>
        </is>
      </c>
      <c r="I1367" t="inlineStr">
        <is>
          <t>No</t>
        </is>
      </c>
      <c r="J1367" t="inlineStr">
        <is>
          <t>0</t>
        </is>
      </c>
      <c r="K1367" t="inlineStr">
        <is>
          <t>Freeman-Grenville, G. S. P. (Greville Stewart Parker)</t>
        </is>
      </c>
      <c r="L1367" t="inlineStr">
        <is>
          <t>New York : Continuum, 1987.</t>
        </is>
      </c>
      <c r="M1367" t="inlineStr">
        <is>
          <t>1987</t>
        </is>
      </c>
      <c r="O1367" t="inlineStr">
        <is>
          <t>eng</t>
        </is>
      </c>
      <c r="P1367" t="inlineStr">
        <is>
          <t>nyu</t>
        </is>
      </c>
      <c r="R1367" t="inlineStr">
        <is>
          <t xml:space="preserve">DG </t>
        </is>
      </c>
      <c r="S1367" t="n">
        <v>4</v>
      </c>
      <c r="T1367" t="n">
        <v>4</v>
      </c>
      <c r="U1367" t="inlineStr">
        <is>
          <t>2008-04-23</t>
        </is>
      </c>
      <c r="V1367" t="inlineStr">
        <is>
          <t>2008-04-23</t>
        </is>
      </c>
      <c r="W1367" t="inlineStr">
        <is>
          <t>1991-04-23</t>
        </is>
      </c>
      <c r="X1367" t="inlineStr">
        <is>
          <t>1991-04-23</t>
        </is>
      </c>
      <c r="Y1367" t="n">
        <v>55</v>
      </c>
      <c r="Z1367" t="n">
        <v>50</v>
      </c>
      <c r="AA1367" t="n">
        <v>50</v>
      </c>
      <c r="AB1367" t="n">
        <v>1</v>
      </c>
      <c r="AC1367" t="n">
        <v>1</v>
      </c>
      <c r="AD1367" t="n">
        <v>3</v>
      </c>
      <c r="AE1367" t="n">
        <v>3</v>
      </c>
      <c r="AF1367" t="n">
        <v>0</v>
      </c>
      <c r="AG1367" t="n">
        <v>0</v>
      </c>
      <c r="AH1367" t="n">
        <v>2</v>
      </c>
      <c r="AI1367" t="n">
        <v>2</v>
      </c>
      <c r="AJ1367" t="n">
        <v>2</v>
      </c>
      <c r="AK1367" t="n">
        <v>2</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HYPERLINK("https://creighton-primo.hosted.exlibrisgroup.com/primo-explore/search?tab=default_tab&amp;search_scope=EVERYTHING&amp;vid=01CRU&amp;lang=en_US&amp;offset=0&amp;query=any,contains,991001023349702656","Catalog Record")</f>
        <v/>
      </c>
      <c r="AT1367">
        <f>HYPERLINK("http://www.worldcat.org/oclc/15421549","WorldCat Record")</f>
        <v/>
      </c>
      <c r="AU1367" t="inlineStr">
        <is>
          <t>836884055:eng</t>
        </is>
      </c>
      <c r="AV1367" t="inlineStr">
        <is>
          <t>15421549</t>
        </is>
      </c>
      <c r="AW1367" t="inlineStr">
        <is>
          <t>991001023349702656</t>
        </is>
      </c>
      <c r="AX1367" t="inlineStr">
        <is>
          <t>991001023349702656</t>
        </is>
      </c>
      <c r="AY1367" t="inlineStr">
        <is>
          <t>2258642410002656</t>
        </is>
      </c>
      <c r="AZ1367" t="inlineStr">
        <is>
          <t>BOOK</t>
        </is>
      </c>
      <c r="BB1367" t="inlineStr">
        <is>
          <t>9780826403971</t>
        </is>
      </c>
      <c r="BC1367" t="inlineStr">
        <is>
          <t>32285000522473</t>
        </is>
      </c>
      <c r="BD1367" t="inlineStr">
        <is>
          <t>893778486</t>
        </is>
      </c>
    </row>
    <row r="1368">
      <c r="A1368" t="inlineStr">
        <is>
          <t>No</t>
        </is>
      </c>
      <c r="B1368" t="inlineStr">
        <is>
          <t>DG806 .C45</t>
        </is>
      </c>
      <c r="C1368" t="inlineStr">
        <is>
          <t>0                      DG 0806000C  45</t>
        </is>
      </c>
      <c r="D1368" t="inlineStr">
        <is>
          <t>Pilgrim-walks in Rome; a guide to its holy places, by P. J. Chandlery.</t>
        </is>
      </c>
      <c r="F1368" t="inlineStr">
        <is>
          <t>No</t>
        </is>
      </c>
      <c r="G1368" t="inlineStr">
        <is>
          <t>1</t>
        </is>
      </c>
      <c r="H1368" t="inlineStr">
        <is>
          <t>No</t>
        </is>
      </c>
      <c r="I1368" t="inlineStr">
        <is>
          <t>Yes</t>
        </is>
      </c>
      <c r="J1368" t="inlineStr">
        <is>
          <t>0</t>
        </is>
      </c>
      <c r="K1368" t="inlineStr">
        <is>
          <t>Chandlery, P. J. (Peter Joseph), 1846-1925.</t>
        </is>
      </c>
      <c r="L1368" t="inlineStr">
        <is>
          <t>New York, The Messenger; London, J. Griffin, 1903.</t>
        </is>
      </c>
      <c r="M1368" t="inlineStr">
        <is>
          <t>1903</t>
        </is>
      </c>
      <c r="O1368" t="inlineStr">
        <is>
          <t>eng</t>
        </is>
      </c>
      <c r="P1368" t="inlineStr">
        <is>
          <t xml:space="preserve">xx </t>
        </is>
      </c>
      <c r="R1368" t="inlineStr">
        <is>
          <t xml:space="preserve">DG </t>
        </is>
      </c>
      <c r="S1368" t="n">
        <v>4</v>
      </c>
      <c r="T1368" t="n">
        <v>4</v>
      </c>
      <c r="U1368" t="inlineStr">
        <is>
          <t>2002-09-04</t>
        </is>
      </c>
      <c r="V1368" t="inlineStr">
        <is>
          <t>2002-09-04</t>
        </is>
      </c>
      <c r="W1368" t="inlineStr">
        <is>
          <t>1997-02-06</t>
        </is>
      </c>
      <c r="X1368" t="inlineStr">
        <is>
          <t>1997-02-06</t>
        </is>
      </c>
      <c r="Y1368" t="n">
        <v>80</v>
      </c>
      <c r="Z1368" t="n">
        <v>72</v>
      </c>
      <c r="AA1368" t="n">
        <v>154</v>
      </c>
      <c r="AB1368" t="n">
        <v>1</v>
      </c>
      <c r="AC1368" t="n">
        <v>1</v>
      </c>
      <c r="AD1368" t="n">
        <v>18</v>
      </c>
      <c r="AE1368" t="n">
        <v>26</v>
      </c>
      <c r="AF1368" t="n">
        <v>4</v>
      </c>
      <c r="AG1368" t="n">
        <v>9</v>
      </c>
      <c r="AH1368" t="n">
        <v>5</v>
      </c>
      <c r="AI1368" t="n">
        <v>6</v>
      </c>
      <c r="AJ1368" t="n">
        <v>16</v>
      </c>
      <c r="AK1368" t="n">
        <v>23</v>
      </c>
      <c r="AL1368" t="n">
        <v>0</v>
      </c>
      <c r="AM1368" t="n">
        <v>0</v>
      </c>
      <c r="AN1368" t="n">
        <v>0</v>
      </c>
      <c r="AO1368" t="n">
        <v>0</v>
      </c>
      <c r="AP1368" t="inlineStr">
        <is>
          <t>Yes</t>
        </is>
      </c>
      <c r="AQ1368" t="inlineStr">
        <is>
          <t>No</t>
        </is>
      </c>
      <c r="AR1368">
        <f>HYPERLINK("http://catalog.hathitrust.org/Record/008731784","HathiTrust Record")</f>
        <v/>
      </c>
      <c r="AS1368">
        <f>HYPERLINK("https://creighton-primo.hosted.exlibrisgroup.com/primo-explore/search?tab=default_tab&amp;search_scope=EVERYTHING&amp;vid=01CRU&amp;lang=en_US&amp;offset=0&amp;query=any,contains,991004704139702656","Catalog Record")</f>
        <v/>
      </c>
      <c r="AT1368">
        <f>HYPERLINK("http://www.worldcat.org/oclc/4696136","WorldCat Record")</f>
        <v/>
      </c>
      <c r="AU1368" t="inlineStr">
        <is>
          <t>429142904:eng</t>
        </is>
      </c>
      <c r="AV1368" t="inlineStr">
        <is>
          <t>4696136</t>
        </is>
      </c>
      <c r="AW1368" t="inlineStr">
        <is>
          <t>991004704139702656</t>
        </is>
      </c>
      <c r="AX1368" t="inlineStr">
        <is>
          <t>991004704139702656</t>
        </is>
      </c>
      <c r="AY1368" t="inlineStr">
        <is>
          <t>2255435590002656</t>
        </is>
      </c>
      <c r="AZ1368" t="inlineStr">
        <is>
          <t>BOOK</t>
        </is>
      </c>
      <c r="BC1368" t="inlineStr">
        <is>
          <t>32285002423571</t>
        </is>
      </c>
      <c r="BD1368" t="inlineStr">
        <is>
          <t>893260066</t>
        </is>
      </c>
    </row>
    <row r="1369">
      <c r="A1369" t="inlineStr">
        <is>
          <t>No</t>
        </is>
      </c>
      <c r="B1369" t="inlineStr">
        <is>
          <t>DG806 .C45 1905</t>
        </is>
      </c>
      <c r="C1369" t="inlineStr">
        <is>
          <t>0                      DG 0806000C  45          1905</t>
        </is>
      </c>
      <c r="D1369" t="inlineStr">
        <is>
          <t>Pilgrim-walks in Rome : a guide to its holy places / by P. J. Chandlery.</t>
        </is>
      </c>
      <c r="F1369" t="inlineStr">
        <is>
          <t>No</t>
        </is>
      </c>
      <c r="G1369" t="inlineStr">
        <is>
          <t>1</t>
        </is>
      </c>
      <c r="H1369" t="inlineStr">
        <is>
          <t>No</t>
        </is>
      </c>
      <c r="I1369" t="inlineStr">
        <is>
          <t>Yes</t>
        </is>
      </c>
      <c r="J1369" t="inlineStr">
        <is>
          <t>0</t>
        </is>
      </c>
      <c r="K1369" t="inlineStr">
        <is>
          <t>Chandlery, P. J. (Peter Joseph), 1846-1925.</t>
        </is>
      </c>
      <c r="L1369" t="inlineStr">
        <is>
          <t>London : Manresa Press, 1905.</t>
        </is>
      </c>
      <c r="M1369" t="inlineStr">
        <is>
          <t>1905</t>
        </is>
      </c>
      <c r="N1369" t="inlineStr">
        <is>
          <t>2d ed. / with a preface by John Gerard.</t>
        </is>
      </c>
      <c r="O1369" t="inlineStr">
        <is>
          <t>eng</t>
        </is>
      </c>
      <c r="P1369" t="inlineStr">
        <is>
          <t>enk</t>
        </is>
      </c>
      <c r="R1369" t="inlineStr">
        <is>
          <t xml:space="preserve">DG </t>
        </is>
      </c>
      <c r="S1369" t="n">
        <v>1</v>
      </c>
      <c r="T1369" t="n">
        <v>1</v>
      </c>
      <c r="U1369" t="inlineStr">
        <is>
          <t>2009-04-03</t>
        </is>
      </c>
      <c r="V1369" t="inlineStr">
        <is>
          <t>2009-04-03</t>
        </is>
      </c>
      <c r="W1369" t="inlineStr">
        <is>
          <t>1991-09-17</t>
        </is>
      </c>
      <c r="X1369" t="inlineStr">
        <is>
          <t>1991-09-17</t>
        </is>
      </c>
      <c r="Y1369" t="n">
        <v>30</v>
      </c>
      <c r="Z1369" t="n">
        <v>22</v>
      </c>
      <c r="AA1369" t="n">
        <v>154</v>
      </c>
      <c r="AB1369" t="n">
        <v>1</v>
      </c>
      <c r="AC1369" t="n">
        <v>1</v>
      </c>
      <c r="AD1369" t="n">
        <v>7</v>
      </c>
      <c r="AE1369" t="n">
        <v>26</v>
      </c>
      <c r="AF1369" t="n">
        <v>2</v>
      </c>
      <c r="AG1369" t="n">
        <v>9</v>
      </c>
      <c r="AH1369" t="n">
        <v>0</v>
      </c>
      <c r="AI1369" t="n">
        <v>6</v>
      </c>
      <c r="AJ1369" t="n">
        <v>7</v>
      </c>
      <c r="AK1369" t="n">
        <v>23</v>
      </c>
      <c r="AL1369" t="n">
        <v>0</v>
      </c>
      <c r="AM1369" t="n">
        <v>0</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HYPERLINK("https://creighton-primo.hosted.exlibrisgroup.com/primo-explore/search?tab=default_tab&amp;search_scope=EVERYTHING&amp;vid=01CRU&amp;lang=en_US&amp;offset=0&amp;query=any,contains,991004167109702656","Catalog Record")</f>
        <v/>
      </c>
      <c r="AT1369">
        <f>HYPERLINK("http://www.worldcat.org/oclc/2570325","WorldCat Record")</f>
        <v/>
      </c>
      <c r="AU1369" t="inlineStr">
        <is>
          <t>429142904:eng</t>
        </is>
      </c>
      <c r="AV1369" t="inlineStr">
        <is>
          <t>2570325</t>
        </is>
      </c>
      <c r="AW1369" t="inlineStr">
        <is>
          <t>991004167109702656</t>
        </is>
      </c>
      <c r="AX1369" t="inlineStr">
        <is>
          <t>991004167109702656</t>
        </is>
      </c>
      <c r="AY1369" t="inlineStr">
        <is>
          <t>2262466230002656</t>
        </is>
      </c>
      <c r="AZ1369" t="inlineStr">
        <is>
          <t>BOOK</t>
        </is>
      </c>
      <c r="BC1369" t="inlineStr">
        <is>
          <t>32285000756618</t>
        </is>
      </c>
      <c r="BD1369" t="inlineStr">
        <is>
          <t>893525734</t>
        </is>
      </c>
    </row>
    <row r="1370">
      <c r="A1370" t="inlineStr">
        <is>
          <t>No</t>
        </is>
      </c>
      <c r="B1370" t="inlineStr">
        <is>
          <t>DG806.2 .B36 2006</t>
        </is>
      </c>
      <c r="C1370" t="inlineStr">
        <is>
          <t>0                      DG 0806200B  36          2006</t>
        </is>
      </c>
      <c r="D1370" t="inlineStr">
        <is>
          <t>Satyr Square : a year, a life in Rome / Leonard Barkan.</t>
        </is>
      </c>
      <c r="F1370" t="inlineStr">
        <is>
          <t>No</t>
        </is>
      </c>
      <c r="G1370" t="inlineStr">
        <is>
          <t>1</t>
        </is>
      </c>
      <c r="H1370" t="inlineStr">
        <is>
          <t>No</t>
        </is>
      </c>
      <c r="I1370" t="inlineStr">
        <is>
          <t>No</t>
        </is>
      </c>
      <c r="J1370" t="inlineStr">
        <is>
          <t>0</t>
        </is>
      </c>
      <c r="K1370" t="inlineStr">
        <is>
          <t>Barkan, Leonard.</t>
        </is>
      </c>
      <c r="L1370" t="inlineStr">
        <is>
          <t>New York : Farrar, Straus and Giroux, 2006.</t>
        </is>
      </c>
      <c r="M1370" t="inlineStr">
        <is>
          <t>2006</t>
        </is>
      </c>
      <c r="N1370" t="inlineStr">
        <is>
          <t>1st ed.</t>
        </is>
      </c>
      <c r="O1370" t="inlineStr">
        <is>
          <t>eng</t>
        </is>
      </c>
      <c r="P1370" t="inlineStr">
        <is>
          <t>nyu</t>
        </is>
      </c>
      <c r="R1370" t="inlineStr">
        <is>
          <t xml:space="preserve">DG </t>
        </is>
      </c>
      <c r="S1370" t="n">
        <v>4</v>
      </c>
      <c r="T1370" t="n">
        <v>4</v>
      </c>
      <c r="U1370" t="inlineStr">
        <is>
          <t>2006-12-19</t>
        </is>
      </c>
      <c r="V1370" t="inlineStr">
        <is>
          <t>2006-12-19</t>
        </is>
      </c>
      <c r="W1370" t="inlineStr">
        <is>
          <t>2006-10-31</t>
        </is>
      </c>
      <c r="X1370" t="inlineStr">
        <is>
          <t>2006-10-31</t>
        </is>
      </c>
      <c r="Y1370" t="n">
        <v>264</v>
      </c>
      <c r="Z1370" t="n">
        <v>247</v>
      </c>
      <c r="AA1370" t="n">
        <v>261</v>
      </c>
      <c r="AB1370" t="n">
        <v>1</v>
      </c>
      <c r="AC1370" t="n">
        <v>1</v>
      </c>
      <c r="AD1370" t="n">
        <v>5</v>
      </c>
      <c r="AE1370" t="n">
        <v>7</v>
      </c>
      <c r="AF1370" t="n">
        <v>2</v>
      </c>
      <c r="AG1370" t="n">
        <v>3</v>
      </c>
      <c r="AH1370" t="n">
        <v>2</v>
      </c>
      <c r="AI1370" t="n">
        <v>3</v>
      </c>
      <c r="AJ1370" t="n">
        <v>2</v>
      </c>
      <c r="AK1370" t="n">
        <v>3</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HYPERLINK("https://creighton-primo.hosted.exlibrisgroup.com/primo-explore/search?tab=default_tab&amp;search_scope=EVERYTHING&amp;vid=01CRU&amp;lang=en_US&amp;offset=0&amp;query=any,contains,991004860869702656","Catalog Record")</f>
        <v/>
      </c>
      <c r="AT1370">
        <f>HYPERLINK("http://www.worldcat.org/oclc/62302430","WorldCat Record")</f>
        <v/>
      </c>
      <c r="AU1370" t="inlineStr">
        <is>
          <t>198134935:eng</t>
        </is>
      </c>
      <c r="AV1370" t="inlineStr">
        <is>
          <t>62302430</t>
        </is>
      </c>
      <c r="AW1370" t="inlineStr">
        <is>
          <t>991004860869702656</t>
        </is>
      </c>
      <c r="AX1370" t="inlineStr">
        <is>
          <t>991004860869702656</t>
        </is>
      </c>
      <c r="AY1370" t="inlineStr">
        <is>
          <t>2260193710002656</t>
        </is>
      </c>
      <c r="AZ1370" t="inlineStr">
        <is>
          <t>BOOK</t>
        </is>
      </c>
      <c r="BB1370" t="inlineStr">
        <is>
          <t>9780374254056</t>
        </is>
      </c>
      <c r="BC1370" t="inlineStr">
        <is>
          <t>32285005234256</t>
        </is>
      </c>
      <c r="BD1370" t="inlineStr">
        <is>
          <t>893338212</t>
        </is>
      </c>
    </row>
    <row r="1371">
      <c r="A1371" t="inlineStr">
        <is>
          <t>No</t>
        </is>
      </c>
      <c r="B1371" t="inlineStr">
        <is>
          <t>DG806.2 .M6</t>
        </is>
      </c>
      <c r="C1371" t="inlineStr">
        <is>
          <t>0                      DG 0806200M  6</t>
        </is>
      </c>
      <c r="D1371" t="inlineStr">
        <is>
          <t>This is Rome : a pilgrimage in words &amp; pictures / conducted by Fulton J. Sheen ; photographed by Yousuf Karsh ; described by H. V. Morton ; with an introduction by Bishop Sheen.</t>
        </is>
      </c>
      <c r="F1371" t="inlineStr">
        <is>
          <t>No</t>
        </is>
      </c>
      <c r="G1371" t="inlineStr">
        <is>
          <t>1</t>
        </is>
      </c>
      <c r="H1371" t="inlineStr">
        <is>
          <t>No</t>
        </is>
      </c>
      <c r="I1371" t="inlineStr">
        <is>
          <t>No</t>
        </is>
      </c>
      <c r="J1371" t="inlineStr">
        <is>
          <t>0</t>
        </is>
      </c>
      <c r="K1371" t="inlineStr">
        <is>
          <t>Morton, H. V. (Henry Vollam), 1892-1979.</t>
        </is>
      </c>
      <c r="L1371" t="inlineStr">
        <is>
          <t>New York : Hawthorn Books, 1960.</t>
        </is>
      </c>
      <c r="M1371" t="inlineStr">
        <is>
          <t>1960</t>
        </is>
      </c>
      <c r="N1371" t="inlineStr">
        <is>
          <t>1st. ed.</t>
        </is>
      </c>
      <c r="O1371" t="inlineStr">
        <is>
          <t>eng</t>
        </is>
      </c>
      <c r="P1371" t="inlineStr">
        <is>
          <t>nyu</t>
        </is>
      </c>
      <c r="R1371" t="inlineStr">
        <is>
          <t xml:space="preserve">DG </t>
        </is>
      </c>
      <c r="S1371" t="n">
        <v>1</v>
      </c>
      <c r="T1371" t="n">
        <v>1</v>
      </c>
      <c r="U1371" t="inlineStr">
        <is>
          <t>2009-04-03</t>
        </is>
      </c>
      <c r="V1371" t="inlineStr">
        <is>
          <t>2009-04-03</t>
        </is>
      </c>
      <c r="W1371" t="inlineStr">
        <is>
          <t>1997-02-06</t>
        </is>
      </c>
      <c r="X1371" t="inlineStr">
        <is>
          <t>1997-02-06</t>
        </is>
      </c>
      <c r="Y1371" t="n">
        <v>549</v>
      </c>
      <c r="Z1371" t="n">
        <v>512</v>
      </c>
      <c r="AA1371" t="n">
        <v>539</v>
      </c>
      <c r="AB1371" t="n">
        <v>3</v>
      </c>
      <c r="AC1371" t="n">
        <v>3</v>
      </c>
      <c r="AD1371" t="n">
        <v>25</v>
      </c>
      <c r="AE1371" t="n">
        <v>25</v>
      </c>
      <c r="AF1371" t="n">
        <v>10</v>
      </c>
      <c r="AG1371" t="n">
        <v>10</v>
      </c>
      <c r="AH1371" t="n">
        <v>6</v>
      </c>
      <c r="AI1371" t="n">
        <v>6</v>
      </c>
      <c r="AJ1371" t="n">
        <v>15</v>
      </c>
      <c r="AK1371" t="n">
        <v>15</v>
      </c>
      <c r="AL1371" t="n">
        <v>1</v>
      </c>
      <c r="AM1371" t="n">
        <v>1</v>
      </c>
      <c r="AN1371" t="n">
        <v>0</v>
      </c>
      <c r="AO1371" t="n">
        <v>0</v>
      </c>
      <c r="AP1371" t="inlineStr">
        <is>
          <t>No</t>
        </is>
      </c>
      <c r="AQ1371" t="inlineStr">
        <is>
          <t>Yes</t>
        </is>
      </c>
      <c r="AR1371">
        <f>HYPERLINK("http://catalog.hathitrust.org/Record/009932564","HathiTrust Record")</f>
        <v/>
      </c>
      <c r="AS1371">
        <f>HYPERLINK("https://creighton-primo.hosted.exlibrisgroup.com/primo-explore/search?tab=default_tab&amp;search_scope=EVERYTHING&amp;vid=01CRU&amp;lang=en_US&amp;offset=0&amp;query=any,contains,991004617749702656","Catalog Record")</f>
        <v/>
      </c>
      <c r="AT1371">
        <f>HYPERLINK("http://www.worldcat.org/oclc/4271120","WorldCat Record")</f>
        <v/>
      </c>
      <c r="AU1371" t="inlineStr">
        <is>
          <t>3901093983:eng</t>
        </is>
      </c>
      <c r="AV1371" t="inlineStr">
        <is>
          <t>4271120</t>
        </is>
      </c>
      <c r="AW1371" t="inlineStr">
        <is>
          <t>991004617749702656</t>
        </is>
      </c>
      <c r="AX1371" t="inlineStr">
        <is>
          <t>991004617749702656</t>
        </is>
      </c>
      <c r="AY1371" t="inlineStr">
        <is>
          <t>2256174390002656</t>
        </is>
      </c>
      <c r="AZ1371" t="inlineStr">
        <is>
          <t>BOOK</t>
        </is>
      </c>
      <c r="BC1371" t="inlineStr">
        <is>
          <t>32285002423613</t>
        </is>
      </c>
      <c r="BD1371" t="inlineStr">
        <is>
          <t>893532603</t>
        </is>
      </c>
    </row>
    <row r="1372">
      <c r="A1372" t="inlineStr">
        <is>
          <t>No</t>
        </is>
      </c>
      <c r="B1372" t="inlineStr">
        <is>
          <t>DG806.2 .V37 1975</t>
        </is>
      </c>
      <c r="C1372" t="inlineStr">
        <is>
          <t>0                      DG 0806200V  37          1975</t>
        </is>
      </c>
      <c r="D1372" t="inlineStr">
        <is>
          <t>The Vatican and Christian Rome / [by Alfons Stickler ... et al.].</t>
        </is>
      </c>
      <c r="F1372" t="inlineStr">
        <is>
          <t>No</t>
        </is>
      </c>
      <c r="G1372" t="inlineStr">
        <is>
          <t>1</t>
        </is>
      </c>
      <c r="H1372" t="inlineStr">
        <is>
          <t>No</t>
        </is>
      </c>
      <c r="I1372" t="inlineStr">
        <is>
          <t>No</t>
        </is>
      </c>
      <c r="J1372" t="inlineStr">
        <is>
          <t>0</t>
        </is>
      </c>
      <c r="L1372" t="inlineStr">
        <is>
          <t>Vatican City : Libreria editrice vaticana, c1975.</t>
        </is>
      </c>
      <c r="M1372" t="inlineStr">
        <is>
          <t>1975</t>
        </is>
      </c>
      <c r="O1372" t="inlineStr">
        <is>
          <t>eng</t>
        </is>
      </c>
      <c r="P1372" t="inlineStr">
        <is>
          <t xml:space="preserve">vc </t>
        </is>
      </c>
      <c r="R1372" t="inlineStr">
        <is>
          <t xml:space="preserve">DG </t>
        </is>
      </c>
      <c r="S1372" t="n">
        <v>3</v>
      </c>
      <c r="T1372" t="n">
        <v>3</v>
      </c>
      <c r="U1372" t="inlineStr">
        <is>
          <t>1995-11-06</t>
        </is>
      </c>
      <c r="V1372" t="inlineStr">
        <is>
          <t>1995-11-06</t>
        </is>
      </c>
      <c r="W1372" t="inlineStr">
        <is>
          <t>1991-04-23</t>
        </is>
      </c>
      <c r="X1372" t="inlineStr">
        <is>
          <t>1991-04-23</t>
        </is>
      </c>
      <c r="Y1372" t="n">
        <v>160</v>
      </c>
      <c r="Z1372" t="n">
        <v>122</v>
      </c>
      <c r="AA1372" t="n">
        <v>122</v>
      </c>
      <c r="AB1372" t="n">
        <v>1</v>
      </c>
      <c r="AC1372" t="n">
        <v>1</v>
      </c>
      <c r="AD1372" t="n">
        <v>7</v>
      </c>
      <c r="AE1372" t="n">
        <v>7</v>
      </c>
      <c r="AF1372" t="n">
        <v>3</v>
      </c>
      <c r="AG1372" t="n">
        <v>3</v>
      </c>
      <c r="AH1372" t="n">
        <v>1</v>
      </c>
      <c r="AI1372" t="n">
        <v>1</v>
      </c>
      <c r="AJ1372" t="n">
        <v>5</v>
      </c>
      <c r="AK1372" t="n">
        <v>5</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HYPERLINK("https://creighton-primo.hosted.exlibrisgroup.com/primo-explore/search?tab=default_tab&amp;search_scope=EVERYTHING&amp;vid=01CRU&amp;lang=en_US&amp;offset=0&amp;query=any,contains,991004355529702656","Catalog Record")</f>
        <v/>
      </c>
      <c r="AT1372">
        <f>HYPERLINK("http://www.worldcat.org/oclc/3136994","WorldCat Record")</f>
        <v/>
      </c>
      <c r="AU1372" t="inlineStr">
        <is>
          <t>3769608987:eng</t>
        </is>
      </c>
      <c r="AV1372" t="inlineStr">
        <is>
          <t>3136994</t>
        </is>
      </c>
      <c r="AW1372" t="inlineStr">
        <is>
          <t>991004355529702656</t>
        </is>
      </c>
      <c r="AX1372" t="inlineStr">
        <is>
          <t>991004355529702656</t>
        </is>
      </c>
      <c r="AY1372" t="inlineStr">
        <is>
          <t>2256121270002656</t>
        </is>
      </c>
      <c r="AZ1372" t="inlineStr">
        <is>
          <t>BOOK</t>
        </is>
      </c>
      <c r="BC1372" t="inlineStr">
        <is>
          <t>32285000522499</t>
        </is>
      </c>
      <c r="BD1372" t="inlineStr">
        <is>
          <t>893325266</t>
        </is>
      </c>
    </row>
    <row r="1373">
      <c r="A1373" t="inlineStr">
        <is>
          <t>No</t>
        </is>
      </c>
      <c r="B1373" t="inlineStr">
        <is>
          <t>DG806.8 .D67 2004</t>
        </is>
      </c>
      <c r="C1373" t="inlineStr">
        <is>
          <t>0                      DG 0806800D  67          2004</t>
        </is>
      </c>
      <c r="D1373" t="inlineStr">
        <is>
          <t>Rome, then &amp; now / Federica D'Orazia.</t>
        </is>
      </c>
      <c r="F1373" t="inlineStr">
        <is>
          <t>No</t>
        </is>
      </c>
      <c r="G1373" t="inlineStr">
        <is>
          <t>1</t>
        </is>
      </c>
      <c r="H1373" t="inlineStr">
        <is>
          <t>No</t>
        </is>
      </c>
      <c r="I1373" t="inlineStr">
        <is>
          <t>No</t>
        </is>
      </c>
      <c r="J1373" t="inlineStr">
        <is>
          <t>0</t>
        </is>
      </c>
      <c r="K1373" t="inlineStr">
        <is>
          <t>D'Orazio, Federica, 1971-</t>
        </is>
      </c>
      <c r="L1373" t="inlineStr">
        <is>
          <t>San Diego, CA : Thunder Bay Press, c2004.</t>
        </is>
      </c>
      <c r="M1373" t="inlineStr">
        <is>
          <t>2004</t>
        </is>
      </c>
      <c r="O1373" t="inlineStr">
        <is>
          <t>eng</t>
        </is>
      </c>
      <c r="P1373" t="inlineStr">
        <is>
          <t>cau</t>
        </is>
      </c>
      <c r="R1373" t="inlineStr">
        <is>
          <t xml:space="preserve">DG </t>
        </is>
      </c>
      <c r="S1373" t="n">
        <v>6</v>
      </c>
      <c r="T1373" t="n">
        <v>6</v>
      </c>
      <c r="U1373" t="inlineStr">
        <is>
          <t>2007-10-10</t>
        </is>
      </c>
      <c r="V1373" t="inlineStr">
        <is>
          <t>2007-10-10</t>
        </is>
      </c>
      <c r="W1373" t="inlineStr">
        <is>
          <t>2007-01-04</t>
        </is>
      </c>
      <c r="X1373" t="inlineStr">
        <is>
          <t>2007-01-04</t>
        </is>
      </c>
      <c r="Y1373" t="n">
        <v>129</v>
      </c>
      <c r="Z1373" t="n">
        <v>101</v>
      </c>
      <c r="AA1373" t="n">
        <v>109</v>
      </c>
      <c r="AB1373" t="n">
        <v>3</v>
      </c>
      <c r="AC1373" t="n">
        <v>3</v>
      </c>
      <c r="AD1373" t="n">
        <v>0</v>
      </c>
      <c r="AE1373" t="n">
        <v>1</v>
      </c>
      <c r="AF1373" t="n">
        <v>0</v>
      </c>
      <c r="AG1373" t="n">
        <v>0</v>
      </c>
      <c r="AH1373" t="n">
        <v>0</v>
      </c>
      <c r="AI1373" t="n">
        <v>1</v>
      </c>
      <c r="AJ1373" t="n">
        <v>0</v>
      </c>
      <c r="AK1373" t="n">
        <v>0</v>
      </c>
      <c r="AL1373" t="n">
        <v>0</v>
      </c>
      <c r="AM1373" t="n">
        <v>0</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HYPERLINK("https://creighton-primo.hosted.exlibrisgroup.com/primo-explore/search?tab=default_tab&amp;search_scope=EVERYTHING&amp;vid=01CRU&amp;lang=en_US&amp;offset=0&amp;query=any,contains,991004996369702656","Catalog Record")</f>
        <v/>
      </c>
      <c r="AT1373">
        <f>HYPERLINK("http://www.worldcat.org/oclc/55067726","WorldCat Record")</f>
        <v/>
      </c>
      <c r="AU1373" t="inlineStr">
        <is>
          <t>14031627:eng</t>
        </is>
      </c>
      <c r="AV1373" t="inlineStr">
        <is>
          <t>55067726</t>
        </is>
      </c>
      <c r="AW1373" t="inlineStr">
        <is>
          <t>991004996369702656</t>
        </is>
      </c>
      <c r="AX1373" t="inlineStr">
        <is>
          <t>991004996369702656</t>
        </is>
      </c>
      <c r="AY1373" t="inlineStr">
        <is>
          <t>2265029280002656</t>
        </is>
      </c>
      <c r="AZ1373" t="inlineStr">
        <is>
          <t>BOOK</t>
        </is>
      </c>
      <c r="BB1373" t="inlineStr">
        <is>
          <t>9781592232925</t>
        </is>
      </c>
      <c r="BC1373" t="inlineStr">
        <is>
          <t>32285005268361</t>
        </is>
      </c>
      <c r="BD1373" t="inlineStr">
        <is>
          <t>893628451</t>
        </is>
      </c>
    </row>
    <row r="1374">
      <c r="A1374" t="inlineStr">
        <is>
          <t>No</t>
        </is>
      </c>
      <c r="B1374" t="inlineStr">
        <is>
          <t>DG806.8 .M37 1984</t>
        </is>
      </c>
      <c r="C1374" t="inlineStr">
        <is>
          <t>0                      DG 0806800M  37          1984</t>
        </is>
      </c>
      <c r="D1374" t="inlineStr">
        <is>
          <t>Rome, mirror of the centuries / photographs, Paolo Marton ; text, Dominique Fernandez ; comments on the illustrations, Luciano Zeppegno ; translated by Peter Lauritzen.</t>
        </is>
      </c>
      <c r="F1374" t="inlineStr">
        <is>
          <t>No</t>
        </is>
      </c>
      <c r="G1374" t="inlineStr">
        <is>
          <t>1</t>
        </is>
      </c>
      <c r="H1374" t="inlineStr">
        <is>
          <t>No</t>
        </is>
      </c>
      <c r="I1374" t="inlineStr">
        <is>
          <t>No</t>
        </is>
      </c>
      <c r="J1374" t="inlineStr">
        <is>
          <t>0</t>
        </is>
      </c>
      <c r="K1374" t="inlineStr">
        <is>
          <t>Marton, Paolo.</t>
        </is>
      </c>
      <c r="L1374" t="inlineStr">
        <is>
          <t>New York : Vendome Press, [c1984]</t>
        </is>
      </c>
      <c r="M1374" t="inlineStr">
        <is>
          <t>1984</t>
        </is>
      </c>
      <c r="O1374" t="inlineStr">
        <is>
          <t>eng</t>
        </is>
      </c>
      <c r="P1374" t="inlineStr">
        <is>
          <t>nyu</t>
        </is>
      </c>
      <c r="R1374" t="inlineStr">
        <is>
          <t xml:space="preserve">DG </t>
        </is>
      </c>
      <c r="S1374" t="n">
        <v>4</v>
      </c>
      <c r="T1374" t="n">
        <v>4</v>
      </c>
      <c r="U1374" t="inlineStr">
        <is>
          <t>2004-07-22</t>
        </is>
      </c>
      <c r="V1374" t="inlineStr">
        <is>
          <t>2004-07-22</t>
        </is>
      </c>
      <c r="W1374" t="inlineStr">
        <is>
          <t>1991-04-23</t>
        </is>
      </c>
      <c r="X1374" t="inlineStr">
        <is>
          <t>1991-04-23</t>
        </is>
      </c>
      <c r="Y1374" t="n">
        <v>86</v>
      </c>
      <c r="Z1374" t="n">
        <v>78</v>
      </c>
      <c r="AA1374" t="n">
        <v>87</v>
      </c>
      <c r="AB1374" t="n">
        <v>1</v>
      </c>
      <c r="AC1374" t="n">
        <v>1</v>
      </c>
      <c r="AD1374" t="n">
        <v>3</v>
      </c>
      <c r="AE1374" t="n">
        <v>3</v>
      </c>
      <c r="AF1374" t="n">
        <v>0</v>
      </c>
      <c r="AG1374" t="n">
        <v>0</v>
      </c>
      <c r="AH1374" t="n">
        <v>1</v>
      </c>
      <c r="AI1374" t="n">
        <v>1</v>
      </c>
      <c r="AJ1374" t="n">
        <v>2</v>
      </c>
      <c r="AK1374" t="n">
        <v>2</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HYPERLINK("https://creighton-primo.hosted.exlibrisgroup.com/primo-explore/search?tab=default_tab&amp;search_scope=EVERYTHING&amp;vid=01CRU&amp;lang=en_US&amp;offset=0&amp;query=any,contains,991000413729702656","Catalog Record")</f>
        <v/>
      </c>
      <c r="AT1374">
        <f>HYPERLINK("http://www.worldcat.org/oclc/10723133","WorldCat Record")</f>
        <v/>
      </c>
      <c r="AU1374" t="inlineStr">
        <is>
          <t>3301749:eng</t>
        </is>
      </c>
      <c r="AV1374" t="inlineStr">
        <is>
          <t>10723133</t>
        </is>
      </c>
      <c r="AW1374" t="inlineStr">
        <is>
          <t>991000413729702656</t>
        </is>
      </c>
      <c r="AX1374" t="inlineStr">
        <is>
          <t>991000413729702656</t>
        </is>
      </c>
      <c r="AY1374" t="inlineStr">
        <is>
          <t>2255756180002656</t>
        </is>
      </c>
      <c r="AZ1374" t="inlineStr">
        <is>
          <t>BOOK</t>
        </is>
      </c>
      <c r="BB1374" t="inlineStr">
        <is>
          <t>9780865650497</t>
        </is>
      </c>
      <c r="BC1374" t="inlineStr">
        <is>
          <t>32285000522507</t>
        </is>
      </c>
      <c r="BD1374" t="inlineStr">
        <is>
          <t>893521630</t>
        </is>
      </c>
    </row>
    <row r="1375">
      <c r="A1375" t="inlineStr">
        <is>
          <t>No</t>
        </is>
      </c>
      <c r="B1375" t="inlineStr">
        <is>
          <t>DG807 .O72 1911</t>
        </is>
      </c>
      <c r="C1375" t="inlineStr">
        <is>
          <t>0                      DG 0807000O  72          1911</t>
        </is>
      </c>
      <c r="D1375" t="inlineStr">
        <is>
          <t>Sixtine Rome / by J. A. F. Orbaan.</t>
        </is>
      </c>
      <c r="F1375" t="inlineStr">
        <is>
          <t>No</t>
        </is>
      </c>
      <c r="G1375" t="inlineStr">
        <is>
          <t>1</t>
        </is>
      </c>
      <c r="H1375" t="inlineStr">
        <is>
          <t>No</t>
        </is>
      </c>
      <c r="I1375" t="inlineStr">
        <is>
          <t>No</t>
        </is>
      </c>
      <c r="J1375" t="inlineStr">
        <is>
          <t>0</t>
        </is>
      </c>
      <c r="K1375" t="inlineStr">
        <is>
          <t>Orbaan, J. A. F. (Johannes Albertus Franciscus), 1874-1933.</t>
        </is>
      </c>
      <c r="L1375" t="inlineStr">
        <is>
          <t>New York : Baker and Taylor, 1911.</t>
        </is>
      </c>
      <c r="M1375" t="inlineStr">
        <is>
          <t>1911</t>
        </is>
      </c>
      <c r="O1375" t="inlineStr">
        <is>
          <t>eng</t>
        </is>
      </c>
      <c r="P1375" t="inlineStr">
        <is>
          <t>nyu</t>
        </is>
      </c>
      <c r="R1375" t="inlineStr">
        <is>
          <t xml:space="preserve">DG </t>
        </is>
      </c>
      <c r="S1375" t="n">
        <v>0</v>
      </c>
      <c r="T1375" t="n">
        <v>0</v>
      </c>
      <c r="U1375" t="inlineStr">
        <is>
          <t>2005-09-08</t>
        </is>
      </c>
      <c r="V1375" t="inlineStr">
        <is>
          <t>2005-09-08</t>
        </is>
      </c>
      <c r="W1375" t="inlineStr">
        <is>
          <t>1997-02-06</t>
        </is>
      </c>
      <c r="X1375" t="inlineStr">
        <is>
          <t>1997-02-06</t>
        </is>
      </c>
      <c r="Y1375" t="n">
        <v>50</v>
      </c>
      <c r="Z1375" t="n">
        <v>49</v>
      </c>
      <c r="AA1375" t="n">
        <v>112</v>
      </c>
      <c r="AB1375" t="n">
        <v>1</v>
      </c>
      <c r="AC1375" t="n">
        <v>2</v>
      </c>
      <c r="AD1375" t="n">
        <v>5</v>
      </c>
      <c r="AE1375" t="n">
        <v>10</v>
      </c>
      <c r="AF1375" t="n">
        <v>0</v>
      </c>
      <c r="AG1375" t="n">
        <v>1</v>
      </c>
      <c r="AH1375" t="n">
        <v>2</v>
      </c>
      <c r="AI1375" t="n">
        <v>5</v>
      </c>
      <c r="AJ1375" t="n">
        <v>5</v>
      </c>
      <c r="AK1375" t="n">
        <v>6</v>
      </c>
      <c r="AL1375" t="n">
        <v>0</v>
      </c>
      <c r="AM1375" t="n">
        <v>1</v>
      </c>
      <c r="AN1375" t="n">
        <v>0</v>
      </c>
      <c r="AO1375" t="n">
        <v>0</v>
      </c>
      <c r="AP1375" t="inlineStr">
        <is>
          <t>Yes</t>
        </is>
      </c>
      <c r="AQ1375" t="inlineStr">
        <is>
          <t>No</t>
        </is>
      </c>
      <c r="AR1375">
        <f>HYPERLINK("http://catalog.hathitrust.org/Record/100345119","HathiTrust Record")</f>
        <v/>
      </c>
      <c r="AS1375">
        <f>HYPERLINK("https://creighton-primo.hosted.exlibrisgroup.com/primo-explore/search?tab=default_tab&amp;search_scope=EVERYTHING&amp;vid=01CRU&amp;lang=en_US&amp;offset=0&amp;query=any,contains,991004933419702656","Catalog Record")</f>
        <v/>
      </c>
      <c r="AT1375">
        <f>HYPERLINK("http://www.worldcat.org/oclc/6121020","WorldCat Record")</f>
        <v/>
      </c>
      <c r="AU1375" t="inlineStr">
        <is>
          <t>14886145:eng</t>
        </is>
      </c>
      <c r="AV1375" t="inlineStr">
        <is>
          <t>6121020</t>
        </is>
      </c>
      <c r="AW1375" t="inlineStr">
        <is>
          <t>991004933419702656</t>
        </is>
      </c>
      <c r="AX1375" t="inlineStr">
        <is>
          <t>991004933419702656</t>
        </is>
      </c>
      <c r="AY1375" t="inlineStr">
        <is>
          <t>2259800960002656</t>
        </is>
      </c>
      <c r="AZ1375" t="inlineStr">
        <is>
          <t>BOOK</t>
        </is>
      </c>
      <c r="BC1375" t="inlineStr">
        <is>
          <t>32285002423621</t>
        </is>
      </c>
      <c r="BD1375" t="inlineStr">
        <is>
          <t>893344421</t>
        </is>
      </c>
    </row>
    <row r="1376">
      <c r="A1376" t="inlineStr">
        <is>
          <t>No</t>
        </is>
      </c>
      <c r="B1376" t="inlineStr">
        <is>
          <t>DG807.4 .M4</t>
        </is>
      </c>
      <c r="C1376" t="inlineStr">
        <is>
          <t>0                      DG 0807400M  4</t>
        </is>
      </c>
      <c r="D1376" t="inlineStr">
        <is>
          <t>Le catacombe romane : opere postuma.</t>
        </is>
      </c>
      <c r="F1376" t="inlineStr">
        <is>
          <t>No</t>
        </is>
      </c>
      <c r="G1376" t="inlineStr">
        <is>
          <t>1</t>
        </is>
      </c>
      <c r="H1376" t="inlineStr">
        <is>
          <t>No</t>
        </is>
      </c>
      <c r="I1376" t="inlineStr">
        <is>
          <t>No</t>
        </is>
      </c>
      <c r="J1376" t="inlineStr">
        <is>
          <t>0</t>
        </is>
      </c>
      <c r="K1376" t="inlineStr">
        <is>
          <t>Marucchi, Orazio, 1852-1931.</t>
        </is>
      </c>
      <c r="L1376" t="inlineStr">
        <is>
          <t>[Roma] : La Libreria dello stato, [1932]</t>
        </is>
      </c>
      <c r="M1376" t="inlineStr">
        <is>
          <t>1932</t>
        </is>
      </c>
      <c r="O1376" t="inlineStr">
        <is>
          <t>ita</t>
        </is>
      </c>
      <c r="P1376" t="inlineStr">
        <is>
          <t xml:space="preserve">it </t>
        </is>
      </c>
      <c r="R1376" t="inlineStr">
        <is>
          <t xml:space="preserve">DG </t>
        </is>
      </c>
      <c r="S1376" t="n">
        <v>2</v>
      </c>
      <c r="T1376" t="n">
        <v>2</v>
      </c>
      <c r="U1376" t="inlineStr">
        <is>
          <t>2001-08-29</t>
        </is>
      </c>
      <c r="V1376" t="inlineStr">
        <is>
          <t>2001-08-29</t>
        </is>
      </c>
      <c r="W1376" t="inlineStr">
        <is>
          <t>1991-11-19</t>
        </is>
      </c>
      <c r="X1376" t="inlineStr">
        <is>
          <t>1991-11-19</t>
        </is>
      </c>
      <c r="Y1376" t="n">
        <v>107</v>
      </c>
      <c r="Z1376" t="n">
        <v>90</v>
      </c>
      <c r="AA1376" t="n">
        <v>109</v>
      </c>
      <c r="AB1376" t="n">
        <v>1</v>
      </c>
      <c r="AC1376" t="n">
        <v>1</v>
      </c>
      <c r="AD1376" t="n">
        <v>7</v>
      </c>
      <c r="AE1376" t="n">
        <v>9</v>
      </c>
      <c r="AF1376" t="n">
        <v>3</v>
      </c>
      <c r="AG1376" t="n">
        <v>3</v>
      </c>
      <c r="AH1376" t="n">
        <v>2</v>
      </c>
      <c r="AI1376" t="n">
        <v>2</v>
      </c>
      <c r="AJ1376" t="n">
        <v>4</v>
      </c>
      <c r="AK1376" t="n">
        <v>6</v>
      </c>
      <c r="AL1376" t="n">
        <v>0</v>
      </c>
      <c r="AM1376" t="n">
        <v>0</v>
      </c>
      <c r="AN1376" t="n">
        <v>0</v>
      </c>
      <c r="AO1376" t="n">
        <v>0</v>
      </c>
      <c r="AP1376" t="inlineStr">
        <is>
          <t>No</t>
        </is>
      </c>
      <c r="AQ1376" t="inlineStr">
        <is>
          <t>Yes</t>
        </is>
      </c>
      <c r="AR1376">
        <f>HYPERLINK("http://catalog.hathitrust.org/Record/000379680","HathiTrust Record")</f>
        <v/>
      </c>
      <c r="AS1376">
        <f>HYPERLINK("https://creighton-primo.hosted.exlibrisgroup.com/primo-explore/search?tab=default_tab&amp;search_scope=EVERYTHING&amp;vid=01CRU&amp;lang=en_US&amp;offset=0&amp;query=any,contains,991004759649702656","Catalog Record")</f>
        <v/>
      </c>
      <c r="AT1376">
        <f>HYPERLINK("http://www.worldcat.org/oclc/4988705","WorldCat Record")</f>
        <v/>
      </c>
      <c r="AU1376" t="inlineStr">
        <is>
          <t>365880270:ita</t>
        </is>
      </c>
      <c r="AV1376" t="inlineStr">
        <is>
          <t>4988705</t>
        </is>
      </c>
      <c r="AW1376" t="inlineStr">
        <is>
          <t>991004759649702656</t>
        </is>
      </c>
      <c r="AX1376" t="inlineStr">
        <is>
          <t>991004759649702656</t>
        </is>
      </c>
      <c r="AY1376" t="inlineStr">
        <is>
          <t>2270845900002656</t>
        </is>
      </c>
      <c r="AZ1376" t="inlineStr">
        <is>
          <t>BOOK</t>
        </is>
      </c>
      <c r="BC1376" t="inlineStr">
        <is>
          <t>32285000795673</t>
        </is>
      </c>
      <c r="BD1376" t="inlineStr">
        <is>
          <t>893789067</t>
        </is>
      </c>
    </row>
    <row r="1377">
      <c r="A1377" t="inlineStr">
        <is>
          <t>No</t>
        </is>
      </c>
      <c r="B1377" t="inlineStr">
        <is>
          <t>DG808 .A84 2007</t>
        </is>
      </c>
      <c r="C1377" t="inlineStr">
        <is>
          <t>0                      DG 0808000A  84          2007</t>
        </is>
      </c>
      <c r="D1377" t="inlineStr">
        <is>
          <t>I segreti di Roma : storie, luoghi e personaggi di una capitale / Corrado Augias.</t>
        </is>
      </c>
      <c r="F1377" t="inlineStr">
        <is>
          <t>No</t>
        </is>
      </c>
      <c r="G1377" t="inlineStr">
        <is>
          <t>1</t>
        </is>
      </c>
      <c r="H1377" t="inlineStr">
        <is>
          <t>No</t>
        </is>
      </c>
      <c r="I1377" t="inlineStr">
        <is>
          <t>No</t>
        </is>
      </c>
      <c r="J1377" t="inlineStr">
        <is>
          <t>0</t>
        </is>
      </c>
      <c r="K1377" t="inlineStr">
        <is>
          <t>Augias, Corrado.</t>
        </is>
      </c>
      <c r="L1377" t="inlineStr">
        <is>
          <t>Milano : Oscar Mondadori, 2007.</t>
        </is>
      </c>
      <c r="M1377" t="inlineStr">
        <is>
          <t>2007</t>
        </is>
      </c>
      <c r="N1377" t="inlineStr">
        <is>
          <t>1. ed. Oscar bestsellers.</t>
        </is>
      </c>
      <c r="O1377" t="inlineStr">
        <is>
          <t>ita</t>
        </is>
      </c>
      <c r="P1377" t="inlineStr">
        <is>
          <t xml:space="preserve">it </t>
        </is>
      </c>
      <c r="R1377" t="inlineStr">
        <is>
          <t xml:space="preserve">DG </t>
        </is>
      </c>
      <c r="S1377" t="n">
        <v>1</v>
      </c>
      <c r="T1377" t="n">
        <v>1</v>
      </c>
      <c r="U1377" t="inlineStr">
        <is>
          <t>2009-07-16</t>
        </is>
      </c>
      <c r="V1377" t="inlineStr">
        <is>
          <t>2009-07-16</t>
        </is>
      </c>
      <c r="W1377" t="inlineStr">
        <is>
          <t>2009-07-16</t>
        </is>
      </c>
      <c r="X1377" t="inlineStr">
        <is>
          <t>2009-07-16</t>
        </is>
      </c>
      <c r="Y1377" t="n">
        <v>10</v>
      </c>
      <c r="Z1377" t="n">
        <v>3</v>
      </c>
      <c r="AA1377" t="n">
        <v>15</v>
      </c>
      <c r="AB1377" t="n">
        <v>1</v>
      </c>
      <c r="AC1377" t="n">
        <v>1</v>
      </c>
      <c r="AD1377" t="n">
        <v>0</v>
      </c>
      <c r="AE1377" t="n">
        <v>0</v>
      </c>
      <c r="AF1377" t="n">
        <v>0</v>
      </c>
      <c r="AG1377" t="n">
        <v>0</v>
      </c>
      <c r="AH1377" t="n">
        <v>0</v>
      </c>
      <c r="AI1377" t="n">
        <v>0</v>
      </c>
      <c r="AJ1377" t="n">
        <v>0</v>
      </c>
      <c r="AK1377" t="n">
        <v>0</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HYPERLINK("https://creighton-primo.hosted.exlibrisgroup.com/primo-explore/search?tab=default_tab&amp;search_scope=EVERYTHING&amp;vid=01CRU&amp;lang=en_US&amp;offset=0&amp;query=any,contains,991005016789702656","Catalog Record")</f>
        <v/>
      </c>
      <c r="AT1377">
        <f>HYPERLINK("http://www.worldcat.org/oclc/271479793","WorldCat Record")</f>
        <v/>
      </c>
      <c r="AU1377" t="inlineStr">
        <is>
          <t>102558112:ita</t>
        </is>
      </c>
      <c r="AV1377" t="inlineStr">
        <is>
          <t>271479793</t>
        </is>
      </c>
      <c r="AW1377" t="inlineStr">
        <is>
          <t>991005016789702656</t>
        </is>
      </c>
      <c r="AX1377" t="inlineStr">
        <is>
          <t>991005016789702656</t>
        </is>
      </c>
      <c r="AY1377" t="inlineStr">
        <is>
          <t>2267846780002656</t>
        </is>
      </c>
      <c r="AZ1377" t="inlineStr">
        <is>
          <t>BOOK</t>
        </is>
      </c>
      <c r="BB1377" t="inlineStr">
        <is>
          <t>9788804566410</t>
        </is>
      </c>
      <c r="BC1377" t="inlineStr">
        <is>
          <t>32285005538169</t>
        </is>
      </c>
      <c r="BD1377" t="inlineStr">
        <is>
          <t>893236167</t>
        </is>
      </c>
    </row>
    <row r="1378">
      <c r="A1378" t="inlineStr">
        <is>
          <t>No</t>
        </is>
      </c>
      <c r="B1378" t="inlineStr">
        <is>
          <t>DG808 .A8413 2007</t>
        </is>
      </c>
      <c r="C1378" t="inlineStr">
        <is>
          <t>0                      DG 0808000A  8413        2007</t>
        </is>
      </c>
      <c r="D1378" t="inlineStr">
        <is>
          <t>The secrets of Rome : love &amp; death in the eternal city / Corrado Augias ; translated from the Italian by A. Lawrence Jenkens.</t>
        </is>
      </c>
      <c r="F1378" t="inlineStr">
        <is>
          <t>No</t>
        </is>
      </c>
      <c r="G1378" t="inlineStr">
        <is>
          <t>1</t>
        </is>
      </c>
      <c r="H1378" t="inlineStr">
        <is>
          <t>No</t>
        </is>
      </c>
      <c r="I1378" t="inlineStr">
        <is>
          <t>No</t>
        </is>
      </c>
      <c r="J1378" t="inlineStr">
        <is>
          <t>0</t>
        </is>
      </c>
      <c r="K1378" t="inlineStr">
        <is>
          <t>Augias, Corrado.</t>
        </is>
      </c>
      <c r="L1378" t="inlineStr">
        <is>
          <t>New York : Rizzoli Ex Libris, 2007.</t>
        </is>
      </c>
      <c r="M1378" t="inlineStr">
        <is>
          <t>2007</t>
        </is>
      </c>
      <c r="O1378" t="inlineStr">
        <is>
          <t>eng</t>
        </is>
      </c>
      <c r="P1378" t="inlineStr">
        <is>
          <t>nyu</t>
        </is>
      </c>
      <c r="R1378" t="inlineStr">
        <is>
          <t xml:space="preserve">DG </t>
        </is>
      </c>
      <c r="S1378" t="n">
        <v>3</v>
      </c>
      <c r="T1378" t="n">
        <v>3</v>
      </c>
      <c r="U1378" t="inlineStr">
        <is>
          <t>2010-05-25</t>
        </is>
      </c>
      <c r="V1378" t="inlineStr">
        <is>
          <t>2010-05-25</t>
        </is>
      </c>
      <c r="W1378" t="inlineStr">
        <is>
          <t>2010-05-12</t>
        </is>
      </c>
      <c r="X1378" t="inlineStr">
        <is>
          <t>2010-05-12</t>
        </is>
      </c>
      <c r="Y1378" t="n">
        <v>210</v>
      </c>
      <c r="Z1378" t="n">
        <v>183</v>
      </c>
      <c r="AA1378" t="n">
        <v>211</v>
      </c>
      <c r="AB1378" t="n">
        <v>3</v>
      </c>
      <c r="AC1378" t="n">
        <v>3</v>
      </c>
      <c r="AD1378" t="n">
        <v>11</v>
      </c>
      <c r="AE1378" t="n">
        <v>11</v>
      </c>
      <c r="AF1378" t="n">
        <v>2</v>
      </c>
      <c r="AG1378" t="n">
        <v>2</v>
      </c>
      <c r="AH1378" t="n">
        <v>3</v>
      </c>
      <c r="AI1378" t="n">
        <v>3</v>
      </c>
      <c r="AJ1378" t="n">
        <v>8</v>
      </c>
      <c r="AK1378" t="n">
        <v>8</v>
      </c>
      <c r="AL1378" t="n">
        <v>2</v>
      </c>
      <c r="AM1378" t="n">
        <v>2</v>
      </c>
      <c r="AN1378" t="n">
        <v>0</v>
      </c>
      <c r="AO1378" t="n">
        <v>0</v>
      </c>
      <c r="AP1378" t="inlineStr">
        <is>
          <t>No</t>
        </is>
      </c>
      <c r="AQ1378" t="inlineStr">
        <is>
          <t>No</t>
        </is>
      </c>
      <c r="AS1378">
        <f>HYPERLINK("https://creighton-primo.hosted.exlibrisgroup.com/primo-explore/search?tab=default_tab&amp;search_scope=EVERYTHING&amp;vid=01CRU&amp;lang=en_US&amp;offset=0&amp;query=any,contains,991005390739702656","Catalog Record")</f>
        <v/>
      </c>
      <c r="AT1378">
        <f>HYPERLINK("http://www.worldcat.org/oclc/123897359","WorldCat Record")</f>
        <v/>
      </c>
      <c r="AU1378" t="inlineStr">
        <is>
          <t>102558112:eng</t>
        </is>
      </c>
      <c r="AV1378" t="inlineStr">
        <is>
          <t>123897359</t>
        </is>
      </c>
      <c r="AW1378" t="inlineStr">
        <is>
          <t>991005390739702656</t>
        </is>
      </c>
      <c r="AX1378" t="inlineStr">
        <is>
          <t>991005390739702656</t>
        </is>
      </c>
      <c r="AY1378" t="inlineStr">
        <is>
          <t>2255445830002656</t>
        </is>
      </c>
      <c r="AZ1378" t="inlineStr">
        <is>
          <t>BOOK</t>
        </is>
      </c>
      <c r="BB1378" t="inlineStr">
        <is>
          <t>9780847829330</t>
        </is>
      </c>
      <c r="BC1378" t="inlineStr">
        <is>
          <t>32285005582597</t>
        </is>
      </c>
      <c r="BD1378" t="inlineStr">
        <is>
          <t>893902660</t>
        </is>
      </c>
    </row>
    <row r="1379">
      <c r="A1379" t="inlineStr">
        <is>
          <t>No</t>
        </is>
      </c>
      <c r="B1379" t="inlineStr">
        <is>
          <t>DG808 .C5</t>
        </is>
      </c>
      <c r="C1379" t="inlineStr">
        <is>
          <t>0                      DG 0808000C  5</t>
        </is>
      </c>
      <c r="D1379" t="inlineStr">
        <is>
          <t>The resurrection of Rome, by G.K. Chesterton ...</t>
        </is>
      </c>
      <c r="F1379" t="inlineStr">
        <is>
          <t>No</t>
        </is>
      </c>
      <c r="G1379" t="inlineStr">
        <is>
          <t>1</t>
        </is>
      </c>
      <c r="H1379" t="inlineStr">
        <is>
          <t>No</t>
        </is>
      </c>
      <c r="I1379" t="inlineStr">
        <is>
          <t>No</t>
        </is>
      </c>
      <c r="J1379" t="inlineStr">
        <is>
          <t>0</t>
        </is>
      </c>
      <c r="K1379" t="inlineStr">
        <is>
          <t>Chesterton, G. K. (Gilbert Keith), 1874-1936.</t>
        </is>
      </c>
      <c r="L1379" t="inlineStr">
        <is>
          <t>New York, Dodd, Mead &amp; Company, 1930.</t>
        </is>
      </c>
      <c r="M1379" t="inlineStr">
        <is>
          <t>1930</t>
        </is>
      </c>
      <c r="O1379" t="inlineStr">
        <is>
          <t>eng</t>
        </is>
      </c>
      <c r="P1379" t="inlineStr">
        <is>
          <t>nyu</t>
        </is>
      </c>
      <c r="R1379" t="inlineStr">
        <is>
          <t xml:space="preserve">DG </t>
        </is>
      </c>
      <c r="S1379" t="n">
        <v>2</v>
      </c>
      <c r="T1379" t="n">
        <v>2</v>
      </c>
      <c r="U1379" t="inlineStr">
        <is>
          <t>2010-07-13</t>
        </is>
      </c>
      <c r="V1379" t="inlineStr">
        <is>
          <t>2010-07-13</t>
        </is>
      </c>
      <c r="W1379" t="inlineStr">
        <is>
          <t>1997-02-06</t>
        </is>
      </c>
      <c r="X1379" t="inlineStr">
        <is>
          <t>1997-02-06</t>
        </is>
      </c>
      <c r="Y1379" t="n">
        <v>343</v>
      </c>
      <c r="Z1379" t="n">
        <v>317</v>
      </c>
      <c r="AA1379" t="n">
        <v>384</v>
      </c>
      <c r="AB1379" t="n">
        <v>5</v>
      </c>
      <c r="AC1379" t="n">
        <v>5</v>
      </c>
      <c r="AD1379" t="n">
        <v>31</v>
      </c>
      <c r="AE1379" t="n">
        <v>33</v>
      </c>
      <c r="AF1379" t="n">
        <v>10</v>
      </c>
      <c r="AG1379" t="n">
        <v>11</v>
      </c>
      <c r="AH1379" t="n">
        <v>6</v>
      </c>
      <c r="AI1379" t="n">
        <v>6</v>
      </c>
      <c r="AJ1379" t="n">
        <v>23</v>
      </c>
      <c r="AK1379" t="n">
        <v>24</v>
      </c>
      <c r="AL1379" t="n">
        <v>2</v>
      </c>
      <c r="AM1379" t="n">
        <v>2</v>
      </c>
      <c r="AN1379" t="n">
        <v>0</v>
      </c>
      <c r="AO1379" t="n">
        <v>0</v>
      </c>
      <c r="AP1379" t="inlineStr">
        <is>
          <t>No</t>
        </is>
      </c>
      <c r="AQ1379" t="inlineStr">
        <is>
          <t>Yes</t>
        </is>
      </c>
      <c r="AR1379">
        <f>HYPERLINK("http://catalog.hathitrust.org/Record/005919999","HathiTrust Record")</f>
        <v/>
      </c>
      <c r="AS1379">
        <f>HYPERLINK("https://creighton-primo.hosted.exlibrisgroup.com/primo-explore/search?tab=default_tab&amp;search_scope=EVERYTHING&amp;vid=01CRU&amp;lang=en_US&amp;offset=0&amp;query=any,contains,991003509989702656","Catalog Record")</f>
        <v/>
      </c>
      <c r="AT1379">
        <f>HYPERLINK("http://www.worldcat.org/oclc/1064257","WorldCat Record")</f>
        <v/>
      </c>
      <c r="AU1379" t="inlineStr">
        <is>
          <t>1355242:eng</t>
        </is>
      </c>
      <c r="AV1379" t="inlineStr">
        <is>
          <t>1064257</t>
        </is>
      </c>
      <c r="AW1379" t="inlineStr">
        <is>
          <t>991003509989702656</t>
        </is>
      </c>
      <c r="AX1379" t="inlineStr">
        <is>
          <t>991003509989702656</t>
        </is>
      </c>
      <c r="AY1379" t="inlineStr">
        <is>
          <t>2257268730002656</t>
        </is>
      </c>
      <c r="AZ1379" t="inlineStr">
        <is>
          <t>BOOK</t>
        </is>
      </c>
      <c r="BC1379" t="inlineStr">
        <is>
          <t>32285002423647</t>
        </is>
      </c>
      <c r="BD1379" t="inlineStr">
        <is>
          <t>893623561</t>
        </is>
      </c>
    </row>
    <row r="1380">
      <c r="A1380" t="inlineStr">
        <is>
          <t>No</t>
        </is>
      </c>
      <c r="B1380" t="inlineStr">
        <is>
          <t>DG808 .H52 1985b</t>
        </is>
      </c>
      <c r="C1380" t="inlineStr">
        <is>
          <t>0                      DG 0808000H  52          1985b</t>
        </is>
      </c>
      <c r="D1380" t="inlineStr">
        <is>
          <t>Rome, the biography of a city / Christopher Hibbert.</t>
        </is>
      </c>
      <c r="F1380" t="inlineStr">
        <is>
          <t>No</t>
        </is>
      </c>
      <c r="G1380" t="inlineStr">
        <is>
          <t>1</t>
        </is>
      </c>
      <c r="H1380" t="inlineStr">
        <is>
          <t>No</t>
        </is>
      </c>
      <c r="I1380" t="inlineStr">
        <is>
          <t>Yes</t>
        </is>
      </c>
      <c r="J1380" t="inlineStr">
        <is>
          <t>0</t>
        </is>
      </c>
      <c r="K1380" t="inlineStr">
        <is>
          <t>Hibbert, Christopher, 1924-2008.</t>
        </is>
      </c>
      <c r="L1380" t="inlineStr">
        <is>
          <t>Harmondsworth, Middlesex, England : Viking, 1985.</t>
        </is>
      </c>
      <c r="M1380" t="inlineStr">
        <is>
          <t>1985</t>
        </is>
      </c>
      <c r="O1380" t="inlineStr">
        <is>
          <t>eng</t>
        </is>
      </c>
      <c r="P1380" t="inlineStr">
        <is>
          <t>enk</t>
        </is>
      </c>
      <c r="R1380" t="inlineStr">
        <is>
          <t xml:space="preserve">DG </t>
        </is>
      </c>
      <c r="S1380" t="n">
        <v>3</v>
      </c>
      <c r="T1380" t="n">
        <v>3</v>
      </c>
      <c r="U1380" t="inlineStr">
        <is>
          <t>2002-05-29</t>
        </is>
      </c>
      <c r="V1380" t="inlineStr">
        <is>
          <t>2002-05-29</t>
        </is>
      </c>
      <c r="W1380" t="inlineStr">
        <is>
          <t>1990-03-28</t>
        </is>
      </c>
      <c r="X1380" t="inlineStr">
        <is>
          <t>1990-03-28</t>
        </is>
      </c>
      <c r="Y1380" t="n">
        <v>220</v>
      </c>
      <c r="Z1380" t="n">
        <v>66</v>
      </c>
      <c r="AA1380" t="n">
        <v>1245</v>
      </c>
      <c r="AB1380" t="n">
        <v>2</v>
      </c>
      <c r="AC1380" t="n">
        <v>12</v>
      </c>
      <c r="AD1380" t="n">
        <v>1</v>
      </c>
      <c r="AE1380" t="n">
        <v>35</v>
      </c>
      <c r="AF1380" t="n">
        <v>0</v>
      </c>
      <c r="AG1380" t="n">
        <v>14</v>
      </c>
      <c r="AH1380" t="n">
        <v>0</v>
      </c>
      <c r="AI1380" t="n">
        <v>9</v>
      </c>
      <c r="AJ1380" t="n">
        <v>0</v>
      </c>
      <c r="AK1380" t="n">
        <v>16</v>
      </c>
      <c r="AL1380" t="n">
        <v>1</v>
      </c>
      <c r="AM1380" t="n">
        <v>5</v>
      </c>
      <c r="AN1380" t="n">
        <v>0</v>
      </c>
      <c r="AO1380" t="n">
        <v>0</v>
      </c>
      <c r="AP1380" t="inlineStr">
        <is>
          <t>No</t>
        </is>
      </c>
      <c r="AQ1380" t="inlineStr">
        <is>
          <t>Yes</t>
        </is>
      </c>
      <c r="AR1380">
        <f>HYPERLINK("http://catalog.hathitrust.org/Record/000651430","HathiTrust Record")</f>
        <v/>
      </c>
      <c r="AS1380">
        <f>HYPERLINK("https://creighton-primo.hosted.exlibrisgroup.com/primo-explore/search?tab=default_tab&amp;search_scope=EVERYTHING&amp;vid=01CRU&amp;lang=en_US&amp;offset=0&amp;query=any,contains,991000654529702656","Catalog Record")</f>
        <v/>
      </c>
      <c r="AT1380">
        <f>HYPERLINK("http://www.worldcat.org/oclc/12207460","WorldCat Record")</f>
        <v/>
      </c>
      <c r="AU1380" t="inlineStr">
        <is>
          <t>173579030:eng</t>
        </is>
      </c>
      <c r="AV1380" t="inlineStr">
        <is>
          <t>12207460</t>
        </is>
      </c>
      <c r="AW1380" t="inlineStr">
        <is>
          <t>991000654529702656</t>
        </is>
      </c>
      <c r="AX1380" t="inlineStr">
        <is>
          <t>991000654529702656</t>
        </is>
      </c>
      <c r="AY1380" t="inlineStr">
        <is>
          <t>2269369940002656</t>
        </is>
      </c>
      <c r="AZ1380" t="inlineStr">
        <is>
          <t>BOOK</t>
        </is>
      </c>
      <c r="BB1380" t="inlineStr">
        <is>
          <t>9780670801299</t>
        </is>
      </c>
      <c r="BC1380" t="inlineStr">
        <is>
          <t>32285000099415</t>
        </is>
      </c>
      <c r="BD1380" t="inlineStr">
        <is>
          <t>893496445</t>
        </is>
      </c>
    </row>
    <row r="1381">
      <c r="A1381" t="inlineStr">
        <is>
          <t>No</t>
        </is>
      </c>
      <c r="B1381" t="inlineStr">
        <is>
          <t>DG808 .K8</t>
        </is>
      </c>
      <c r="C1381" t="inlineStr">
        <is>
          <t>0                      DG 0808000K  8</t>
        </is>
      </c>
      <c r="D1381" t="inlineStr">
        <is>
          <t>Roma : ancient, subterranean, and modern Rome, in word and picture / by Rev. Albert Kuhn ; with a preface by His Eminence Cardinal Gibbons, Archbishop of Baltimore ; with 938 illustrations in the text, 40 full page inserts, and 3 plans of Rome.</t>
        </is>
      </c>
      <c r="F1381" t="inlineStr">
        <is>
          <t>No</t>
        </is>
      </c>
      <c r="G1381" t="inlineStr">
        <is>
          <t>1</t>
        </is>
      </c>
      <c r="H1381" t="inlineStr">
        <is>
          <t>No</t>
        </is>
      </c>
      <c r="I1381" t="inlineStr">
        <is>
          <t>No</t>
        </is>
      </c>
      <c r="J1381" t="inlineStr">
        <is>
          <t>0</t>
        </is>
      </c>
      <c r="K1381" t="inlineStr">
        <is>
          <t>Kuhn, Albert, 1839-1929.</t>
        </is>
      </c>
      <c r="L1381" t="inlineStr">
        <is>
          <t>New York : Benziger Brothers, 1913.</t>
        </is>
      </c>
      <c r="M1381" t="inlineStr">
        <is>
          <t>1913</t>
        </is>
      </c>
      <c r="O1381" t="inlineStr">
        <is>
          <t>eng</t>
        </is>
      </c>
      <c r="P1381" t="inlineStr">
        <is>
          <t>nyu</t>
        </is>
      </c>
      <c r="R1381" t="inlineStr">
        <is>
          <t xml:space="preserve">DG </t>
        </is>
      </c>
      <c r="S1381" t="n">
        <v>2</v>
      </c>
      <c r="T1381" t="n">
        <v>2</v>
      </c>
      <c r="U1381" t="inlineStr">
        <is>
          <t>2003-02-24</t>
        </is>
      </c>
      <c r="V1381" t="inlineStr">
        <is>
          <t>2003-02-24</t>
        </is>
      </c>
      <c r="W1381" t="inlineStr">
        <is>
          <t>1991-11-19</t>
        </is>
      </c>
      <c r="X1381" t="inlineStr">
        <is>
          <t>1991-11-19</t>
        </is>
      </c>
      <c r="Y1381" t="n">
        <v>87</v>
      </c>
      <c r="Z1381" t="n">
        <v>81</v>
      </c>
      <c r="AA1381" t="n">
        <v>150</v>
      </c>
      <c r="AB1381" t="n">
        <v>1</v>
      </c>
      <c r="AC1381" t="n">
        <v>1</v>
      </c>
      <c r="AD1381" t="n">
        <v>13</v>
      </c>
      <c r="AE1381" t="n">
        <v>18</v>
      </c>
      <c r="AF1381" t="n">
        <v>2</v>
      </c>
      <c r="AG1381" t="n">
        <v>3</v>
      </c>
      <c r="AH1381" t="n">
        <v>5</v>
      </c>
      <c r="AI1381" t="n">
        <v>5</v>
      </c>
      <c r="AJ1381" t="n">
        <v>10</v>
      </c>
      <c r="AK1381" t="n">
        <v>15</v>
      </c>
      <c r="AL1381" t="n">
        <v>0</v>
      </c>
      <c r="AM1381" t="n">
        <v>0</v>
      </c>
      <c r="AN1381" t="n">
        <v>0</v>
      </c>
      <c r="AO1381" t="n">
        <v>0</v>
      </c>
      <c r="AP1381" t="inlineStr">
        <is>
          <t>Yes</t>
        </is>
      </c>
      <c r="AQ1381" t="inlineStr">
        <is>
          <t>No</t>
        </is>
      </c>
      <c r="AR1381">
        <f>HYPERLINK("http://catalog.hathitrust.org/Record/100231332","HathiTrust Record")</f>
        <v/>
      </c>
      <c r="AS1381">
        <f>HYPERLINK("https://creighton-primo.hosted.exlibrisgroup.com/primo-explore/search?tab=default_tab&amp;search_scope=EVERYTHING&amp;vid=01CRU&amp;lang=en_US&amp;offset=0&amp;query=any,contains,991004391059702656","Catalog Record")</f>
        <v/>
      </c>
      <c r="AT1381">
        <f>HYPERLINK("http://www.worldcat.org/oclc/3264336","WorldCat Record")</f>
        <v/>
      </c>
      <c r="AU1381" t="inlineStr">
        <is>
          <t>3855310436:eng</t>
        </is>
      </c>
      <c r="AV1381" t="inlineStr">
        <is>
          <t>3264336</t>
        </is>
      </c>
      <c r="AW1381" t="inlineStr">
        <is>
          <t>991004391059702656</t>
        </is>
      </c>
      <c r="AX1381" t="inlineStr">
        <is>
          <t>991004391059702656</t>
        </is>
      </c>
      <c r="AY1381" t="inlineStr">
        <is>
          <t>2259374880002656</t>
        </is>
      </c>
      <c r="AZ1381" t="inlineStr">
        <is>
          <t>BOOK</t>
        </is>
      </c>
      <c r="BC1381" t="inlineStr">
        <is>
          <t>32285000795665</t>
        </is>
      </c>
      <c r="BD1381" t="inlineStr">
        <is>
          <t>893235439</t>
        </is>
      </c>
    </row>
    <row r="1382">
      <c r="A1382" t="inlineStr">
        <is>
          <t>No</t>
        </is>
      </c>
      <c r="B1382" t="inlineStr">
        <is>
          <t>DG808 .L24 2010</t>
        </is>
      </c>
      <c r="C1382" t="inlineStr">
        <is>
          <t>0                      DG 0808000L  24          2010</t>
        </is>
      </c>
      <c r="D1382" t="inlineStr">
        <is>
          <t>The destruction of ancient Rome : a sketch of the history of the monuments / Rodolfo Lanciani.</t>
        </is>
      </c>
      <c r="F1382" t="inlineStr">
        <is>
          <t>No</t>
        </is>
      </c>
      <c r="G1382" t="inlineStr">
        <is>
          <t>1</t>
        </is>
      </c>
      <c r="H1382" t="inlineStr">
        <is>
          <t>No</t>
        </is>
      </c>
      <c r="I1382" t="inlineStr">
        <is>
          <t>No</t>
        </is>
      </c>
      <c r="J1382" t="inlineStr">
        <is>
          <t>0</t>
        </is>
      </c>
      <c r="K1382" t="inlineStr">
        <is>
          <t>Lanciani, Rodolfo Amedeo, 1847-1929.</t>
        </is>
      </c>
      <c r="L1382" t="inlineStr">
        <is>
          <t>[Ann Arbor, Mich.] : University of Michigan, University Library, [2010].</t>
        </is>
      </c>
      <c r="M1382" t="inlineStr">
        <is>
          <t>2010</t>
        </is>
      </c>
      <c r="O1382" t="inlineStr">
        <is>
          <t>eng</t>
        </is>
      </c>
      <c r="P1382" t="inlineStr">
        <is>
          <t>mau</t>
        </is>
      </c>
      <c r="Q1382" t="inlineStr">
        <is>
          <t>Handbooks of archaeology and antiquities</t>
        </is>
      </c>
      <c r="R1382" t="inlineStr">
        <is>
          <t xml:space="preserve">DG </t>
        </is>
      </c>
      <c r="S1382" t="n">
        <v>1</v>
      </c>
      <c r="T1382" t="n">
        <v>1</v>
      </c>
      <c r="U1382" t="inlineStr">
        <is>
          <t>2010-11-17</t>
        </is>
      </c>
      <c r="V1382" t="inlineStr">
        <is>
          <t>2010-11-17</t>
        </is>
      </c>
      <c r="W1382" t="inlineStr">
        <is>
          <t>2010-11-16</t>
        </is>
      </c>
      <c r="X1382" t="inlineStr">
        <is>
          <t>2010-11-16</t>
        </is>
      </c>
      <c r="Y1382" t="n">
        <v>2</v>
      </c>
      <c r="Z1382" t="n">
        <v>2</v>
      </c>
      <c r="AA1382" t="n">
        <v>610</v>
      </c>
      <c r="AB1382" t="n">
        <v>0</v>
      </c>
      <c r="AC1382" t="n">
        <v>5</v>
      </c>
      <c r="AD1382" t="n">
        <v>0</v>
      </c>
      <c r="AE1382" t="n">
        <v>33</v>
      </c>
      <c r="AF1382" t="n">
        <v>0</v>
      </c>
      <c r="AG1382" t="n">
        <v>10</v>
      </c>
      <c r="AH1382" t="n">
        <v>0</v>
      </c>
      <c r="AI1382" t="n">
        <v>7</v>
      </c>
      <c r="AJ1382" t="n">
        <v>0</v>
      </c>
      <c r="AK1382" t="n">
        <v>19</v>
      </c>
      <c r="AL1382" t="n">
        <v>0</v>
      </c>
      <c r="AM1382" t="n">
        <v>5</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HYPERLINK("https://creighton-primo.hosted.exlibrisgroup.com/primo-explore/search?tab=default_tab&amp;search_scope=EVERYTHING&amp;vid=01CRU&amp;lang=en_US&amp;offset=0&amp;query=any,contains,991000108909702656","Catalog Record")</f>
        <v/>
      </c>
      <c r="AT1382">
        <f>HYPERLINK("http://www.worldcat.org/oclc/5534266","WorldCat Record")</f>
        <v/>
      </c>
      <c r="AU1382" t="inlineStr">
        <is>
          <t>1461999:eng</t>
        </is>
      </c>
      <c r="AV1382" t="inlineStr">
        <is>
          <t>5534266</t>
        </is>
      </c>
      <c r="AW1382" t="inlineStr">
        <is>
          <t>991000108909702656</t>
        </is>
      </c>
      <c r="AX1382" t="inlineStr">
        <is>
          <t>991000108909702656</t>
        </is>
      </c>
      <c r="AY1382" t="inlineStr">
        <is>
          <t>2272099290002656</t>
        </is>
      </c>
      <c r="AZ1382" t="inlineStr">
        <is>
          <t>BOOK</t>
        </is>
      </c>
      <c r="BC1382" t="inlineStr">
        <is>
          <t>32285005595318</t>
        </is>
      </c>
      <c r="BD1382" t="inlineStr">
        <is>
          <t>893255191</t>
        </is>
      </c>
    </row>
    <row r="1383">
      <c r="A1383" t="inlineStr">
        <is>
          <t>No</t>
        </is>
      </c>
      <c r="B1383" t="inlineStr">
        <is>
          <t>DG81 .F7 1973</t>
        </is>
      </c>
      <c r="C1383" t="inlineStr">
        <is>
          <t>0                      DG 0081000F  7           1973</t>
        </is>
      </c>
      <c r="D1383" t="inlineStr">
        <is>
          <t>Roman imperialism / by Tenney Frank.</t>
        </is>
      </c>
      <c r="F1383" t="inlineStr">
        <is>
          <t>No</t>
        </is>
      </c>
      <c r="G1383" t="inlineStr">
        <is>
          <t>1</t>
        </is>
      </c>
      <c r="H1383" t="inlineStr">
        <is>
          <t>No</t>
        </is>
      </c>
      <c r="I1383" t="inlineStr">
        <is>
          <t>No</t>
        </is>
      </c>
      <c r="J1383" t="inlineStr">
        <is>
          <t>0</t>
        </is>
      </c>
      <c r="K1383" t="inlineStr">
        <is>
          <t>Frank, Tenney, 1876-1939.</t>
        </is>
      </c>
      <c r="L1383" t="inlineStr">
        <is>
          <t>New York : Macmillan, 1914.</t>
        </is>
      </c>
      <c r="M1383" t="inlineStr">
        <is>
          <t>1914</t>
        </is>
      </c>
      <c r="O1383" t="inlineStr">
        <is>
          <t>eng</t>
        </is>
      </c>
      <c r="P1383" t="inlineStr">
        <is>
          <t>nyu</t>
        </is>
      </c>
      <c r="R1383" t="inlineStr">
        <is>
          <t xml:space="preserve">DG </t>
        </is>
      </c>
      <c r="S1383" t="n">
        <v>2</v>
      </c>
      <c r="T1383" t="n">
        <v>2</v>
      </c>
      <c r="U1383" t="inlineStr">
        <is>
          <t>2001-09-26</t>
        </is>
      </c>
      <c r="V1383" t="inlineStr">
        <is>
          <t>2001-09-26</t>
        </is>
      </c>
      <c r="W1383" t="inlineStr">
        <is>
          <t>1997-02-03</t>
        </is>
      </c>
      <c r="X1383" t="inlineStr">
        <is>
          <t>1997-02-03</t>
        </is>
      </c>
      <c r="Y1383" t="n">
        <v>473</v>
      </c>
      <c r="Z1383" t="n">
        <v>395</v>
      </c>
      <c r="AA1383" t="n">
        <v>641</v>
      </c>
      <c r="AB1383" t="n">
        <v>4</v>
      </c>
      <c r="AC1383" t="n">
        <v>5</v>
      </c>
      <c r="AD1383" t="n">
        <v>28</v>
      </c>
      <c r="AE1383" t="n">
        <v>37</v>
      </c>
      <c r="AF1383" t="n">
        <v>13</v>
      </c>
      <c r="AG1383" t="n">
        <v>17</v>
      </c>
      <c r="AH1383" t="n">
        <v>5</v>
      </c>
      <c r="AI1383" t="n">
        <v>8</v>
      </c>
      <c r="AJ1383" t="n">
        <v>14</v>
      </c>
      <c r="AK1383" t="n">
        <v>18</v>
      </c>
      <c r="AL1383" t="n">
        <v>3</v>
      </c>
      <c r="AM1383" t="n">
        <v>4</v>
      </c>
      <c r="AN1383" t="n">
        <v>0</v>
      </c>
      <c r="AO1383" t="n">
        <v>0</v>
      </c>
      <c r="AP1383" t="inlineStr">
        <is>
          <t>Yes</t>
        </is>
      </c>
      <c r="AQ1383" t="inlineStr">
        <is>
          <t>No</t>
        </is>
      </c>
      <c r="AR1383">
        <f>HYPERLINK("http://catalog.hathitrust.org/Record/000382113","HathiTrust Record")</f>
        <v/>
      </c>
      <c r="AS1383">
        <f>HYPERLINK("https://creighton-primo.hosted.exlibrisgroup.com/primo-explore/search?tab=default_tab&amp;search_scope=EVERYTHING&amp;vid=01CRU&amp;lang=en_US&amp;offset=0&amp;query=any,contains,991003882019702656","Catalog Record")</f>
        <v/>
      </c>
      <c r="AT1383">
        <f>HYPERLINK("http://www.worldcat.org/oclc/1729176","WorldCat Record")</f>
        <v/>
      </c>
      <c r="AU1383" t="inlineStr">
        <is>
          <t>1428846:eng</t>
        </is>
      </c>
      <c r="AV1383" t="inlineStr">
        <is>
          <t>1729176</t>
        </is>
      </c>
      <c r="AW1383" t="inlineStr">
        <is>
          <t>991003882019702656</t>
        </is>
      </c>
      <c r="AX1383" t="inlineStr">
        <is>
          <t>991003882019702656</t>
        </is>
      </c>
      <c r="AY1383" t="inlineStr">
        <is>
          <t>2267180780002656</t>
        </is>
      </c>
      <c r="AZ1383" t="inlineStr">
        <is>
          <t>BOOK</t>
        </is>
      </c>
      <c r="BC1383" t="inlineStr">
        <is>
          <t>32285002419611</t>
        </is>
      </c>
      <c r="BD1383" t="inlineStr">
        <is>
          <t>893252936</t>
        </is>
      </c>
    </row>
    <row r="1384">
      <c r="A1384" t="inlineStr">
        <is>
          <t>No</t>
        </is>
      </c>
      <c r="B1384" t="inlineStr">
        <is>
          <t>DG81 .L27 1974</t>
        </is>
      </c>
      <c r="C1384" t="inlineStr">
        <is>
          <t>0                      DG 0081000L  27          1974</t>
        </is>
      </c>
      <c r="D1384" t="inlineStr">
        <is>
          <t>Römische Alterthümer / Ludwig Lange. Bd. 1-3, 1. Abt.</t>
        </is>
      </c>
      <c r="E1384" t="inlineStr">
        <is>
          <t>V. 3</t>
        </is>
      </c>
      <c r="F1384" t="inlineStr">
        <is>
          <t>Yes</t>
        </is>
      </c>
      <c r="G1384" t="inlineStr">
        <is>
          <t>1</t>
        </is>
      </c>
      <c r="H1384" t="inlineStr">
        <is>
          <t>No</t>
        </is>
      </c>
      <c r="I1384" t="inlineStr">
        <is>
          <t>No</t>
        </is>
      </c>
      <c r="J1384" t="inlineStr">
        <is>
          <t>0</t>
        </is>
      </c>
      <c r="K1384" t="inlineStr">
        <is>
          <t>Lange, Ludwig, 1825-1885.</t>
        </is>
      </c>
      <c r="L1384" t="inlineStr">
        <is>
          <t>Hildesheim ; New York : G. Olms, 1974.</t>
        </is>
      </c>
      <c r="M1384" t="inlineStr">
        <is>
          <t>1974</t>
        </is>
      </c>
      <c r="O1384" t="inlineStr">
        <is>
          <t>ger</t>
        </is>
      </c>
      <c r="P1384" t="inlineStr">
        <is>
          <t xml:space="preserve">gw </t>
        </is>
      </c>
      <c r="R1384" t="inlineStr">
        <is>
          <t xml:space="preserve">DG </t>
        </is>
      </c>
      <c r="S1384" t="n">
        <v>2</v>
      </c>
      <c r="T1384" t="n">
        <v>5</v>
      </c>
      <c r="U1384" t="inlineStr">
        <is>
          <t>2009-10-21</t>
        </is>
      </c>
      <c r="V1384" t="inlineStr">
        <is>
          <t>2009-10-21</t>
        </is>
      </c>
      <c r="W1384" t="inlineStr">
        <is>
          <t>2003-12-02</t>
        </is>
      </c>
      <c r="X1384" t="inlineStr">
        <is>
          <t>2003-12-02</t>
        </is>
      </c>
      <c r="Y1384" t="n">
        <v>21</v>
      </c>
      <c r="Z1384" t="n">
        <v>10</v>
      </c>
      <c r="AA1384" t="n">
        <v>94</v>
      </c>
      <c r="AB1384" t="n">
        <v>1</v>
      </c>
      <c r="AC1384" t="n">
        <v>2</v>
      </c>
      <c r="AD1384" t="n">
        <v>1</v>
      </c>
      <c r="AE1384" t="n">
        <v>3</v>
      </c>
      <c r="AF1384" t="n">
        <v>0</v>
      </c>
      <c r="AG1384" t="n">
        <v>0</v>
      </c>
      <c r="AH1384" t="n">
        <v>0</v>
      </c>
      <c r="AI1384" t="n">
        <v>1</v>
      </c>
      <c r="AJ1384" t="n">
        <v>1</v>
      </c>
      <c r="AK1384" t="n">
        <v>1</v>
      </c>
      <c r="AL1384" t="n">
        <v>0</v>
      </c>
      <c r="AM1384" t="n">
        <v>1</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HYPERLINK("https://creighton-primo.hosted.exlibrisgroup.com/primo-explore/search?tab=default_tab&amp;search_scope=EVERYTHING&amp;vid=01CRU&amp;lang=en_US&amp;offset=0&amp;query=any,contains,991004154089702656","Catalog Record")</f>
        <v/>
      </c>
      <c r="AT1384">
        <f>HYPERLINK("http://www.worldcat.org/oclc/3574558","WorldCat Record")</f>
        <v/>
      </c>
      <c r="AU1384" t="inlineStr">
        <is>
          <t>4820602503:ger</t>
        </is>
      </c>
      <c r="AV1384" t="inlineStr">
        <is>
          <t>3574558</t>
        </is>
      </c>
      <c r="AW1384" t="inlineStr">
        <is>
          <t>991004154089702656</t>
        </is>
      </c>
      <c r="AX1384" t="inlineStr">
        <is>
          <t>991004154089702656</t>
        </is>
      </c>
      <c r="AY1384" t="inlineStr">
        <is>
          <t>2268440500002656</t>
        </is>
      </c>
      <c r="AZ1384" t="inlineStr">
        <is>
          <t>BOOK</t>
        </is>
      </c>
      <c r="BB1384" t="inlineStr">
        <is>
          <t>9783487052366</t>
        </is>
      </c>
      <c r="BC1384" t="inlineStr">
        <is>
          <t>32285004843750</t>
        </is>
      </c>
      <c r="BD1384" t="inlineStr">
        <is>
          <t>893337383</t>
        </is>
      </c>
    </row>
    <row r="1385">
      <c r="A1385" t="inlineStr">
        <is>
          <t>No</t>
        </is>
      </c>
      <c r="B1385" t="inlineStr">
        <is>
          <t>DG81 .L27 1974</t>
        </is>
      </c>
      <c r="C1385" t="inlineStr">
        <is>
          <t>0                      DG 0081000L  27          1974</t>
        </is>
      </c>
      <c r="D1385" t="inlineStr">
        <is>
          <t>Römische Alterthümer / Ludwig Lange. Bd. 1-3, 1. Abt.</t>
        </is>
      </c>
      <c r="E1385" t="inlineStr">
        <is>
          <t>V. 2</t>
        </is>
      </c>
      <c r="F1385" t="inlineStr">
        <is>
          <t>Yes</t>
        </is>
      </c>
      <c r="G1385" t="inlineStr">
        <is>
          <t>1</t>
        </is>
      </c>
      <c r="H1385" t="inlineStr">
        <is>
          <t>No</t>
        </is>
      </c>
      <c r="I1385" t="inlineStr">
        <is>
          <t>No</t>
        </is>
      </c>
      <c r="J1385" t="inlineStr">
        <is>
          <t>0</t>
        </is>
      </c>
      <c r="K1385" t="inlineStr">
        <is>
          <t>Lange, Ludwig, 1825-1885.</t>
        </is>
      </c>
      <c r="L1385" t="inlineStr">
        <is>
          <t>Hildesheim ; New York : G. Olms, 1974.</t>
        </is>
      </c>
      <c r="M1385" t="inlineStr">
        <is>
          <t>1974</t>
        </is>
      </c>
      <c r="O1385" t="inlineStr">
        <is>
          <t>ger</t>
        </is>
      </c>
      <c r="P1385" t="inlineStr">
        <is>
          <t xml:space="preserve">gw </t>
        </is>
      </c>
      <c r="R1385" t="inlineStr">
        <is>
          <t xml:space="preserve">DG </t>
        </is>
      </c>
      <c r="S1385" t="n">
        <v>1</v>
      </c>
      <c r="T1385" t="n">
        <v>5</v>
      </c>
      <c r="U1385" t="inlineStr">
        <is>
          <t>2003-12-02</t>
        </is>
      </c>
      <c r="V1385" t="inlineStr">
        <is>
          <t>2009-10-21</t>
        </is>
      </c>
      <c r="W1385" t="inlineStr">
        <is>
          <t>2003-12-02</t>
        </is>
      </c>
      <c r="X1385" t="inlineStr">
        <is>
          <t>2003-12-02</t>
        </is>
      </c>
      <c r="Y1385" t="n">
        <v>21</v>
      </c>
      <c r="Z1385" t="n">
        <v>10</v>
      </c>
      <c r="AA1385" t="n">
        <v>94</v>
      </c>
      <c r="AB1385" t="n">
        <v>1</v>
      </c>
      <c r="AC1385" t="n">
        <v>2</v>
      </c>
      <c r="AD1385" t="n">
        <v>1</v>
      </c>
      <c r="AE1385" t="n">
        <v>3</v>
      </c>
      <c r="AF1385" t="n">
        <v>0</v>
      </c>
      <c r="AG1385" t="n">
        <v>0</v>
      </c>
      <c r="AH1385" t="n">
        <v>0</v>
      </c>
      <c r="AI1385" t="n">
        <v>1</v>
      </c>
      <c r="AJ1385" t="n">
        <v>1</v>
      </c>
      <c r="AK1385" t="n">
        <v>1</v>
      </c>
      <c r="AL1385" t="n">
        <v>0</v>
      </c>
      <c r="AM1385" t="n">
        <v>1</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HYPERLINK("https://creighton-primo.hosted.exlibrisgroup.com/primo-explore/search?tab=default_tab&amp;search_scope=EVERYTHING&amp;vid=01CRU&amp;lang=en_US&amp;offset=0&amp;query=any,contains,991004154089702656","Catalog Record")</f>
        <v/>
      </c>
      <c r="AT1385">
        <f>HYPERLINK("http://www.worldcat.org/oclc/3574558","WorldCat Record")</f>
        <v/>
      </c>
      <c r="AU1385" t="inlineStr">
        <is>
          <t>4820602503:ger</t>
        </is>
      </c>
      <c r="AV1385" t="inlineStr">
        <is>
          <t>3574558</t>
        </is>
      </c>
      <c r="AW1385" t="inlineStr">
        <is>
          <t>991004154089702656</t>
        </is>
      </c>
      <c r="AX1385" t="inlineStr">
        <is>
          <t>991004154089702656</t>
        </is>
      </c>
      <c r="AY1385" t="inlineStr">
        <is>
          <t>2268440500002656</t>
        </is>
      </c>
      <c r="AZ1385" t="inlineStr">
        <is>
          <t>BOOK</t>
        </is>
      </c>
      <c r="BB1385" t="inlineStr">
        <is>
          <t>9783487052366</t>
        </is>
      </c>
      <c r="BC1385" t="inlineStr">
        <is>
          <t>32285004843743</t>
        </is>
      </c>
      <c r="BD1385" t="inlineStr">
        <is>
          <t>893331257</t>
        </is>
      </c>
    </row>
    <row r="1386">
      <c r="A1386" t="inlineStr">
        <is>
          <t>No</t>
        </is>
      </c>
      <c r="B1386" t="inlineStr">
        <is>
          <t>DG81 .T38</t>
        </is>
      </c>
      <c r="C1386" t="inlineStr">
        <is>
          <t>0                      DG 0081000T  38</t>
        </is>
      </c>
      <c r="D1386" t="inlineStr">
        <is>
          <t>Party politics in the age of Caesar Lily Ross Taylor.</t>
        </is>
      </c>
      <c r="F1386" t="inlineStr">
        <is>
          <t>No</t>
        </is>
      </c>
      <c r="G1386" t="inlineStr">
        <is>
          <t>1</t>
        </is>
      </c>
      <c r="H1386" t="inlineStr">
        <is>
          <t>No</t>
        </is>
      </c>
      <c r="I1386" t="inlineStr">
        <is>
          <t>No</t>
        </is>
      </c>
      <c r="J1386" t="inlineStr">
        <is>
          <t>0</t>
        </is>
      </c>
      <c r="K1386" t="inlineStr">
        <is>
          <t>Taylor, Lily Ross, 1886-1969.</t>
        </is>
      </c>
      <c r="L1386" t="inlineStr">
        <is>
          <t>Berkeley : University of California Press, [1968], c1949.</t>
        </is>
      </c>
      <c r="M1386" t="inlineStr">
        <is>
          <t>1968</t>
        </is>
      </c>
      <c r="O1386" t="inlineStr">
        <is>
          <t>eng</t>
        </is>
      </c>
      <c r="P1386" t="inlineStr">
        <is>
          <t>cau</t>
        </is>
      </c>
      <c r="R1386" t="inlineStr">
        <is>
          <t xml:space="preserve">DG </t>
        </is>
      </c>
      <c r="S1386" t="n">
        <v>1</v>
      </c>
      <c r="T1386" t="n">
        <v>1</v>
      </c>
      <c r="U1386" t="inlineStr">
        <is>
          <t>2006-06-07</t>
        </is>
      </c>
      <c r="V1386" t="inlineStr">
        <is>
          <t>2006-06-07</t>
        </is>
      </c>
      <c r="W1386" t="inlineStr">
        <is>
          <t>2006-06-07</t>
        </is>
      </c>
      <c r="X1386" t="inlineStr">
        <is>
          <t>2006-06-07</t>
        </is>
      </c>
      <c r="Y1386" t="n">
        <v>56</v>
      </c>
      <c r="Z1386" t="n">
        <v>42</v>
      </c>
      <c r="AA1386" t="n">
        <v>1000</v>
      </c>
      <c r="AB1386" t="n">
        <v>2</v>
      </c>
      <c r="AC1386" t="n">
        <v>5</v>
      </c>
      <c r="AD1386" t="n">
        <v>4</v>
      </c>
      <c r="AE1386" t="n">
        <v>48</v>
      </c>
      <c r="AF1386" t="n">
        <v>1</v>
      </c>
      <c r="AG1386" t="n">
        <v>23</v>
      </c>
      <c r="AH1386" t="n">
        <v>1</v>
      </c>
      <c r="AI1386" t="n">
        <v>9</v>
      </c>
      <c r="AJ1386" t="n">
        <v>1</v>
      </c>
      <c r="AK1386" t="n">
        <v>23</v>
      </c>
      <c r="AL1386" t="n">
        <v>1</v>
      </c>
      <c r="AM1386" t="n">
        <v>4</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HYPERLINK("https://creighton-primo.hosted.exlibrisgroup.com/primo-explore/search?tab=default_tab&amp;search_scope=EVERYTHING&amp;vid=01CRU&amp;lang=en_US&amp;offset=0&amp;query=any,contains,991003623259702656","Catalog Record")</f>
        <v/>
      </c>
      <c r="AT1386">
        <f>HYPERLINK("http://www.worldcat.org/oclc/1212498","WorldCat Record")</f>
        <v/>
      </c>
      <c r="AU1386" t="inlineStr">
        <is>
          <t>500396:eng</t>
        </is>
      </c>
      <c r="AV1386" t="inlineStr">
        <is>
          <t>1212498</t>
        </is>
      </c>
      <c r="AW1386" t="inlineStr">
        <is>
          <t>991003623259702656</t>
        </is>
      </c>
      <c r="AX1386" t="inlineStr">
        <is>
          <t>991003623259702656</t>
        </is>
      </c>
      <c r="AY1386" t="inlineStr">
        <is>
          <t>2265870820002656</t>
        </is>
      </c>
      <c r="AZ1386" t="inlineStr">
        <is>
          <t>BOOK</t>
        </is>
      </c>
      <c r="BB1386" t="inlineStr">
        <is>
          <t>9780520012578</t>
        </is>
      </c>
      <c r="BC1386" t="inlineStr">
        <is>
          <t>32285005190250</t>
        </is>
      </c>
      <c r="BD1386" t="inlineStr">
        <is>
          <t>893525027</t>
        </is>
      </c>
    </row>
    <row r="1387">
      <c r="A1387" t="inlineStr">
        <is>
          <t>No</t>
        </is>
      </c>
      <c r="B1387" t="inlineStr">
        <is>
          <t>DG811 .G83</t>
        </is>
      </c>
      <c r="C1387" t="inlineStr">
        <is>
          <t>0                      DG 0811000G  83</t>
        </is>
      </c>
      <c r="D1387" t="inlineStr">
        <is>
          <t>History of the city of Rome in the middle ages, by Ferdinand Gregorovius; tr. from the 4th German ed. by Anne Hamilton.</t>
        </is>
      </c>
      <c r="E1387" t="inlineStr">
        <is>
          <t>V.5 PT.1</t>
        </is>
      </c>
      <c r="F1387" t="inlineStr">
        <is>
          <t>Yes</t>
        </is>
      </c>
      <c r="G1387" t="inlineStr">
        <is>
          <t>1</t>
        </is>
      </c>
      <c r="H1387" t="inlineStr">
        <is>
          <t>No</t>
        </is>
      </c>
      <c r="I1387" t="inlineStr">
        <is>
          <t>No</t>
        </is>
      </c>
      <c r="J1387" t="inlineStr">
        <is>
          <t>0</t>
        </is>
      </c>
      <c r="K1387" t="inlineStr">
        <is>
          <t>Gregorovius, Ferdinand, 1821-1891.</t>
        </is>
      </c>
      <c r="L1387" t="inlineStr">
        <is>
          <t>London, G. Bell &amp; sons, 1896-1905.</t>
        </is>
      </c>
      <c r="M1387" t="inlineStr">
        <is>
          <t>1896</t>
        </is>
      </c>
      <c r="O1387" t="inlineStr">
        <is>
          <t>eng</t>
        </is>
      </c>
      <c r="P1387" t="inlineStr">
        <is>
          <t>enk</t>
        </is>
      </c>
      <c r="R1387" t="inlineStr">
        <is>
          <t xml:space="preserve">DG </t>
        </is>
      </c>
      <c r="S1387" t="n">
        <v>0</v>
      </c>
      <c r="T1387" t="n">
        <v>2</v>
      </c>
      <c r="V1387" t="inlineStr">
        <is>
          <t>1992-05-13</t>
        </is>
      </c>
      <c r="W1387" t="inlineStr">
        <is>
          <t>1997-02-24</t>
        </is>
      </c>
      <c r="X1387" t="inlineStr">
        <is>
          <t>1997-02-24</t>
        </is>
      </c>
      <c r="Y1387" t="n">
        <v>145</v>
      </c>
      <c r="Z1387" t="n">
        <v>140</v>
      </c>
      <c r="AA1387" t="n">
        <v>417</v>
      </c>
      <c r="AB1387" t="n">
        <v>1</v>
      </c>
      <c r="AC1387" t="n">
        <v>2</v>
      </c>
      <c r="AD1387" t="n">
        <v>10</v>
      </c>
      <c r="AE1387" t="n">
        <v>19</v>
      </c>
      <c r="AF1387" t="n">
        <v>2</v>
      </c>
      <c r="AG1387" t="n">
        <v>5</v>
      </c>
      <c r="AH1387" t="n">
        <v>1</v>
      </c>
      <c r="AI1387" t="n">
        <v>2</v>
      </c>
      <c r="AJ1387" t="n">
        <v>10</v>
      </c>
      <c r="AK1387" t="n">
        <v>15</v>
      </c>
      <c r="AL1387" t="n">
        <v>0</v>
      </c>
      <c r="AM1387" t="n">
        <v>1</v>
      </c>
      <c r="AN1387" t="n">
        <v>0</v>
      </c>
      <c r="AO1387" t="n">
        <v>0</v>
      </c>
      <c r="AP1387" t="inlineStr">
        <is>
          <t>Yes</t>
        </is>
      </c>
      <c r="AQ1387" t="inlineStr">
        <is>
          <t>No</t>
        </is>
      </c>
      <c r="AR1387">
        <f>HYPERLINK("http://catalog.hathitrust.org/Record/010251476","HathiTrust Record")</f>
        <v/>
      </c>
      <c r="AS1387">
        <f>HYPERLINK("https://creighton-primo.hosted.exlibrisgroup.com/primo-explore/search?tab=default_tab&amp;search_scope=EVERYTHING&amp;vid=01CRU&amp;lang=en_US&amp;offset=0&amp;query=any,contains,991001238929702656","Catalog Record")</f>
        <v/>
      </c>
      <c r="AT1387">
        <f>HYPERLINK("http://www.worldcat.org/oclc/17589615","WorldCat Record")</f>
        <v/>
      </c>
      <c r="AU1387" t="inlineStr">
        <is>
          <t>4146110649:eng</t>
        </is>
      </c>
      <c r="AV1387" t="inlineStr">
        <is>
          <t>17589615</t>
        </is>
      </c>
      <c r="AW1387" t="inlineStr">
        <is>
          <t>991001238929702656</t>
        </is>
      </c>
      <c r="AX1387" t="inlineStr">
        <is>
          <t>991001238929702656</t>
        </is>
      </c>
      <c r="AY1387" t="inlineStr">
        <is>
          <t>2258051320002656</t>
        </is>
      </c>
      <c r="AZ1387" t="inlineStr">
        <is>
          <t>BOOK</t>
        </is>
      </c>
      <c r="BC1387" t="inlineStr">
        <is>
          <t>32285002469384</t>
        </is>
      </c>
      <c r="BD1387" t="inlineStr">
        <is>
          <t>893891423</t>
        </is>
      </c>
    </row>
    <row r="1388">
      <c r="A1388" t="inlineStr">
        <is>
          <t>No</t>
        </is>
      </c>
      <c r="B1388" t="inlineStr">
        <is>
          <t>DG811 .G83</t>
        </is>
      </c>
      <c r="C1388" t="inlineStr">
        <is>
          <t>0                      DG 0811000G  83</t>
        </is>
      </c>
      <c r="D1388" t="inlineStr">
        <is>
          <t>History of the city of Rome in the middle ages, by Ferdinand Gregorovius; tr. from the 4th German ed. by Anne Hamilton.</t>
        </is>
      </c>
      <c r="E1388" t="inlineStr">
        <is>
          <t>V.5 PT.2</t>
        </is>
      </c>
      <c r="F1388" t="inlineStr">
        <is>
          <t>Yes</t>
        </is>
      </c>
      <c r="G1388" t="inlineStr">
        <is>
          <t>1</t>
        </is>
      </c>
      <c r="H1388" t="inlineStr">
        <is>
          <t>No</t>
        </is>
      </c>
      <c r="I1388" t="inlineStr">
        <is>
          <t>No</t>
        </is>
      </c>
      <c r="J1388" t="inlineStr">
        <is>
          <t>0</t>
        </is>
      </c>
      <c r="K1388" t="inlineStr">
        <is>
          <t>Gregorovius, Ferdinand, 1821-1891.</t>
        </is>
      </c>
      <c r="L1388" t="inlineStr">
        <is>
          <t>London, G. Bell &amp; sons, 1896-1905.</t>
        </is>
      </c>
      <c r="M1388" t="inlineStr">
        <is>
          <t>1896</t>
        </is>
      </c>
      <c r="O1388" t="inlineStr">
        <is>
          <t>eng</t>
        </is>
      </c>
      <c r="P1388" t="inlineStr">
        <is>
          <t>enk</t>
        </is>
      </c>
      <c r="R1388" t="inlineStr">
        <is>
          <t xml:space="preserve">DG </t>
        </is>
      </c>
      <c r="S1388" t="n">
        <v>0</v>
      </c>
      <c r="T1388" t="n">
        <v>2</v>
      </c>
      <c r="V1388" t="inlineStr">
        <is>
          <t>1992-05-13</t>
        </is>
      </c>
      <c r="W1388" t="inlineStr">
        <is>
          <t>1997-02-24</t>
        </is>
      </c>
      <c r="X1388" t="inlineStr">
        <is>
          <t>1997-02-24</t>
        </is>
      </c>
      <c r="Y1388" t="n">
        <v>145</v>
      </c>
      <c r="Z1388" t="n">
        <v>140</v>
      </c>
      <c r="AA1388" t="n">
        <v>417</v>
      </c>
      <c r="AB1388" t="n">
        <v>1</v>
      </c>
      <c r="AC1388" t="n">
        <v>2</v>
      </c>
      <c r="AD1388" t="n">
        <v>10</v>
      </c>
      <c r="AE1388" t="n">
        <v>19</v>
      </c>
      <c r="AF1388" t="n">
        <v>2</v>
      </c>
      <c r="AG1388" t="n">
        <v>5</v>
      </c>
      <c r="AH1388" t="n">
        <v>1</v>
      </c>
      <c r="AI1388" t="n">
        <v>2</v>
      </c>
      <c r="AJ1388" t="n">
        <v>10</v>
      </c>
      <c r="AK1388" t="n">
        <v>15</v>
      </c>
      <c r="AL1388" t="n">
        <v>0</v>
      </c>
      <c r="AM1388" t="n">
        <v>1</v>
      </c>
      <c r="AN1388" t="n">
        <v>0</v>
      </c>
      <c r="AO1388" t="n">
        <v>0</v>
      </c>
      <c r="AP1388" t="inlineStr">
        <is>
          <t>Yes</t>
        </is>
      </c>
      <c r="AQ1388" t="inlineStr">
        <is>
          <t>No</t>
        </is>
      </c>
      <c r="AR1388">
        <f>HYPERLINK("http://catalog.hathitrust.org/Record/010251476","HathiTrust Record")</f>
        <v/>
      </c>
      <c r="AS1388">
        <f>HYPERLINK("https://creighton-primo.hosted.exlibrisgroup.com/primo-explore/search?tab=default_tab&amp;search_scope=EVERYTHING&amp;vid=01CRU&amp;lang=en_US&amp;offset=0&amp;query=any,contains,991001238929702656","Catalog Record")</f>
        <v/>
      </c>
      <c r="AT1388">
        <f>HYPERLINK("http://www.worldcat.org/oclc/17589615","WorldCat Record")</f>
        <v/>
      </c>
      <c r="AU1388" t="inlineStr">
        <is>
          <t>4146110649:eng</t>
        </is>
      </c>
      <c r="AV1388" t="inlineStr">
        <is>
          <t>17589615</t>
        </is>
      </c>
      <c r="AW1388" t="inlineStr">
        <is>
          <t>991001238929702656</t>
        </is>
      </c>
      <c r="AX1388" t="inlineStr">
        <is>
          <t>991001238929702656</t>
        </is>
      </c>
      <c r="AY1388" t="inlineStr">
        <is>
          <t>2258051320002656</t>
        </is>
      </c>
      <c r="AZ1388" t="inlineStr">
        <is>
          <t>BOOK</t>
        </is>
      </c>
      <c r="BC1388" t="inlineStr">
        <is>
          <t>32285002469392</t>
        </is>
      </c>
      <c r="BD1388" t="inlineStr">
        <is>
          <t>893885162</t>
        </is>
      </c>
    </row>
    <row r="1389">
      <c r="A1389" t="inlineStr">
        <is>
          <t>No</t>
        </is>
      </c>
      <c r="B1389" t="inlineStr">
        <is>
          <t>DG811 .G83</t>
        </is>
      </c>
      <c r="C1389" t="inlineStr">
        <is>
          <t>0                      DG 0811000G  83</t>
        </is>
      </c>
      <c r="D1389" t="inlineStr">
        <is>
          <t>History of the city of Rome in the middle ages, by Ferdinand Gregorovius; tr. from the 4th German ed. by Anne Hamilton.</t>
        </is>
      </c>
      <c r="E1389" t="inlineStr">
        <is>
          <t>V.2</t>
        </is>
      </c>
      <c r="F1389" t="inlineStr">
        <is>
          <t>Yes</t>
        </is>
      </c>
      <c r="G1389" t="inlineStr">
        <is>
          <t>1</t>
        </is>
      </c>
      <c r="H1389" t="inlineStr">
        <is>
          <t>No</t>
        </is>
      </c>
      <c r="I1389" t="inlineStr">
        <is>
          <t>No</t>
        </is>
      </c>
      <c r="J1389" t="inlineStr">
        <is>
          <t>0</t>
        </is>
      </c>
      <c r="K1389" t="inlineStr">
        <is>
          <t>Gregorovius, Ferdinand, 1821-1891.</t>
        </is>
      </c>
      <c r="L1389" t="inlineStr">
        <is>
          <t>London, G. Bell &amp; sons, 1896-1905.</t>
        </is>
      </c>
      <c r="M1389" t="inlineStr">
        <is>
          <t>1896</t>
        </is>
      </c>
      <c r="O1389" t="inlineStr">
        <is>
          <t>eng</t>
        </is>
      </c>
      <c r="P1389" t="inlineStr">
        <is>
          <t>enk</t>
        </is>
      </c>
      <c r="R1389" t="inlineStr">
        <is>
          <t xml:space="preserve">DG </t>
        </is>
      </c>
      <c r="S1389" t="n">
        <v>0</v>
      </c>
      <c r="T1389" t="n">
        <v>2</v>
      </c>
      <c r="V1389" t="inlineStr">
        <is>
          <t>1992-05-13</t>
        </is>
      </c>
      <c r="W1389" t="inlineStr">
        <is>
          <t>1997-02-24</t>
        </is>
      </c>
      <c r="X1389" t="inlineStr">
        <is>
          <t>1997-02-24</t>
        </is>
      </c>
      <c r="Y1389" t="n">
        <v>145</v>
      </c>
      <c r="Z1389" t="n">
        <v>140</v>
      </c>
      <c r="AA1389" t="n">
        <v>417</v>
      </c>
      <c r="AB1389" t="n">
        <v>1</v>
      </c>
      <c r="AC1389" t="n">
        <v>2</v>
      </c>
      <c r="AD1389" t="n">
        <v>10</v>
      </c>
      <c r="AE1389" t="n">
        <v>19</v>
      </c>
      <c r="AF1389" t="n">
        <v>2</v>
      </c>
      <c r="AG1389" t="n">
        <v>5</v>
      </c>
      <c r="AH1389" t="n">
        <v>1</v>
      </c>
      <c r="AI1389" t="n">
        <v>2</v>
      </c>
      <c r="AJ1389" t="n">
        <v>10</v>
      </c>
      <c r="AK1389" t="n">
        <v>15</v>
      </c>
      <c r="AL1389" t="n">
        <v>0</v>
      </c>
      <c r="AM1389" t="n">
        <v>1</v>
      </c>
      <c r="AN1389" t="n">
        <v>0</v>
      </c>
      <c r="AO1389" t="n">
        <v>0</v>
      </c>
      <c r="AP1389" t="inlineStr">
        <is>
          <t>Yes</t>
        </is>
      </c>
      <c r="AQ1389" t="inlineStr">
        <is>
          <t>No</t>
        </is>
      </c>
      <c r="AR1389">
        <f>HYPERLINK("http://catalog.hathitrust.org/Record/010251476","HathiTrust Record")</f>
        <v/>
      </c>
      <c r="AS1389">
        <f>HYPERLINK("https://creighton-primo.hosted.exlibrisgroup.com/primo-explore/search?tab=default_tab&amp;search_scope=EVERYTHING&amp;vid=01CRU&amp;lang=en_US&amp;offset=0&amp;query=any,contains,991001238929702656","Catalog Record")</f>
        <v/>
      </c>
      <c r="AT1389">
        <f>HYPERLINK("http://www.worldcat.org/oclc/17589615","WorldCat Record")</f>
        <v/>
      </c>
      <c r="AU1389" t="inlineStr">
        <is>
          <t>4146110649:eng</t>
        </is>
      </c>
      <c r="AV1389" t="inlineStr">
        <is>
          <t>17589615</t>
        </is>
      </c>
      <c r="AW1389" t="inlineStr">
        <is>
          <t>991001238929702656</t>
        </is>
      </c>
      <c r="AX1389" t="inlineStr">
        <is>
          <t>991001238929702656</t>
        </is>
      </c>
      <c r="AY1389" t="inlineStr">
        <is>
          <t>2258051320002656</t>
        </is>
      </c>
      <c r="AZ1389" t="inlineStr">
        <is>
          <t>BOOK</t>
        </is>
      </c>
      <c r="BC1389" t="inlineStr">
        <is>
          <t>32285002469343</t>
        </is>
      </c>
      <c r="BD1389" t="inlineStr">
        <is>
          <t>893885163</t>
        </is>
      </c>
    </row>
    <row r="1390">
      <c r="A1390" t="inlineStr">
        <is>
          <t>No</t>
        </is>
      </c>
      <c r="B1390" t="inlineStr">
        <is>
          <t>DG811 .G83</t>
        </is>
      </c>
      <c r="C1390" t="inlineStr">
        <is>
          <t>0                      DG 0811000G  83</t>
        </is>
      </c>
      <c r="D1390" t="inlineStr">
        <is>
          <t>History of the city of Rome in the middle ages, by Ferdinand Gregorovius; tr. from the 4th German ed. by Anne Hamilton.</t>
        </is>
      </c>
      <c r="E1390" t="inlineStr">
        <is>
          <t>V.8 PT.1</t>
        </is>
      </c>
      <c r="F1390" t="inlineStr">
        <is>
          <t>Yes</t>
        </is>
      </c>
      <c r="G1390" t="inlineStr">
        <is>
          <t>1</t>
        </is>
      </c>
      <c r="H1390" t="inlineStr">
        <is>
          <t>No</t>
        </is>
      </c>
      <c r="I1390" t="inlineStr">
        <is>
          <t>No</t>
        </is>
      </c>
      <c r="J1390" t="inlineStr">
        <is>
          <t>0</t>
        </is>
      </c>
      <c r="K1390" t="inlineStr">
        <is>
          <t>Gregorovius, Ferdinand, 1821-1891.</t>
        </is>
      </c>
      <c r="L1390" t="inlineStr">
        <is>
          <t>London, G. Bell &amp; sons, 1896-1905.</t>
        </is>
      </c>
      <c r="M1390" t="inlineStr">
        <is>
          <t>1896</t>
        </is>
      </c>
      <c r="O1390" t="inlineStr">
        <is>
          <t>eng</t>
        </is>
      </c>
      <c r="P1390" t="inlineStr">
        <is>
          <t>enk</t>
        </is>
      </c>
      <c r="R1390" t="inlineStr">
        <is>
          <t xml:space="preserve">DG </t>
        </is>
      </c>
      <c r="S1390" t="n">
        <v>0</v>
      </c>
      <c r="T1390" t="n">
        <v>2</v>
      </c>
      <c r="V1390" t="inlineStr">
        <is>
          <t>1992-05-13</t>
        </is>
      </c>
      <c r="W1390" t="inlineStr">
        <is>
          <t>1997-02-24</t>
        </is>
      </c>
      <c r="X1390" t="inlineStr">
        <is>
          <t>1997-02-24</t>
        </is>
      </c>
      <c r="Y1390" t="n">
        <v>145</v>
      </c>
      <c r="Z1390" t="n">
        <v>140</v>
      </c>
      <c r="AA1390" t="n">
        <v>417</v>
      </c>
      <c r="AB1390" t="n">
        <v>1</v>
      </c>
      <c r="AC1390" t="n">
        <v>2</v>
      </c>
      <c r="AD1390" t="n">
        <v>10</v>
      </c>
      <c r="AE1390" t="n">
        <v>19</v>
      </c>
      <c r="AF1390" t="n">
        <v>2</v>
      </c>
      <c r="AG1390" t="n">
        <v>5</v>
      </c>
      <c r="AH1390" t="n">
        <v>1</v>
      </c>
      <c r="AI1390" t="n">
        <v>2</v>
      </c>
      <c r="AJ1390" t="n">
        <v>10</v>
      </c>
      <c r="AK1390" t="n">
        <v>15</v>
      </c>
      <c r="AL1390" t="n">
        <v>0</v>
      </c>
      <c r="AM1390" t="n">
        <v>1</v>
      </c>
      <c r="AN1390" t="n">
        <v>0</v>
      </c>
      <c r="AO1390" t="n">
        <v>0</v>
      </c>
      <c r="AP1390" t="inlineStr">
        <is>
          <t>Yes</t>
        </is>
      </c>
      <c r="AQ1390" t="inlineStr">
        <is>
          <t>No</t>
        </is>
      </c>
      <c r="AR1390">
        <f>HYPERLINK("http://catalog.hathitrust.org/Record/010251476","HathiTrust Record")</f>
        <v/>
      </c>
      <c r="AS1390">
        <f>HYPERLINK("https://creighton-primo.hosted.exlibrisgroup.com/primo-explore/search?tab=default_tab&amp;search_scope=EVERYTHING&amp;vid=01CRU&amp;lang=en_US&amp;offset=0&amp;query=any,contains,991001238929702656","Catalog Record")</f>
        <v/>
      </c>
      <c r="AT1390">
        <f>HYPERLINK("http://www.worldcat.org/oclc/17589615","WorldCat Record")</f>
        <v/>
      </c>
      <c r="AU1390" t="inlineStr">
        <is>
          <t>4146110649:eng</t>
        </is>
      </c>
      <c r="AV1390" t="inlineStr">
        <is>
          <t>17589615</t>
        </is>
      </c>
      <c r="AW1390" t="inlineStr">
        <is>
          <t>991001238929702656</t>
        </is>
      </c>
      <c r="AX1390" t="inlineStr">
        <is>
          <t>991001238929702656</t>
        </is>
      </c>
      <c r="AY1390" t="inlineStr">
        <is>
          <t>2258051320002656</t>
        </is>
      </c>
      <c r="AZ1390" t="inlineStr">
        <is>
          <t>BOOK</t>
        </is>
      </c>
      <c r="BC1390" t="inlineStr">
        <is>
          <t>32285002469442</t>
        </is>
      </c>
      <c r="BD1390" t="inlineStr">
        <is>
          <t>893866074</t>
        </is>
      </c>
    </row>
    <row r="1391">
      <c r="A1391" t="inlineStr">
        <is>
          <t>No</t>
        </is>
      </c>
      <c r="B1391" t="inlineStr">
        <is>
          <t>DG811 .G83</t>
        </is>
      </c>
      <c r="C1391" t="inlineStr">
        <is>
          <t>0                      DG 0811000G  83</t>
        </is>
      </c>
      <c r="D1391" t="inlineStr">
        <is>
          <t>History of the city of Rome in the middle ages, by Ferdinand Gregorovius; tr. from the 4th German ed. by Anne Hamilton.</t>
        </is>
      </c>
      <c r="E1391" t="inlineStr">
        <is>
          <t>V.7 PT.1</t>
        </is>
      </c>
      <c r="F1391" t="inlineStr">
        <is>
          <t>Yes</t>
        </is>
      </c>
      <c r="G1391" t="inlineStr">
        <is>
          <t>1</t>
        </is>
      </c>
      <c r="H1391" t="inlineStr">
        <is>
          <t>No</t>
        </is>
      </c>
      <c r="I1391" t="inlineStr">
        <is>
          <t>No</t>
        </is>
      </c>
      <c r="J1391" t="inlineStr">
        <is>
          <t>0</t>
        </is>
      </c>
      <c r="K1391" t="inlineStr">
        <is>
          <t>Gregorovius, Ferdinand, 1821-1891.</t>
        </is>
      </c>
      <c r="L1391" t="inlineStr">
        <is>
          <t>London, G. Bell &amp; sons, 1896-1905.</t>
        </is>
      </c>
      <c r="M1391" t="inlineStr">
        <is>
          <t>1896</t>
        </is>
      </c>
      <c r="O1391" t="inlineStr">
        <is>
          <t>eng</t>
        </is>
      </c>
      <c r="P1391" t="inlineStr">
        <is>
          <t>enk</t>
        </is>
      </c>
      <c r="R1391" t="inlineStr">
        <is>
          <t xml:space="preserve">DG </t>
        </is>
      </c>
      <c r="S1391" t="n">
        <v>0</v>
      </c>
      <c r="T1391" t="n">
        <v>2</v>
      </c>
      <c r="V1391" t="inlineStr">
        <is>
          <t>1992-05-13</t>
        </is>
      </c>
      <c r="W1391" t="inlineStr">
        <is>
          <t>1997-02-24</t>
        </is>
      </c>
      <c r="X1391" t="inlineStr">
        <is>
          <t>1997-02-24</t>
        </is>
      </c>
      <c r="Y1391" t="n">
        <v>145</v>
      </c>
      <c r="Z1391" t="n">
        <v>140</v>
      </c>
      <c r="AA1391" t="n">
        <v>417</v>
      </c>
      <c r="AB1391" t="n">
        <v>1</v>
      </c>
      <c r="AC1391" t="n">
        <v>2</v>
      </c>
      <c r="AD1391" t="n">
        <v>10</v>
      </c>
      <c r="AE1391" t="n">
        <v>19</v>
      </c>
      <c r="AF1391" t="n">
        <v>2</v>
      </c>
      <c r="AG1391" t="n">
        <v>5</v>
      </c>
      <c r="AH1391" t="n">
        <v>1</v>
      </c>
      <c r="AI1391" t="n">
        <v>2</v>
      </c>
      <c r="AJ1391" t="n">
        <v>10</v>
      </c>
      <c r="AK1391" t="n">
        <v>15</v>
      </c>
      <c r="AL1391" t="n">
        <v>0</v>
      </c>
      <c r="AM1391" t="n">
        <v>1</v>
      </c>
      <c r="AN1391" t="n">
        <v>0</v>
      </c>
      <c r="AO1391" t="n">
        <v>0</v>
      </c>
      <c r="AP1391" t="inlineStr">
        <is>
          <t>Yes</t>
        </is>
      </c>
      <c r="AQ1391" t="inlineStr">
        <is>
          <t>No</t>
        </is>
      </c>
      <c r="AR1391">
        <f>HYPERLINK("http://catalog.hathitrust.org/Record/010251476","HathiTrust Record")</f>
        <v/>
      </c>
      <c r="AS1391">
        <f>HYPERLINK("https://creighton-primo.hosted.exlibrisgroup.com/primo-explore/search?tab=default_tab&amp;search_scope=EVERYTHING&amp;vid=01CRU&amp;lang=en_US&amp;offset=0&amp;query=any,contains,991001238929702656","Catalog Record")</f>
        <v/>
      </c>
      <c r="AT1391">
        <f>HYPERLINK("http://www.worldcat.org/oclc/17589615","WorldCat Record")</f>
        <v/>
      </c>
      <c r="AU1391" t="inlineStr">
        <is>
          <t>4146110649:eng</t>
        </is>
      </c>
      <c r="AV1391" t="inlineStr">
        <is>
          <t>17589615</t>
        </is>
      </c>
      <c r="AW1391" t="inlineStr">
        <is>
          <t>991001238929702656</t>
        </is>
      </c>
      <c r="AX1391" t="inlineStr">
        <is>
          <t>991001238929702656</t>
        </is>
      </c>
      <c r="AY1391" t="inlineStr">
        <is>
          <t>2258051320002656</t>
        </is>
      </c>
      <c r="AZ1391" t="inlineStr">
        <is>
          <t>BOOK</t>
        </is>
      </c>
      <c r="BC1391" t="inlineStr">
        <is>
          <t>32285002469426</t>
        </is>
      </c>
      <c r="BD1391" t="inlineStr">
        <is>
          <t>893885161</t>
        </is>
      </c>
    </row>
    <row r="1392">
      <c r="A1392" t="inlineStr">
        <is>
          <t>No</t>
        </is>
      </c>
      <c r="B1392" t="inlineStr">
        <is>
          <t>DG811 .G83</t>
        </is>
      </c>
      <c r="C1392" t="inlineStr">
        <is>
          <t>0                      DG 0811000G  83</t>
        </is>
      </c>
      <c r="D1392" t="inlineStr">
        <is>
          <t>History of the city of Rome in the middle ages, by Ferdinand Gregorovius; tr. from the 4th German ed. by Anne Hamilton.</t>
        </is>
      </c>
      <c r="E1392" t="inlineStr">
        <is>
          <t>V.3</t>
        </is>
      </c>
      <c r="F1392" t="inlineStr">
        <is>
          <t>Yes</t>
        </is>
      </c>
      <c r="G1392" t="inlineStr">
        <is>
          <t>1</t>
        </is>
      </c>
      <c r="H1392" t="inlineStr">
        <is>
          <t>No</t>
        </is>
      </c>
      <c r="I1392" t="inlineStr">
        <is>
          <t>No</t>
        </is>
      </c>
      <c r="J1392" t="inlineStr">
        <is>
          <t>0</t>
        </is>
      </c>
      <c r="K1392" t="inlineStr">
        <is>
          <t>Gregorovius, Ferdinand, 1821-1891.</t>
        </is>
      </c>
      <c r="L1392" t="inlineStr">
        <is>
          <t>London, G. Bell &amp; sons, 1896-1905.</t>
        </is>
      </c>
      <c r="M1392" t="inlineStr">
        <is>
          <t>1896</t>
        </is>
      </c>
      <c r="O1392" t="inlineStr">
        <is>
          <t>eng</t>
        </is>
      </c>
      <c r="P1392" t="inlineStr">
        <is>
          <t>enk</t>
        </is>
      </c>
      <c r="R1392" t="inlineStr">
        <is>
          <t xml:space="preserve">DG </t>
        </is>
      </c>
      <c r="S1392" t="n">
        <v>0</v>
      </c>
      <c r="T1392" t="n">
        <v>2</v>
      </c>
      <c r="V1392" t="inlineStr">
        <is>
          <t>1992-05-13</t>
        </is>
      </c>
      <c r="W1392" t="inlineStr">
        <is>
          <t>1997-02-24</t>
        </is>
      </c>
      <c r="X1392" t="inlineStr">
        <is>
          <t>1997-02-24</t>
        </is>
      </c>
      <c r="Y1392" t="n">
        <v>145</v>
      </c>
      <c r="Z1392" t="n">
        <v>140</v>
      </c>
      <c r="AA1392" t="n">
        <v>417</v>
      </c>
      <c r="AB1392" t="n">
        <v>1</v>
      </c>
      <c r="AC1392" t="n">
        <v>2</v>
      </c>
      <c r="AD1392" t="n">
        <v>10</v>
      </c>
      <c r="AE1392" t="n">
        <v>19</v>
      </c>
      <c r="AF1392" t="n">
        <v>2</v>
      </c>
      <c r="AG1392" t="n">
        <v>5</v>
      </c>
      <c r="AH1392" t="n">
        <v>1</v>
      </c>
      <c r="AI1392" t="n">
        <v>2</v>
      </c>
      <c r="AJ1392" t="n">
        <v>10</v>
      </c>
      <c r="AK1392" t="n">
        <v>15</v>
      </c>
      <c r="AL1392" t="n">
        <v>0</v>
      </c>
      <c r="AM1392" t="n">
        <v>1</v>
      </c>
      <c r="AN1392" t="n">
        <v>0</v>
      </c>
      <c r="AO1392" t="n">
        <v>0</v>
      </c>
      <c r="AP1392" t="inlineStr">
        <is>
          <t>Yes</t>
        </is>
      </c>
      <c r="AQ1392" t="inlineStr">
        <is>
          <t>No</t>
        </is>
      </c>
      <c r="AR1392">
        <f>HYPERLINK("http://catalog.hathitrust.org/Record/010251476","HathiTrust Record")</f>
        <v/>
      </c>
      <c r="AS1392">
        <f>HYPERLINK("https://creighton-primo.hosted.exlibrisgroup.com/primo-explore/search?tab=default_tab&amp;search_scope=EVERYTHING&amp;vid=01CRU&amp;lang=en_US&amp;offset=0&amp;query=any,contains,991001238929702656","Catalog Record")</f>
        <v/>
      </c>
      <c r="AT1392">
        <f>HYPERLINK("http://www.worldcat.org/oclc/17589615","WorldCat Record")</f>
        <v/>
      </c>
      <c r="AU1392" t="inlineStr">
        <is>
          <t>4146110649:eng</t>
        </is>
      </c>
      <c r="AV1392" t="inlineStr">
        <is>
          <t>17589615</t>
        </is>
      </c>
      <c r="AW1392" t="inlineStr">
        <is>
          <t>991001238929702656</t>
        </is>
      </c>
      <c r="AX1392" t="inlineStr">
        <is>
          <t>991001238929702656</t>
        </is>
      </c>
      <c r="AY1392" t="inlineStr">
        <is>
          <t>2258051320002656</t>
        </is>
      </c>
      <c r="AZ1392" t="inlineStr">
        <is>
          <t>BOOK</t>
        </is>
      </c>
      <c r="BC1392" t="inlineStr">
        <is>
          <t>32285002469350</t>
        </is>
      </c>
      <c r="BD1392" t="inlineStr">
        <is>
          <t>893885164</t>
        </is>
      </c>
    </row>
    <row r="1393">
      <c r="A1393" t="inlineStr">
        <is>
          <t>No</t>
        </is>
      </c>
      <c r="B1393" t="inlineStr">
        <is>
          <t>DG811 .G83</t>
        </is>
      </c>
      <c r="C1393" t="inlineStr">
        <is>
          <t>0                      DG 0811000G  83</t>
        </is>
      </c>
      <c r="D1393" t="inlineStr">
        <is>
          <t>History of the city of Rome in the middle ages, by Ferdinand Gregorovius; tr. from the 4th German ed. by Anne Hamilton.</t>
        </is>
      </c>
      <c r="E1393" t="inlineStr">
        <is>
          <t>V.4 PT.2</t>
        </is>
      </c>
      <c r="F1393" t="inlineStr">
        <is>
          <t>Yes</t>
        </is>
      </c>
      <c r="G1393" t="inlineStr">
        <is>
          <t>1</t>
        </is>
      </c>
      <c r="H1393" t="inlineStr">
        <is>
          <t>No</t>
        </is>
      </c>
      <c r="I1393" t="inlineStr">
        <is>
          <t>No</t>
        </is>
      </c>
      <c r="J1393" t="inlineStr">
        <is>
          <t>0</t>
        </is>
      </c>
      <c r="K1393" t="inlineStr">
        <is>
          <t>Gregorovius, Ferdinand, 1821-1891.</t>
        </is>
      </c>
      <c r="L1393" t="inlineStr">
        <is>
          <t>London, G. Bell &amp; sons, 1896-1905.</t>
        </is>
      </c>
      <c r="M1393" t="inlineStr">
        <is>
          <t>1896</t>
        </is>
      </c>
      <c r="O1393" t="inlineStr">
        <is>
          <t>eng</t>
        </is>
      </c>
      <c r="P1393" t="inlineStr">
        <is>
          <t>enk</t>
        </is>
      </c>
      <c r="R1393" t="inlineStr">
        <is>
          <t xml:space="preserve">DG </t>
        </is>
      </c>
      <c r="S1393" t="n">
        <v>0</v>
      </c>
      <c r="T1393" t="n">
        <v>2</v>
      </c>
      <c r="V1393" t="inlineStr">
        <is>
          <t>1992-05-13</t>
        </is>
      </c>
      <c r="W1393" t="inlineStr">
        <is>
          <t>1997-02-24</t>
        </is>
      </c>
      <c r="X1393" t="inlineStr">
        <is>
          <t>1997-02-24</t>
        </is>
      </c>
      <c r="Y1393" t="n">
        <v>145</v>
      </c>
      <c r="Z1393" t="n">
        <v>140</v>
      </c>
      <c r="AA1393" t="n">
        <v>417</v>
      </c>
      <c r="AB1393" t="n">
        <v>1</v>
      </c>
      <c r="AC1393" t="n">
        <v>2</v>
      </c>
      <c r="AD1393" t="n">
        <v>10</v>
      </c>
      <c r="AE1393" t="n">
        <v>19</v>
      </c>
      <c r="AF1393" t="n">
        <v>2</v>
      </c>
      <c r="AG1393" t="n">
        <v>5</v>
      </c>
      <c r="AH1393" t="n">
        <v>1</v>
      </c>
      <c r="AI1393" t="n">
        <v>2</v>
      </c>
      <c r="AJ1393" t="n">
        <v>10</v>
      </c>
      <c r="AK1393" t="n">
        <v>15</v>
      </c>
      <c r="AL1393" t="n">
        <v>0</v>
      </c>
      <c r="AM1393" t="n">
        <v>1</v>
      </c>
      <c r="AN1393" t="n">
        <v>0</v>
      </c>
      <c r="AO1393" t="n">
        <v>0</v>
      </c>
      <c r="AP1393" t="inlineStr">
        <is>
          <t>Yes</t>
        </is>
      </c>
      <c r="AQ1393" t="inlineStr">
        <is>
          <t>No</t>
        </is>
      </c>
      <c r="AR1393">
        <f>HYPERLINK("http://catalog.hathitrust.org/Record/010251476","HathiTrust Record")</f>
        <v/>
      </c>
      <c r="AS1393">
        <f>HYPERLINK("https://creighton-primo.hosted.exlibrisgroup.com/primo-explore/search?tab=default_tab&amp;search_scope=EVERYTHING&amp;vid=01CRU&amp;lang=en_US&amp;offset=0&amp;query=any,contains,991001238929702656","Catalog Record")</f>
        <v/>
      </c>
      <c r="AT1393">
        <f>HYPERLINK("http://www.worldcat.org/oclc/17589615","WorldCat Record")</f>
        <v/>
      </c>
      <c r="AU1393" t="inlineStr">
        <is>
          <t>4146110649:eng</t>
        </is>
      </c>
      <c r="AV1393" t="inlineStr">
        <is>
          <t>17589615</t>
        </is>
      </c>
      <c r="AW1393" t="inlineStr">
        <is>
          <t>991001238929702656</t>
        </is>
      </c>
      <c r="AX1393" t="inlineStr">
        <is>
          <t>991001238929702656</t>
        </is>
      </c>
      <c r="AY1393" t="inlineStr">
        <is>
          <t>2258051320002656</t>
        </is>
      </c>
      <c r="AZ1393" t="inlineStr">
        <is>
          <t>BOOK</t>
        </is>
      </c>
      <c r="BC1393" t="inlineStr">
        <is>
          <t>32285002469376</t>
        </is>
      </c>
      <c r="BD1393" t="inlineStr">
        <is>
          <t>893878756</t>
        </is>
      </c>
    </row>
    <row r="1394">
      <c r="A1394" t="inlineStr">
        <is>
          <t>No</t>
        </is>
      </c>
      <c r="B1394" t="inlineStr">
        <is>
          <t>DG811 .G83</t>
        </is>
      </c>
      <c r="C1394" t="inlineStr">
        <is>
          <t>0                      DG 0811000G  83</t>
        </is>
      </c>
      <c r="D1394" t="inlineStr">
        <is>
          <t>History of the city of Rome in the middle ages, by Ferdinand Gregorovius; tr. from the 4th German ed. by Anne Hamilton.</t>
        </is>
      </c>
      <c r="E1394" t="inlineStr">
        <is>
          <t>V.1</t>
        </is>
      </c>
      <c r="F1394" t="inlineStr">
        <is>
          <t>Yes</t>
        </is>
      </c>
      <c r="G1394" t="inlineStr">
        <is>
          <t>1</t>
        </is>
      </c>
      <c r="H1394" t="inlineStr">
        <is>
          <t>No</t>
        </is>
      </c>
      <c r="I1394" t="inlineStr">
        <is>
          <t>No</t>
        </is>
      </c>
      <c r="J1394" t="inlineStr">
        <is>
          <t>0</t>
        </is>
      </c>
      <c r="K1394" t="inlineStr">
        <is>
          <t>Gregorovius, Ferdinand, 1821-1891.</t>
        </is>
      </c>
      <c r="L1394" t="inlineStr">
        <is>
          <t>London, G. Bell &amp; sons, 1896-1905.</t>
        </is>
      </c>
      <c r="M1394" t="inlineStr">
        <is>
          <t>1896</t>
        </is>
      </c>
      <c r="O1394" t="inlineStr">
        <is>
          <t>eng</t>
        </is>
      </c>
      <c r="P1394" t="inlineStr">
        <is>
          <t>enk</t>
        </is>
      </c>
      <c r="R1394" t="inlineStr">
        <is>
          <t xml:space="preserve">DG </t>
        </is>
      </c>
      <c r="S1394" t="n">
        <v>2</v>
      </c>
      <c r="T1394" t="n">
        <v>2</v>
      </c>
      <c r="U1394" t="inlineStr">
        <is>
          <t>1992-05-13</t>
        </is>
      </c>
      <c r="V1394" t="inlineStr">
        <is>
          <t>1992-05-13</t>
        </is>
      </c>
      <c r="W1394" t="inlineStr">
        <is>
          <t>1992-05-12</t>
        </is>
      </c>
      <c r="X1394" t="inlineStr">
        <is>
          <t>1997-02-24</t>
        </is>
      </c>
      <c r="Y1394" t="n">
        <v>145</v>
      </c>
      <c r="Z1394" t="n">
        <v>140</v>
      </c>
      <c r="AA1394" t="n">
        <v>417</v>
      </c>
      <c r="AB1394" t="n">
        <v>1</v>
      </c>
      <c r="AC1394" t="n">
        <v>2</v>
      </c>
      <c r="AD1394" t="n">
        <v>10</v>
      </c>
      <c r="AE1394" t="n">
        <v>19</v>
      </c>
      <c r="AF1394" t="n">
        <v>2</v>
      </c>
      <c r="AG1394" t="n">
        <v>5</v>
      </c>
      <c r="AH1394" t="n">
        <v>1</v>
      </c>
      <c r="AI1394" t="n">
        <v>2</v>
      </c>
      <c r="AJ1394" t="n">
        <v>10</v>
      </c>
      <c r="AK1394" t="n">
        <v>15</v>
      </c>
      <c r="AL1394" t="n">
        <v>0</v>
      </c>
      <c r="AM1394" t="n">
        <v>1</v>
      </c>
      <c r="AN1394" t="n">
        <v>0</v>
      </c>
      <c r="AO1394" t="n">
        <v>0</v>
      </c>
      <c r="AP1394" t="inlineStr">
        <is>
          <t>Yes</t>
        </is>
      </c>
      <c r="AQ1394" t="inlineStr">
        <is>
          <t>No</t>
        </is>
      </c>
      <c r="AR1394">
        <f>HYPERLINK("http://catalog.hathitrust.org/Record/010251476","HathiTrust Record")</f>
        <v/>
      </c>
      <c r="AS1394">
        <f>HYPERLINK("https://creighton-primo.hosted.exlibrisgroup.com/primo-explore/search?tab=default_tab&amp;search_scope=EVERYTHING&amp;vid=01CRU&amp;lang=en_US&amp;offset=0&amp;query=any,contains,991001238929702656","Catalog Record")</f>
        <v/>
      </c>
      <c r="AT1394">
        <f>HYPERLINK("http://www.worldcat.org/oclc/17589615","WorldCat Record")</f>
        <v/>
      </c>
      <c r="AU1394" t="inlineStr">
        <is>
          <t>4146110649:eng</t>
        </is>
      </c>
      <c r="AV1394" t="inlineStr">
        <is>
          <t>17589615</t>
        </is>
      </c>
      <c r="AW1394" t="inlineStr">
        <is>
          <t>991001238929702656</t>
        </is>
      </c>
      <c r="AX1394" t="inlineStr">
        <is>
          <t>991001238929702656</t>
        </is>
      </c>
      <c r="AY1394" t="inlineStr">
        <is>
          <t>2258051320002656</t>
        </is>
      </c>
      <c r="AZ1394" t="inlineStr">
        <is>
          <t>BOOK</t>
        </is>
      </c>
      <c r="BC1394" t="inlineStr">
        <is>
          <t>32285001097814</t>
        </is>
      </c>
      <c r="BD1394" t="inlineStr">
        <is>
          <t>893866076</t>
        </is>
      </c>
    </row>
    <row r="1395">
      <c r="A1395" t="inlineStr">
        <is>
          <t>No</t>
        </is>
      </c>
      <c r="B1395" t="inlineStr">
        <is>
          <t>DG811 .G83</t>
        </is>
      </c>
      <c r="C1395" t="inlineStr">
        <is>
          <t>0                      DG 0811000G  83</t>
        </is>
      </c>
      <c r="D1395" t="inlineStr">
        <is>
          <t>History of the city of Rome in the middle ages, by Ferdinand Gregorovius; tr. from the 4th German ed. by Anne Hamilton.</t>
        </is>
      </c>
      <c r="E1395" t="inlineStr">
        <is>
          <t>V.4 PT.1</t>
        </is>
      </c>
      <c r="F1395" t="inlineStr">
        <is>
          <t>Yes</t>
        </is>
      </c>
      <c r="G1395" t="inlineStr">
        <is>
          <t>1</t>
        </is>
      </c>
      <c r="H1395" t="inlineStr">
        <is>
          <t>No</t>
        </is>
      </c>
      <c r="I1395" t="inlineStr">
        <is>
          <t>No</t>
        </is>
      </c>
      <c r="J1395" t="inlineStr">
        <is>
          <t>0</t>
        </is>
      </c>
      <c r="K1395" t="inlineStr">
        <is>
          <t>Gregorovius, Ferdinand, 1821-1891.</t>
        </is>
      </c>
      <c r="L1395" t="inlineStr">
        <is>
          <t>London, G. Bell &amp; sons, 1896-1905.</t>
        </is>
      </c>
      <c r="M1395" t="inlineStr">
        <is>
          <t>1896</t>
        </is>
      </c>
      <c r="O1395" t="inlineStr">
        <is>
          <t>eng</t>
        </is>
      </c>
      <c r="P1395" t="inlineStr">
        <is>
          <t>enk</t>
        </is>
      </c>
      <c r="R1395" t="inlineStr">
        <is>
          <t xml:space="preserve">DG </t>
        </is>
      </c>
      <c r="S1395" t="n">
        <v>0</v>
      </c>
      <c r="T1395" t="n">
        <v>2</v>
      </c>
      <c r="V1395" t="inlineStr">
        <is>
          <t>1992-05-13</t>
        </is>
      </c>
      <c r="W1395" t="inlineStr">
        <is>
          <t>1997-02-24</t>
        </is>
      </c>
      <c r="X1395" t="inlineStr">
        <is>
          <t>1997-02-24</t>
        </is>
      </c>
      <c r="Y1395" t="n">
        <v>145</v>
      </c>
      <c r="Z1395" t="n">
        <v>140</v>
      </c>
      <c r="AA1395" t="n">
        <v>417</v>
      </c>
      <c r="AB1395" t="n">
        <v>1</v>
      </c>
      <c r="AC1395" t="n">
        <v>2</v>
      </c>
      <c r="AD1395" t="n">
        <v>10</v>
      </c>
      <c r="AE1395" t="n">
        <v>19</v>
      </c>
      <c r="AF1395" t="n">
        <v>2</v>
      </c>
      <c r="AG1395" t="n">
        <v>5</v>
      </c>
      <c r="AH1395" t="n">
        <v>1</v>
      </c>
      <c r="AI1395" t="n">
        <v>2</v>
      </c>
      <c r="AJ1395" t="n">
        <v>10</v>
      </c>
      <c r="AK1395" t="n">
        <v>15</v>
      </c>
      <c r="AL1395" t="n">
        <v>0</v>
      </c>
      <c r="AM1395" t="n">
        <v>1</v>
      </c>
      <c r="AN1395" t="n">
        <v>0</v>
      </c>
      <c r="AO1395" t="n">
        <v>0</v>
      </c>
      <c r="AP1395" t="inlineStr">
        <is>
          <t>Yes</t>
        </is>
      </c>
      <c r="AQ1395" t="inlineStr">
        <is>
          <t>No</t>
        </is>
      </c>
      <c r="AR1395">
        <f>HYPERLINK("http://catalog.hathitrust.org/Record/010251476","HathiTrust Record")</f>
        <v/>
      </c>
      <c r="AS1395">
        <f>HYPERLINK("https://creighton-primo.hosted.exlibrisgroup.com/primo-explore/search?tab=default_tab&amp;search_scope=EVERYTHING&amp;vid=01CRU&amp;lang=en_US&amp;offset=0&amp;query=any,contains,991001238929702656","Catalog Record")</f>
        <v/>
      </c>
      <c r="AT1395">
        <f>HYPERLINK("http://www.worldcat.org/oclc/17589615","WorldCat Record")</f>
        <v/>
      </c>
      <c r="AU1395" t="inlineStr">
        <is>
          <t>4146110649:eng</t>
        </is>
      </c>
      <c r="AV1395" t="inlineStr">
        <is>
          <t>17589615</t>
        </is>
      </c>
      <c r="AW1395" t="inlineStr">
        <is>
          <t>991001238929702656</t>
        </is>
      </c>
      <c r="AX1395" t="inlineStr">
        <is>
          <t>991001238929702656</t>
        </is>
      </c>
      <c r="AY1395" t="inlineStr">
        <is>
          <t>2258051320002656</t>
        </is>
      </c>
      <c r="AZ1395" t="inlineStr">
        <is>
          <t>BOOK</t>
        </is>
      </c>
      <c r="BC1395" t="inlineStr">
        <is>
          <t>32285002469368</t>
        </is>
      </c>
      <c r="BD1395" t="inlineStr">
        <is>
          <t>893885167</t>
        </is>
      </c>
    </row>
    <row r="1396">
      <c r="A1396" t="inlineStr">
        <is>
          <t>No</t>
        </is>
      </c>
      <c r="B1396" t="inlineStr">
        <is>
          <t>DG811 .G83</t>
        </is>
      </c>
      <c r="C1396" t="inlineStr">
        <is>
          <t>0                      DG 0811000G  83</t>
        </is>
      </c>
      <c r="D1396" t="inlineStr">
        <is>
          <t>History of the city of Rome in the middle ages, by Ferdinand Gregorovius; tr. from the 4th German ed. by Anne Hamilton.</t>
        </is>
      </c>
      <c r="E1396" t="inlineStr">
        <is>
          <t>V.6 PT.2</t>
        </is>
      </c>
      <c r="F1396" t="inlineStr">
        <is>
          <t>Yes</t>
        </is>
      </c>
      <c r="G1396" t="inlineStr">
        <is>
          <t>1</t>
        </is>
      </c>
      <c r="H1396" t="inlineStr">
        <is>
          <t>No</t>
        </is>
      </c>
      <c r="I1396" t="inlineStr">
        <is>
          <t>No</t>
        </is>
      </c>
      <c r="J1396" t="inlineStr">
        <is>
          <t>0</t>
        </is>
      </c>
      <c r="K1396" t="inlineStr">
        <is>
          <t>Gregorovius, Ferdinand, 1821-1891.</t>
        </is>
      </c>
      <c r="L1396" t="inlineStr">
        <is>
          <t>London, G. Bell &amp; sons, 1896-1905.</t>
        </is>
      </c>
      <c r="M1396" t="inlineStr">
        <is>
          <t>1896</t>
        </is>
      </c>
      <c r="O1396" t="inlineStr">
        <is>
          <t>eng</t>
        </is>
      </c>
      <c r="P1396" t="inlineStr">
        <is>
          <t>enk</t>
        </is>
      </c>
      <c r="R1396" t="inlineStr">
        <is>
          <t xml:space="preserve">DG </t>
        </is>
      </c>
      <c r="S1396" t="n">
        <v>0</v>
      </c>
      <c r="T1396" t="n">
        <v>2</v>
      </c>
      <c r="V1396" t="inlineStr">
        <is>
          <t>1992-05-13</t>
        </is>
      </c>
      <c r="W1396" t="inlineStr">
        <is>
          <t>1997-02-24</t>
        </is>
      </c>
      <c r="X1396" t="inlineStr">
        <is>
          <t>1997-02-24</t>
        </is>
      </c>
      <c r="Y1396" t="n">
        <v>145</v>
      </c>
      <c r="Z1396" t="n">
        <v>140</v>
      </c>
      <c r="AA1396" t="n">
        <v>417</v>
      </c>
      <c r="AB1396" t="n">
        <v>1</v>
      </c>
      <c r="AC1396" t="n">
        <v>2</v>
      </c>
      <c r="AD1396" t="n">
        <v>10</v>
      </c>
      <c r="AE1396" t="n">
        <v>19</v>
      </c>
      <c r="AF1396" t="n">
        <v>2</v>
      </c>
      <c r="AG1396" t="n">
        <v>5</v>
      </c>
      <c r="AH1396" t="n">
        <v>1</v>
      </c>
      <c r="AI1396" t="n">
        <v>2</v>
      </c>
      <c r="AJ1396" t="n">
        <v>10</v>
      </c>
      <c r="AK1396" t="n">
        <v>15</v>
      </c>
      <c r="AL1396" t="n">
        <v>0</v>
      </c>
      <c r="AM1396" t="n">
        <v>1</v>
      </c>
      <c r="AN1396" t="n">
        <v>0</v>
      </c>
      <c r="AO1396" t="n">
        <v>0</v>
      </c>
      <c r="AP1396" t="inlineStr">
        <is>
          <t>Yes</t>
        </is>
      </c>
      <c r="AQ1396" t="inlineStr">
        <is>
          <t>No</t>
        </is>
      </c>
      <c r="AR1396">
        <f>HYPERLINK("http://catalog.hathitrust.org/Record/010251476","HathiTrust Record")</f>
        <v/>
      </c>
      <c r="AS1396">
        <f>HYPERLINK("https://creighton-primo.hosted.exlibrisgroup.com/primo-explore/search?tab=default_tab&amp;search_scope=EVERYTHING&amp;vid=01CRU&amp;lang=en_US&amp;offset=0&amp;query=any,contains,991001238929702656","Catalog Record")</f>
        <v/>
      </c>
      <c r="AT1396">
        <f>HYPERLINK("http://www.worldcat.org/oclc/17589615","WorldCat Record")</f>
        <v/>
      </c>
      <c r="AU1396" t="inlineStr">
        <is>
          <t>4146110649:eng</t>
        </is>
      </c>
      <c r="AV1396" t="inlineStr">
        <is>
          <t>17589615</t>
        </is>
      </c>
      <c r="AW1396" t="inlineStr">
        <is>
          <t>991001238929702656</t>
        </is>
      </c>
      <c r="AX1396" t="inlineStr">
        <is>
          <t>991001238929702656</t>
        </is>
      </c>
      <c r="AY1396" t="inlineStr">
        <is>
          <t>2258051320002656</t>
        </is>
      </c>
      <c r="AZ1396" t="inlineStr">
        <is>
          <t>BOOK</t>
        </is>
      </c>
      <c r="BC1396" t="inlineStr">
        <is>
          <t>32285002469418</t>
        </is>
      </c>
      <c r="BD1396" t="inlineStr">
        <is>
          <t>893885165</t>
        </is>
      </c>
    </row>
    <row r="1397">
      <c r="A1397" t="inlineStr">
        <is>
          <t>No</t>
        </is>
      </c>
      <c r="B1397" t="inlineStr">
        <is>
          <t>DG811 .G83</t>
        </is>
      </c>
      <c r="C1397" t="inlineStr">
        <is>
          <t>0                      DG 0811000G  83</t>
        </is>
      </c>
      <c r="D1397" t="inlineStr">
        <is>
          <t>History of the city of Rome in the middle ages, by Ferdinand Gregorovius; tr. from the 4th German ed. by Anne Hamilton.</t>
        </is>
      </c>
      <c r="E1397" t="inlineStr">
        <is>
          <t>V.7 PT.2</t>
        </is>
      </c>
      <c r="F1397" t="inlineStr">
        <is>
          <t>Yes</t>
        </is>
      </c>
      <c r="G1397" t="inlineStr">
        <is>
          <t>1</t>
        </is>
      </c>
      <c r="H1397" t="inlineStr">
        <is>
          <t>No</t>
        </is>
      </c>
      <c r="I1397" t="inlineStr">
        <is>
          <t>No</t>
        </is>
      </c>
      <c r="J1397" t="inlineStr">
        <is>
          <t>0</t>
        </is>
      </c>
      <c r="K1397" t="inlineStr">
        <is>
          <t>Gregorovius, Ferdinand, 1821-1891.</t>
        </is>
      </c>
      <c r="L1397" t="inlineStr">
        <is>
          <t>London, G. Bell &amp; sons, 1896-1905.</t>
        </is>
      </c>
      <c r="M1397" t="inlineStr">
        <is>
          <t>1896</t>
        </is>
      </c>
      <c r="O1397" t="inlineStr">
        <is>
          <t>eng</t>
        </is>
      </c>
      <c r="P1397" t="inlineStr">
        <is>
          <t>enk</t>
        </is>
      </c>
      <c r="R1397" t="inlineStr">
        <is>
          <t xml:space="preserve">DG </t>
        </is>
      </c>
      <c r="S1397" t="n">
        <v>0</v>
      </c>
      <c r="T1397" t="n">
        <v>2</v>
      </c>
      <c r="V1397" t="inlineStr">
        <is>
          <t>1992-05-13</t>
        </is>
      </c>
      <c r="W1397" t="inlineStr">
        <is>
          <t>1997-02-24</t>
        </is>
      </c>
      <c r="X1397" t="inlineStr">
        <is>
          <t>1997-02-24</t>
        </is>
      </c>
      <c r="Y1397" t="n">
        <v>145</v>
      </c>
      <c r="Z1397" t="n">
        <v>140</v>
      </c>
      <c r="AA1397" t="n">
        <v>417</v>
      </c>
      <c r="AB1397" t="n">
        <v>1</v>
      </c>
      <c r="AC1397" t="n">
        <v>2</v>
      </c>
      <c r="AD1397" t="n">
        <v>10</v>
      </c>
      <c r="AE1397" t="n">
        <v>19</v>
      </c>
      <c r="AF1397" t="n">
        <v>2</v>
      </c>
      <c r="AG1397" t="n">
        <v>5</v>
      </c>
      <c r="AH1397" t="n">
        <v>1</v>
      </c>
      <c r="AI1397" t="n">
        <v>2</v>
      </c>
      <c r="AJ1397" t="n">
        <v>10</v>
      </c>
      <c r="AK1397" t="n">
        <v>15</v>
      </c>
      <c r="AL1397" t="n">
        <v>0</v>
      </c>
      <c r="AM1397" t="n">
        <v>1</v>
      </c>
      <c r="AN1397" t="n">
        <v>0</v>
      </c>
      <c r="AO1397" t="n">
        <v>0</v>
      </c>
      <c r="AP1397" t="inlineStr">
        <is>
          <t>Yes</t>
        </is>
      </c>
      <c r="AQ1397" t="inlineStr">
        <is>
          <t>No</t>
        </is>
      </c>
      <c r="AR1397">
        <f>HYPERLINK("http://catalog.hathitrust.org/Record/010251476","HathiTrust Record")</f>
        <v/>
      </c>
      <c r="AS1397">
        <f>HYPERLINK("https://creighton-primo.hosted.exlibrisgroup.com/primo-explore/search?tab=default_tab&amp;search_scope=EVERYTHING&amp;vid=01CRU&amp;lang=en_US&amp;offset=0&amp;query=any,contains,991001238929702656","Catalog Record")</f>
        <v/>
      </c>
      <c r="AT1397">
        <f>HYPERLINK("http://www.worldcat.org/oclc/17589615","WorldCat Record")</f>
        <v/>
      </c>
      <c r="AU1397" t="inlineStr">
        <is>
          <t>4146110649:eng</t>
        </is>
      </c>
      <c r="AV1397" t="inlineStr">
        <is>
          <t>17589615</t>
        </is>
      </c>
      <c r="AW1397" t="inlineStr">
        <is>
          <t>991001238929702656</t>
        </is>
      </c>
      <c r="AX1397" t="inlineStr">
        <is>
          <t>991001238929702656</t>
        </is>
      </c>
      <c r="AY1397" t="inlineStr">
        <is>
          <t>2258051320002656</t>
        </is>
      </c>
      <c r="AZ1397" t="inlineStr">
        <is>
          <t>BOOK</t>
        </is>
      </c>
      <c r="BC1397" t="inlineStr">
        <is>
          <t>32285002469434</t>
        </is>
      </c>
      <c r="BD1397" t="inlineStr">
        <is>
          <t>893897637</t>
        </is>
      </c>
    </row>
    <row r="1398">
      <c r="A1398" t="inlineStr">
        <is>
          <t>No</t>
        </is>
      </c>
      <c r="B1398" t="inlineStr">
        <is>
          <t>DG811 .G83</t>
        </is>
      </c>
      <c r="C1398" t="inlineStr">
        <is>
          <t>0                      DG 0811000G  83</t>
        </is>
      </c>
      <c r="D1398" t="inlineStr">
        <is>
          <t>History of the city of Rome in the middle ages, by Ferdinand Gregorovius; tr. from the 4th German ed. by Anne Hamilton.</t>
        </is>
      </c>
      <c r="E1398" t="inlineStr">
        <is>
          <t>V.6 PT.1</t>
        </is>
      </c>
      <c r="F1398" t="inlineStr">
        <is>
          <t>Yes</t>
        </is>
      </c>
      <c r="G1398" t="inlineStr">
        <is>
          <t>1</t>
        </is>
      </c>
      <c r="H1398" t="inlineStr">
        <is>
          <t>No</t>
        </is>
      </c>
      <c r="I1398" t="inlineStr">
        <is>
          <t>No</t>
        </is>
      </c>
      <c r="J1398" t="inlineStr">
        <is>
          <t>0</t>
        </is>
      </c>
      <c r="K1398" t="inlineStr">
        <is>
          <t>Gregorovius, Ferdinand, 1821-1891.</t>
        </is>
      </c>
      <c r="L1398" t="inlineStr">
        <is>
          <t>London, G. Bell &amp; sons, 1896-1905.</t>
        </is>
      </c>
      <c r="M1398" t="inlineStr">
        <is>
          <t>1896</t>
        </is>
      </c>
      <c r="O1398" t="inlineStr">
        <is>
          <t>eng</t>
        </is>
      </c>
      <c r="P1398" t="inlineStr">
        <is>
          <t>enk</t>
        </is>
      </c>
      <c r="R1398" t="inlineStr">
        <is>
          <t xml:space="preserve">DG </t>
        </is>
      </c>
      <c r="S1398" t="n">
        <v>0</v>
      </c>
      <c r="T1398" t="n">
        <v>2</v>
      </c>
      <c r="V1398" t="inlineStr">
        <is>
          <t>1992-05-13</t>
        </is>
      </c>
      <c r="W1398" t="inlineStr">
        <is>
          <t>1997-02-24</t>
        </is>
      </c>
      <c r="X1398" t="inlineStr">
        <is>
          <t>1997-02-24</t>
        </is>
      </c>
      <c r="Y1398" t="n">
        <v>145</v>
      </c>
      <c r="Z1398" t="n">
        <v>140</v>
      </c>
      <c r="AA1398" t="n">
        <v>417</v>
      </c>
      <c r="AB1398" t="n">
        <v>1</v>
      </c>
      <c r="AC1398" t="n">
        <v>2</v>
      </c>
      <c r="AD1398" t="n">
        <v>10</v>
      </c>
      <c r="AE1398" t="n">
        <v>19</v>
      </c>
      <c r="AF1398" t="n">
        <v>2</v>
      </c>
      <c r="AG1398" t="n">
        <v>5</v>
      </c>
      <c r="AH1398" t="n">
        <v>1</v>
      </c>
      <c r="AI1398" t="n">
        <v>2</v>
      </c>
      <c r="AJ1398" t="n">
        <v>10</v>
      </c>
      <c r="AK1398" t="n">
        <v>15</v>
      </c>
      <c r="AL1398" t="n">
        <v>0</v>
      </c>
      <c r="AM1398" t="n">
        <v>1</v>
      </c>
      <c r="AN1398" t="n">
        <v>0</v>
      </c>
      <c r="AO1398" t="n">
        <v>0</v>
      </c>
      <c r="AP1398" t="inlineStr">
        <is>
          <t>Yes</t>
        </is>
      </c>
      <c r="AQ1398" t="inlineStr">
        <is>
          <t>No</t>
        </is>
      </c>
      <c r="AR1398">
        <f>HYPERLINK("http://catalog.hathitrust.org/Record/010251476","HathiTrust Record")</f>
        <v/>
      </c>
      <c r="AS1398">
        <f>HYPERLINK("https://creighton-primo.hosted.exlibrisgroup.com/primo-explore/search?tab=default_tab&amp;search_scope=EVERYTHING&amp;vid=01CRU&amp;lang=en_US&amp;offset=0&amp;query=any,contains,991001238929702656","Catalog Record")</f>
        <v/>
      </c>
      <c r="AT1398">
        <f>HYPERLINK("http://www.worldcat.org/oclc/17589615","WorldCat Record")</f>
        <v/>
      </c>
      <c r="AU1398" t="inlineStr">
        <is>
          <t>4146110649:eng</t>
        </is>
      </c>
      <c r="AV1398" t="inlineStr">
        <is>
          <t>17589615</t>
        </is>
      </c>
      <c r="AW1398" t="inlineStr">
        <is>
          <t>991001238929702656</t>
        </is>
      </c>
      <c r="AX1398" t="inlineStr">
        <is>
          <t>991001238929702656</t>
        </is>
      </c>
      <c r="AY1398" t="inlineStr">
        <is>
          <t>2258051320002656</t>
        </is>
      </c>
      <c r="AZ1398" t="inlineStr">
        <is>
          <t>BOOK</t>
        </is>
      </c>
      <c r="BC1398" t="inlineStr">
        <is>
          <t>32285002469400</t>
        </is>
      </c>
      <c r="BD1398" t="inlineStr">
        <is>
          <t>893885166</t>
        </is>
      </c>
    </row>
    <row r="1399">
      <c r="A1399" t="inlineStr">
        <is>
          <t>No</t>
        </is>
      </c>
      <c r="B1399" t="inlineStr">
        <is>
          <t>DG811 .G83</t>
        </is>
      </c>
      <c r="C1399" t="inlineStr">
        <is>
          <t>0                      DG 0811000G  83</t>
        </is>
      </c>
      <c r="D1399" t="inlineStr">
        <is>
          <t>History of the city of Rome in the middle ages, by Ferdinand Gregorovius; tr. from the 4th German ed. by Anne Hamilton.</t>
        </is>
      </c>
      <c r="E1399" t="inlineStr">
        <is>
          <t>V.8 PT.2</t>
        </is>
      </c>
      <c r="F1399" t="inlineStr">
        <is>
          <t>Yes</t>
        </is>
      </c>
      <c r="G1399" t="inlineStr">
        <is>
          <t>1</t>
        </is>
      </c>
      <c r="H1399" t="inlineStr">
        <is>
          <t>No</t>
        </is>
      </c>
      <c r="I1399" t="inlineStr">
        <is>
          <t>No</t>
        </is>
      </c>
      <c r="J1399" t="inlineStr">
        <is>
          <t>0</t>
        </is>
      </c>
      <c r="K1399" t="inlineStr">
        <is>
          <t>Gregorovius, Ferdinand, 1821-1891.</t>
        </is>
      </c>
      <c r="L1399" t="inlineStr">
        <is>
          <t>London, G. Bell &amp; sons, 1896-1905.</t>
        </is>
      </c>
      <c r="M1399" t="inlineStr">
        <is>
          <t>1896</t>
        </is>
      </c>
      <c r="O1399" t="inlineStr">
        <is>
          <t>eng</t>
        </is>
      </c>
      <c r="P1399" t="inlineStr">
        <is>
          <t>enk</t>
        </is>
      </c>
      <c r="R1399" t="inlineStr">
        <is>
          <t xml:space="preserve">DG </t>
        </is>
      </c>
      <c r="S1399" t="n">
        <v>0</v>
      </c>
      <c r="T1399" t="n">
        <v>2</v>
      </c>
      <c r="V1399" t="inlineStr">
        <is>
          <t>1992-05-13</t>
        </is>
      </c>
      <c r="W1399" t="inlineStr">
        <is>
          <t>1992-09-03</t>
        </is>
      </c>
      <c r="X1399" t="inlineStr">
        <is>
          <t>1997-02-24</t>
        </is>
      </c>
      <c r="Y1399" t="n">
        <v>145</v>
      </c>
      <c r="Z1399" t="n">
        <v>140</v>
      </c>
      <c r="AA1399" t="n">
        <v>417</v>
      </c>
      <c r="AB1399" t="n">
        <v>1</v>
      </c>
      <c r="AC1399" t="n">
        <v>2</v>
      </c>
      <c r="AD1399" t="n">
        <v>10</v>
      </c>
      <c r="AE1399" t="n">
        <v>19</v>
      </c>
      <c r="AF1399" t="n">
        <v>2</v>
      </c>
      <c r="AG1399" t="n">
        <v>5</v>
      </c>
      <c r="AH1399" t="n">
        <v>1</v>
      </c>
      <c r="AI1399" t="n">
        <v>2</v>
      </c>
      <c r="AJ1399" t="n">
        <v>10</v>
      </c>
      <c r="AK1399" t="n">
        <v>15</v>
      </c>
      <c r="AL1399" t="n">
        <v>0</v>
      </c>
      <c r="AM1399" t="n">
        <v>1</v>
      </c>
      <c r="AN1399" t="n">
        <v>0</v>
      </c>
      <c r="AO1399" t="n">
        <v>0</v>
      </c>
      <c r="AP1399" t="inlineStr">
        <is>
          <t>Yes</t>
        </is>
      </c>
      <c r="AQ1399" t="inlineStr">
        <is>
          <t>No</t>
        </is>
      </c>
      <c r="AR1399">
        <f>HYPERLINK("http://catalog.hathitrust.org/Record/010251476","HathiTrust Record")</f>
        <v/>
      </c>
      <c r="AS1399">
        <f>HYPERLINK("https://creighton-primo.hosted.exlibrisgroup.com/primo-explore/search?tab=default_tab&amp;search_scope=EVERYTHING&amp;vid=01CRU&amp;lang=en_US&amp;offset=0&amp;query=any,contains,991001238929702656","Catalog Record")</f>
        <v/>
      </c>
      <c r="AT1399">
        <f>HYPERLINK("http://www.worldcat.org/oclc/17589615","WorldCat Record")</f>
        <v/>
      </c>
      <c r="AU1399" t="inlineStr">
        <is>
          <t>4146110649:eng</t>
        </is>
      </c>
      <c r="AV1399" t="inlineStr">
        <is>
          <t>17589615</t>
        </is>
      </c>
      <c r="AW1399" t="inlineStr">
        <is>
          <t>991001238929702656</t>
        </is>
      </c>
      <c r="AX1399" t="inlineStr">
        <is>
          <t>991001238929702656</t>
        </is>
      </c>
      <c r="AY1399" t="inlineStr">
        <is>
          <t>2258051320002656</t>
        </is>
      </c>
      <c r="AZ1399" t="inlineStr">
        <is>
          <t>BOOK</t>
        </is>
      </c>
      <c r="BC1399" t="inlineStr">
        <is>
          <t>32285001279370</t>
        </is>
      </c>
      <c r="BD1399" t="inlineStr">
        <is>
          <t>893866075</t>
        </is>
      </c>
    </row>
    <row r="1400">
      <c r="A1400" t="inlineStr">
        <is>
          <t>No</t>
        </is>
      </c>
      <c r="B1400" t="inlineStr">
        <is>
          <t>DG811 .K7</t>
        </is>
      </c>
      <c r="C1400" t="inlineStr">
        <is>
          <t>0                      DG 0811000K  7</t>
        </is>
      </c>
      <c r="D1400" t="inlineStr">
        <is>
          <t>Rome, profile of a city, 312-1308 / by Richard Krautheimer.</t>
        </is>
      </c>
      <c r="F1400" t="inlineStr">
        <is>
          <t>No</t>
        </is>
      </c>
      <c r="G1400" t="inlineStr">
        <is>
          <t>1</t>
        </is>
      </c>
      <c r="H1400" t="inlineStr">
        <is>
          <t>No</t>
        </is>
      </c>
      <c r="I1400" t="inlineStr">
        <is>
          <t>No</t>
        </is>
      </c>
      <c r="J1400" t="inlineStr">
        <is>
          <t>0</t>
        </is>
      </c>
      <c r="K1400" t="inlineStr">
        <is>
          <t>Krautheimer, Richard, 1897-1994.</t>
        </is>
      </c>
      <c r="L1400" t="inlineStr">
        <is>
          <t>Princeton, N.J. : Princeton University Press, 1980.</t>
        </is>
      </c>
      <c r="M1400" t="inlineStr">
        <is>
          <t>1980</t>
        </is>
      </c>
      <c r="O1400" t="inlineStr">
        <is>
          <t>eng</t>
        </is>
      </c>
      <c r="P1400" t="inlineStr">
        <is>
          <t>nju</t>
        </is>
      </c>
      <c r="R1400" t="inlineStr">
        <is>
          <t xml:space="preserve">DG </t>
        </is>
      </c>
      <c r="S1400" t="n">
        <v>8</v>
      </c>
      <c r="T1400" t="n">
        <v>8</v>
      </c>
      <c r="U1400" t="inlineStr">
        <is>
          <t>2010-01-14</t>
        </is>
      </c>
      <c r="V1400" t="inlineStr">
        <is>
          <t>2010-01-14</t>
        </is>
      </c>
      <c r="W1400" t="inlineStr">
        <is>
          <t>1990-06-20</t>
        </is>
      </c>
      <c r="X1400" t="inlineStr">
        <is>
          <t>1990-06-20</t>
        </is>
      </c>
      <c r="Y1400" t="n">
        <v>1182</v>
      </c>
      <c r="Z1400" t="n">
        <v>927</v>
      </c>
      <c r="AA1400" t="n">
        <v>1124</v>
      </c>
      <c r="AB1400" t="n">
        <v>5</v>
      </c>
      <c r="AC1400" t="n">
        <v>5</v>
      </c>
      <c r="AD1400" t="n">
        <v>43</v>
      </c>
      <c r="AE1400" t="n">
        <v>48</v>
      </c>
      <c r="AF1400" t="n">
        <v>19</v>
      </c>
      <c r="AG1400" t="n">
        <v>23</v>
      </c>
      <c r="AH1400" t="n">
        <v>8</v>
      </c>
      <c r="AI1400" t="n">
        <v>10</v>
      </c>
      <c r="AJ1400" t="n">
        <v>24</v>
      </c>
      <c r="AK1400" t="n">
        <v>24</v>
      </c>
      <c r="AL1400" t="n">
        <v>4</v>
      </c>
      <c r="AM1400" t="n">
        <v>4</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HYPERLINK("https://creighton-primo.hosted.exlibrisgroup.com/primo-explore/search?tab=default_tab&amp;search_scope=EVERYTHING&amp;vid=01CRU&amp;lang=en_US&amp;offset=0&amp;query=any,contains,991004730159702656","Catalog Record")</f>
        <v/>
      </c>
      <c r="AT1400">
        <f>HYPERLINK("http://www.worldcat.org/oclc/4834277","WorldCat Record")</f>
        <v/>
      </c>
      <c r="AU1400" t="inlineStr">
        <is>
          <t>104130106:eng</t>
        </is>
      </c>
      <c r="AV1400" t="inlineStr">
        <is>
          <t>4834277</t>
        </is>
      </c>
      <c r="AW1400" t="inlineStr">
        <is>
          <t>991004730159702656</t>
        </is>
      </c>
      <c r="AX1400" t="inlineStr">
        <is>
          <t>991004730159702656</t>
        </is>
      </c>
      <c r="AY1400" t="inlineStr">
        <is>
          <t>2267593460002656</t>
        </is>
      </c>
      <c r="AZ1400" t="inlineStr">
        <is>
          <t>BOOK</t>
        </is>
      </c>
      <c r="BB1400" t="inlineStr">
        <is>
          <t>9780691003191</t>
        </is>
      </c>
      <c r="BC1400" t="inlineStr">
        <is>
          <t>32285000210145</t>
        </is>
      </c>
      <c r="BD1400" t="inlineStr">
        <is>
          <t>893350329</t>
        </is>
      </c>
    </row>
    <row r="1401">
      <c r="A1401" t="inlineStr">
        <is>
          <t>No</t>
        </is>
      </c>
      <c r="B1401" t="inlineStr">
        <is>
          <t>DG811 .L57 1971</t>
        </is>
      </c>
      <c r="C1401" t="inlineStr">
        <is>
          <t>0                      DG 0811000L  57          1971</t>
        </is>
      </c>
      <c r="D1401" t="inlineStr">
        <is>
          <t>Rome in the Dark Ages.</t>
        </is>
      </c>
      <c r="F1401" t="inlineStr">
        <is>
          <t>No</t>
        </is>
      </c>
      <c r="G1401" t="inlineStr">
        <is>
          <t>1</t>
        </is>
      </c>
      <c r="H1401" t="inlineStr">
        <is>
          <t>No</t>
        </is>
      </c>
      <c r="I1401" t="inlineStr">
        <is>
          <t>No</t>
        </is>
      </c>
      <c r="J1401" t="inlineStr">
        <is>
          <t>0</t>
        </is>
      </c>
      <c r="K1401" t="inlineStr">
        <is>
          <t>Llewellyn, Peter, 1937-2007.</t>
        </is>
      </c>
      <c r="L1401" t="inlineStr">
        <is>
          <t>New York, Praeger [1971, c1970]</t>
        </is>
      </c>
      <c r="M1401" t="inlineStr">
        <is>
          <t>1971</t>
        </is>
      </c>
      <c r="O1401" t="inlineStr">
        <is>
          <t>eng</t>
        </is>
      </c>
      <c r="P1401" t="inlineStr">
        <is>
          <t>nyu</t>
        </is>
      </c>
      <c r="R1401" t="inlineStr">
        <is>
          <t xml:space="preserve">DG </t>
        </is>
      </c>
      <c r="S1401" t="n">
        <v>3</v>
      </c>
      <c r="T1401" t="n">
        <v>3</v>
      </c>
      <c r="U1401" t="inlineStr">
        <is>
          <t>2010-01-14</t>
        </is>
      </c>
      <c r="V1401" t="inlineStr">
        <is>
          <t>2010-01-14</t>
        </is>
      </c>
      <c r="W1401" t="inlineStr">
        <is>
          <t>1997-02-06</t>
        </is>
      </c>
      <c r="X1401" t="inlineStr">
        <is>
          <t>1997-02-06</t>
        </is>
      </c>
      <c r="Y1401" t="n">
        <v>637</v>
      </c>
      <c r="Z1401" t="n">
        <v>590</v>
      </c>
      <c r="AA1401" t="n">
        <v>820</v>
      </c>
      <c r="AB1401" t="n">
        <v>6</v>
      </c>
      <c r="AC1401" t="n">
        <v>8</v>
      </c>
      <c r="AD1401" t="n">
        <v>24</v>
      </c>
      <c r="AE1401" t="n">
        <v>33</v>
      </c>
      <c r="AF1401" t="n">
        <v>6</v>
      </c>
      <c r="AG1401" t="n">
        <v>9</v>
      </c>
      <c r="AH1401" t="n">
        <v>6</v>
      </c>
      <c r="AI1401" t="n">
        <v>8</v>
      </c>
      <c r="AJ1401" t="n">
        <v>13</v>
      </c>
      <c r="AK1401" t="n">
        <v>19</v>
      </c>
      <c r="AL1401" t="n">
        <v>3</v>
      </c>
      <c r="AM1401" t="n">
        <v>5</v>
      </c>
      <c r="AN1401" t="n">
        <v>0</v>
      </c>
      <c r="AO1401" t="n">
        <v>0</v>
      </c>
      <c r="AP1401" t="inlineStr">
        <is>
          <t>No</t>
        </is>
      </c>
      <c r="AQ1401" t="inlineStr">
        <is>
          <t>Yes</t>
        </is>
      </c>
      <c r="AR1401">
        <f>HYPERLINK("http://catalog.hathitrust.org/Record/006046796","HathiTrust Record")</f>
        <v/>
      </c>
      <c r="AS1401">
        <f>HYPERLINK("https://creighton-primo.hosted.exlibrisgroup.com/primo-explore/search?tab=default_tab&amp;search_scope=EVERYTHING&amp;vid=01CRU&amp;lang=en_US&amp;offset=0&amp;query=any,contains,991000775249702656","Catalog Record")</f>
        <v/>
      </c>
      <c r="AT1401">
        <f>HYPERLINK("http://www.worldcat.org/oclc/132365","WorldCat Record")</f>
        <v/>
      </c>
      <c r="AU1401" t="inlineStr">
        <is>
          <t>20718232:eng</t>
        </is>
      </c>
      <c r="AV1401" t="inlineStr">
        <is>
          <t>132365</t>
        </is>
      </c>
      <c r="AW1401" t="inlineStr">
        <is>
          <t>991000775249702656</t>
        </is>
      </c>
      <c r="AX1401" t="inlineStr">
        <is>
          <t>991000775249702656</t>
        </is>
      </c>
      <c r="AY1401" t="inlineStr">
        <is>
          <t>2256756700002656</t>
        </is>
      </c>
      <c r="AZ1401" t="inlineStr">
        <is>
          <t>BOOK</t>
        </is>
      </c>
      <c r="BC1401" t="inlineStr">
        <is>
          <t>32285002423662</t>
        </is>
      </c>
      <c r="BD1401" t="inlineStr">
        <is>
          <t>893345966</t>
        </is>
      </c>
    </row>
    <row r="1402">
      <c r="A1402" t="inlineStr">
        <is>
          <t>No</t>
        </is>
      </c>
      <c r="B1402" t="inlineStr">
        <is>
          <t>DG812 .W33 1990</t>
        </is>
      </c>
      <c r="C1402" t="inlineStr">
        <is>
          <t>0                      DG 0812000W  33          1990</t>
        </is>
      </c>
      <c r="D1402" t="inlineStr">
        <is>
          <t>Seventeenth-century Roman palaces : use and the art of the plan / Patricia Waddy.</t>
        </is>
      </c>
      <c r="F1402" t="inlineStr">
        <is>
          <t>No</t>
        </is>
      </c>
      <c r="G1402" t="inlineStr">
        <is>
          <t>1</t>
        </is>
      </c>
      <c r="H1402" t="inlineStr">
        <is>
          <t>No</t>
        </is>
      </c>
      <c r="I1402" t="inlineStr">
        <is>
          <t>No</t>
        </is>
      </c>
      <c r="J1402" t="inlineStr">
        <is>
          <t>0</t>
        </is>
      </c>
      <c r="K1402" t="inlineStr">
        <is>
          <t>Waddy, Patricia.</t>
        </is>
      </c>
      <c r="L1402" t="inlineStr">
        <is>
          <t>New York, N.Y. : Architectural History Foundation ; Cambridge : MIT Press, c1990.</t>
        </is>
      </c>
      <c r="M1402" t="inlineStr">
        <is>
          <t>1990</t>
        </is>
      </c>
      <c r="O1402" t="inlineStr">
        <is>
          <t>eng</t>
        </is>
      </c>
      <c r="P1402" t="inlineStr">
        <is>
          <t>mau</t>
        </is>
      </c>
      <c r="R1402" t="inlineStr">
        <is>
          <t xml:space="preserve">DG </t>
        </is>
      </c>
      <c r="S1402" t="n">
        <v>2</v>
      </c>
      <c r="T1402" t="n">
        <v>2</v>
      </c>
      <c r="U1402" t="inlineStr">
        <is>
          <t>2010-01-14</t>
        </is>
      </c>
      <c r="V1402" t="inlineStr">
        <is>
          <t>2010-01-14</t>
        </is>
      </c>
      <c r="W1402" t="inlineStr">
        <is>
          <t>2008-04-21</t>
        </is>
      </c>
      <c r="X1402" t="inlineStr">
        <is>
          <t>2008-04-21</t>
        </is>
      </c>
      <c r="Y1402" t="n">
        <v>474</v>
      </c>
      <c r="Z1402" t="n">
        <v>354</v>
      </c>
      <c r="AA1402" t="n">
        <v>493</v>
      </c>
      <c r="AB1402" t="n">
        <v>2</v>
      </c>
      <c r="AC1402" t="n">
        <v>3</v>
      </c>
      <c r="AD1402" t="n">
        <v>20</v>
      </c>
      <c r="AE1402" t="n">
        <v>27</v>
      </c>
      <c r="AF1402" t="n">
        <v>7</v>
      </c>
      <c r="AG1402" t="n">
        <v>11</v>
      </c>
      <c r="AH1402" t="n">
        <v>7</v>
      </c>
      <c r="AI1402" t="n">
        <v>9</v>
      </c>
      <c r="AJ1402" t="n">
        <v>12</v>
      </c>
      <c r="AK1402" t="n">
        <v>15</v>
      </c>
      <c r="AL1402" t="n">
        <v>1</v>
      </c>
      <c r="AM1402" t="n">
        <v>2</v>
      </c>
      <c r="AN1402" t="n">
        <v>0</v>
      </c>
      <c r="AO1402" t="n">
        <v>0</v>
      </c>
      <c r="AP1402" t="inlineStr">
        <is>
          <t>No</t>
        </is>
      </c>
      <c r="AQ1402" t="inlineStr">
        <is>
          <t>Yes</t>
        </is>
      </c>
      <c r="AR1402">
        <f>HYPERLINK("http://catalog.hathitrust.org/Record/002471223","HathiTrust Record")</f>
        <v/>
      </c>
      <c r="AS1402">
        <f>HYPERLINK("https://creighton-primo.hosted.exlibrisgroup.com/primo-explore/search?tab=default_tab&amp;search_scope=EVERYTHING&amp;vid=01CRU&amp;lang=en_US&amp;offset=0&amp;query=any,contains,991005202069702656","Catalog Record")</f>
        <v/>
      </c>
      <c r="AT1402">
        <f>HYPERLINK("http://www.worldcat.org/oclc/21080403","WorldCat Record")</f>
        <v/>
      </c>
      <c r="AU1402" t="inlineStr">
        <is>
          <t>305305203:eng</t>
        </is>
      </c>
      <c r="AV1402" t="inlineStr">
        <is>
          <t>21080403</t>
        </is>
      </c>
      <c r="AW1402" t="inlineStr">
        <is>
          <t>991005202069702656</t>
        </is>
      </c>
      <c r="AX1402" t="inlineStr">
        <is>
          <t>991005202069702656</t>
        </is>
      </c>
      <c r="AY1402" t="inlineStr">
        <is>
          <t>2257186390002656</t>
        </is>
      </c>
      <c r="AZ1402" t="inlineStr">
        <is>
          <t>BOOK</t>
        </is>
      </c>
      <c r="BB1402" t="inlineStr">
        <is>
          <t>9780262231565</t>
        </is>
      </c>
      <c r="BC1402" t="inlineStr">
        <is>
          <t>32285005403430</t>
        </is>
      </c>
      <c r="BD1402" t="inlineStr">
        <is>
          <t>893254638</t>
        </is>
      </c>
    </row>
    <row r="1403">
      <c r="A1403" t="inlineStr">
        <is>
          <t>No</t>
        </is>
      </c>
      <c r="B1403" t="inlineStr">
        <is>
          <t>DG812.12 .C4813 1983</t>
        </is>
      </c>
      <c r="C1403" t="inlineStr">
        <is>
          <t>0                      DG 0812120C  4813        1983</t>
        </is>
      </c>
      <c r="D1403" t="inlineStr">
        <is>
          <t>The Sack of Rome, 1527 / André Chastel ; translated from the French by Beth Archer.</t>
        </is>
      </c>
      <c r="F1403" t="inlineStr">
        <is>
          <t>No</t>
        </is>
      </c>
      <c r="G1403" t="inlineStr">
        <is>
          <t>1</t>
        </is>
      </c>
      <c r="H1403" t="inlineStr">
        <is>
          <t>No</t>
        </is>
      </c>
      <c r="I1403" t="inlineStr">
        <is>
          <t>No</t>
        </is>
      </c>
      <c r="J1403" t="inlineStr">
        <is>
          <t>0</t>
        </is>
      </c>
      <c r="K1403" t="inlineStr">
        <is>
          <t>Chastel, André, 1912-1990.</t>
        </is>
      </c>
      <c r="L1403" t="inlineStr">
        <is>
          <t>Princeton, N.J. : Princeton University Press, c1983.</t>
        </is>
      </c>
      <c r="M1403" t="inlineStr">
        <is>
          <t>1983</t>
        </is>
      </c>
      <c r="O1403" t="inlineStr">
        <is>
          <t>eng</t>
        </is>
      </c>
      <c r="P1403" t="inlineStr">
        <is>
          <t>nju</t>
        </is>
      </c>
      <c r="Q1403" t="inlineStr">
        <is>
          <t>A.W. Mellon lectures in the fine arts ; 26</t>
        </is>
      </c>
      <c r="R1403" t="inlineStr">
        <is>
          <t xml:space="preserve">DG </t>
        </is>
      </c>
      <c r="S1403" t="n">
        <v>1</v>
      </c>
      <c r="T1403" t="n">
        <v>1</v>
      </c>
      <c r="U1403" t="inlineStr">
        <is>
          <t>2003-02-24</t>
        </is>
      </c>
      <c r="V1403" t="inlineStr">
        <is>
          <t>2003-02-24</t>
        </is>
      </c>
      <c r="W1403" t="inlineStr">
        <is>
          <t>1991-04-23</t>
        </is>
      </c>
      <c r="X1403" t="inlineStr">
        <is>
          <t>1991-04-23</t>
        </is>
      </c>
      <c r="Y1403" t="n">
        <v>810</v>
      </c>
      <c r="Z1403" t="n">
        <v>625</v>
      </c>
      <c r="AA1403" t="n">
        <v>631</v>
      </c>
      <c r="AB1403" t="n">
        <v>4</v>
      </c>
      <c r="AC1403" t="n">
        <v>4</v>
      </c>
      <c r="AD1403" t="n">
        <v>33</v>
      </c>
      <c r="AE1403" t="n">
        <v>33</v>
      </c>
      <c r="AF1403" t="n">
        <v>13</v>
      </c>
      <c r="AG1403" t="n">
        <v>13</v>
      </c>
      <c r="AH1403" t="n">
        <v>9</v>
      </c>
      <c r="AI1403" t="n">
        <v>9</v>
      </c>
      <c r="AJ1403" t="n">
        <v>18</v>
      </c>
      <c r="AK1403" t="n">
        <v>18</v>
      </c>
      <c r="AL1403" t="n">
        <v>2</v>
      </c>
      <c r="AM1403" t="n">
        <v>2</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HYPERLINK("https://creighton-primo.hosted.exlibrisgroup.com/primo-explore/search?tab=default_tab&amp;search_scope=EVERYTHING&amp;vid=01CRU&amp;lang=en_US&amp;offset=0&amp;query=any,contains,991005251229702656","Catalog Record")</f>
        <v/>
      </c>
      <c r="AT1403">
        <f>HYPERLINK("http://www.worldcat.org/oclc/8493627","WorldCat Record")</f>
        <v/>
      </c>
      <c r="AU1403" t="inlineStr">
        <is>
          <t>2763259895:eng</t>
        </is>
      </c>
      <c r="AV1403" t="inlineStr">
        <is>
          <t>8493627</t>
        </is>
      </c>
      <c r="AW1403" t="inlineStr">
        <is>
          <t>991005251229702656</t>
        </is>
      </c>
      <c r="AX1403" t="inlineStr">
        <is>
          <t>991005251229702656</t>
        </is>
      </c>
      <c r="AY1403" t="inlineStr">
        <is>
          <t>2261519290002656</t>
        </is>
      </c>
      <c r="AZ1403" t="inlineStr">
        <is>
          <t>BOOK</t>
        </is>
      </c>
      <c r="BB1403" t="inlineStr">
        <is>
          <t>9780691099477</t>
        </is>
      </c>
      <c r="BC1403" t="inlineStr">
        <is>
          <t>32285000522564</t>
        </is>
      </c>
      <c r="BD1403" t="inlineStr">
        <is>
          <t>893412566</t>
        </is>
      </c>
    </row>
    <row r="1404">
      <c r="A1404" t="inlineStr">
        <is>
          <t>No</t>
        </is>
      </c>
      <c r="B1404" t="inlineStr">
        <is>
          <t>DG812.12 .G68 1998</t>
        </is>
      </c>
      <c r="C1404" t="inlineStr">
        <is>
          <t>0                      DG 0812120G  68          1998</t>
        </is>
      </c>
      <c r="D1404" t="inlineStr">
        <is>
          <t>Remembering the Renaissance : humanist narratives of the sack of Rome / by Kenneth Gouwens.</t>
        </is>
      </c>
      <c r="F1404" t="inlineStr">
        <is>
          <t>No</t>
        </is>
      </c>
      <c r="G1404" t="inlineStr">
        <is>
          <t>1</t>
        </is>
      </c>
      <c r="H1404" t="inlineStr">
        <is>
          <t>No</t>
        </is>
      </c>
      <c r="I1404" t="inlineStr">
        <is>
          <t>No</t>
        </is>
      </c>
      <c r="J1404" t="inlineStr">
        <is>
          <t>0</t>
        </is>
      </c>
      <c r="K1404" t="inlineStr">
        <is>
          <t>Gouwens, Kenneth.</t>
        </is>
      </c>
      <c r="L1404" t="inlineStr">
        <is>
          <t>Leiden ; Boston : Brill, 1998.</t>
        </is>
      </c>
      <c r="M1404" t="inlineStr">
        <is>
          <t>1998</t>
        </is>
      </c>
      <c r="O1404" t="inlineStr">
        <is>
          <t>eng</t>
        </is>
      </c>
      <c r="P1404" t="inlineStr">
        <is>
          <t xml:space="preserve">ne </t>
        </is>
      </c>
      <c r="Q1404" t="inlineStr">
        <is>
          <t>Brill's studies in intellectual history, 0920-8607 ; v. 85</t>
        </is>
      </c>
      <c r="R1404" t="inlineStr">
        <is>
          <t xml:space="preserve">DG </t>
        </is>
      </c>
      <c r="S1404" t="n">
        <v>9</v>
      </c>
      <c r="T1404" t="n">
        <v>9</v>
      </c>
      <c r="U1404" t="inlineStr">
        <is>
          <t>2006-03-07</t>
        </is>
      </c>
      <c r="V1404" t="inlineStr">
        <is>
          <t>2006-03-07</t>
        </is>
      </c>
      <c r="W1404" t="inlineStr">
        <is>
          <t>1999-03-04</t>
        </is>
      </c>
      <c r="X1404" t="inlineStr">
        <is>
          <t>1999-03-04</t>
        </is>
      </c>
      <c r="Y1404" t="n">
        <v>335</v>
      </c>
      <c r="Z1404" t="n">
        <v>274</v>
      </c>
      <c r="AA1404" t="n">
        <v>289</v>
      </c>
      <c r="AB1404" t="n">
        <v>2</v>
      </c>
      <c r="AC1404" t="n">
        <v>2</v>
      </c>
      <c r="AD1404" t="n">
        <v>18</v>
      </c>
      <c r="AE1404" t="n">
        <v>18</v>
      </c>
      <c r="AF1404" t="n">
        <v>4</v>
      </c>
      <c r="AG1404" t="n">
        <v>4</v>
      </c>
      <c r="AH1404" t="n">
        <v>7</v>
      </c>
      <c r="AI1404" t="n">
        <v>7</v>
      </c>
      <c r="AJ1404" t="n">
        <v>11</v>
      </c>
      <c r="AK1404" t="n">
        <v>11</v>
      </c>
      <c r="AL1404" t="n">
        <v>1</v>
      </c>
      <c r="AM1404" t="n">
        <v>1</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HYPERLINK("https://creighton-primo.hosted.exlibrisgroup.com/primo-explore/search?tab=default_tab&amp;search_scope=EVERYTHING&amp;vid=01CRU&amp;lang=en_US&amp;offset=0&amp;query=any,contains,991002904779702656","Catalog Record")</f>
        <v/>
      </c>
      <c r="AT1404">
        <f>HYPERLINK("http://www.worldcat.org/oclc/38311615","WorldCat Record")</f>
        <v/>
      </c>
      <c r="AU1404" t="inlineStr">
        <is>
          <t>864107661:eng</t>
        </is>
      </c>
      <c r="AV1404" t="inlineStr">
        <is>
          <t>38311615</t>
        </is>
      </c>
      <c r="AW1404" t="inlineStr">
        <is>
          <t>991002904779702656</t>
        </is>
      </c>
      <c r="AX1404" t="inlineStr">
        <is>
          <t>991002904779702656</t>
        </is>
      </c>
      <c r="AY1404" t="inlineStr">
        <is>
          <t>2271039200002656</t>
        </is>
      </c>
      <c r="AZ1404" t="inlineStr">
        <is>
          <t>BOOK</t>
        </is>
      </c>
      <c r="BB1404" t="inlineStr">
        <is>
          <t>9789004109698</t>
        </is>
      </c>
      <c r="BC1404" t="inlineStr">
        <is>
          <t>32285003529194</t>
        </is>
      </c>
      <c r="BD1404" t="inlineStr">
        <is>
          <t>893434433</t>
        </is>
      </c>
    </row>
    <row r="1405">
      <c r="A1405" t="inlineStr">
        <is>
          <t>No</t>
        </is>
      </c>
      <c r="B1405" t="inlineStr">
        <is>
          <t>DG812.12 .G85 1993</t>
        </is>
      </c>
      <c r="C1405" t="inlineStr">
        <is>
          <t>0                      DG 0812120G  85          1993</t>
        </is>
      </c>
      <c r="D1405" t="inlineStr">
        <is>
          <t>The sack of Rome / Luigi Guicciardini ; translated with an introduction and notes by James H. Mc Gregor.</t>
        </is>
      </c>
      <c r="F1405" t="inlineStr">
        <is>
          <t>No</t>
        </is>
      </c>
      <c r="G1405" t="inlineStr">
        <is>
          <t>1</t>
        </is>
      </c>
      <c r="H1405" t="inlineStr">
        <is>
          <t>No</t>
        </is>
      </c>
      <c r="I1405" t="inlineStr">
        <is>
          <t>No</t>
        </is>
      </c>
      <c r="J1405" t="inlineStr">
        <is>
          <t>0</t>
        </is>
      </c>
      <c r="K1405" t="inlineStr">
        <is>
          <t>Guicciardini, Luigi, 1478-1551.</t>
        </is>
      </c>
      <c r="L1405" t="inlineStr">
        <is>
          <t>New York : Italica Press, 1993</t>
        </is>
      </c>
      <c r="M1405" t="inlineStr">
        <is>
          <t>1993</t>
        </is>
      </c>
      <c r="O1405" t="inlineStr">
        <is>
          <t>eng</t>
        </is>
      </c>
      <c r="P1405" t="inlineStr">
        <is>
          <t>nyu</t>
        </is>
      </c>
      <c r="R1405" t="inlineStr">
        <is>
          <t xml:space="preserve">DG </t>
        </is>
      </c>
      <c r="S1405" t="n">
        <v>13</v>
      </c>
      <c r="T1405" t="n">
        <v>13</v>
      </c>
      <c r="U1405" t="inlineStr">
        <is>
          <t>2006-03-07</t>
        </is>
      </c>
      <c r="V1405" t="inlineStr">
        <is>
          <t>2006-03-07</t>
        </is>
      </c>
      <c r="W1405" t="inlineStr">
        <is>
          <t>1996-07-29</t>
        </is>
      </c>
      <c r="X1405" t="inlineStr">
        <is>
          <t>1996-07-29</t>
        </is>
      </c>
      <c r="Y1405" t="n">
        <v>293</v>
      </c>
      <c r="Z1405" t="n">
        <v>239</v>
      </c>
      <c r="AA1405" t="n">
        <v>281</v>
      </c>
      <c r="AB1405" t="n">
        <v>1</v>
      </c>
      <c r="AC1405" t="n">
        <v>2</v>
      </c>
      <c r="AD1405" t="n">
        <v>19</v>
      </c>
      <c r="AE1405" t="n">
        <v>26</v>
      </c>
      <c r="AF1405" t="n">
        <v>6</v>
      </c>
      <c r="AG1405" t="n">
        <v>11</v>
      </c>
      <c r="AH1405" t="n">
        <v>6</v>
      </c>
      <c r="AI1405" t="n">
        <v>7</v>
      </c>
      <c r="AJ1405" t="n">
        <v>12</v>
      </c>
      <c r="AK1405" t="n">
        <v>13</v>
      </c>
      <c r="AL1405" t="n">
        <v>0</v>
      </c>
      <c r="AM1405" t="n">
        <v>1</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HYPERLINK("https://creighton-primo.hosted.exlibrisgroup.com/primo-explore/search?tab=default_tab&amp;search_scope=EVERYTHING&amp;vid=01CRU&amp;lang=en_US&amp;offset=0&amp;query=any,contains,991002111449702656","Catalog Record")</f>
        <v/>
      </c>
      <c r="AT1405">
        <f>HYPERLINK("http://www.worldcat.org/oclc/27066933","WorldCat Record")</f>
        <v/>
      </c>
      <c r="AU1405" t="inlineStr">
        <is>
          <t>500645939:eng</t>
        </is>
      </c>
      <c r="AV1405" t="inlineStr">
        <is>
          <t>27066933</t>
        </is>
      </c>
      <c r="AW1405" t="inlineStr">
        <is>
          <t>991002111449702656</t>
        </is>
      </c>
      <c r="AX1405" t="inlineStr">
        <is>
          <t>991002111449702656</t>
        </is>
      </c>
      <c r="AY1405" t="inlineStr">
        <is>
          <t>2256809360002656</t>
        </is>
      </c>
      <c r="AZ1405" t="inlineStr">
        <is>
          <t>BOOK</t>
        </is>
      </c>
      <c r="BB1405" t="inlineStr">
        <is>
          <t>9780934977326</t>
        </is>
      </c>
      <c r="BC1405" t="inlineStr">
        <is>
          <t>32285002208501</t>
        </is>
      </c>
      <c r="BD1405" t="inlineStr">
        <is>
          <t>893798195</t>
        </is>
      </c>
    </row>
    <row r="1406">
      <c r="A1406" t="inlineStr">
        <is>
          <t>No</t>
        </is>
      </c>
      <c r="B1406" t="inlineStr">
        <is>
          <t>DG816.3 .L4 1967b</t>
        </is>
      </c>
      <c r="C1406" t="inlineStr">
        <is>
          <t>0                      DG 0816300L  4           1967b</t>
        </is>
      </c>
      <c r="D1406" t="inlineStr">
        <is>
          <t>Saint Peter's; the story of Saint Peter's Basilica in Rome.</t>
        </is>
      </c>
      <c r="F1406" t="inlineStr">
        <is>
          <t>No</t>
        </is>
      </c>
      <c r="G1406" t="inlineStr">
        <is>
          <t>1</t>
        </is>
      </c>
      <c r="H1406" t="inlineStr">
        <is>
          <t>No</t>
        </is>
      </c>
      <c r="I1406" t="inlineStr">
        <is>
          <t>No</t>
        </is>
      </c>
      <c r="J1406" t="inlineStr">
        <is>
          <t>0</t>
        </is>
      </c>
      <c r="K1406" t="inlineStr">
        <is>
          <t>Lees-Milne, James.</t>
        </is>
      </c>
      <c r="L1406" t="inlineStr">
        <is>
          <t>Boston, Little, Brown [1967]</t>
        </is>
      </c>
      <c r="M1406" t="inlineStr">
        <is>
          <t>1967</t>
        </is>
      </c>
      <c r="O1406" t="inlineStr">
        <is>
          <t>eng</t>
        </is>
      </c>
      <c r="P1406" t="inlineStr">
        <is>
          <t>mau</t>
        </is>
      </c>
      <c r="R1406" t="inlineStr">
        <is>
          <t xml:space="preserve">DG </t>
        </is>
      </c>
      <c r="S1406" t="n">
        <v>5</v>
      </c>
      <c r="T1406" t="n">
        <v>5</v>
      </c>
      <c r="U1406" t="inlineStr">
        <is>
          <t>2009-07-13</t>
        </is>
      </c>
      <c r="V1406" t="inlineStr">
        <is>
          <t>2009-07-13</t>
        </is>
      </c>
      <c r="W1406" t="inlineStr">
        <is>
          <t>1997-02-06</t>
        </is>
      </c>
      <c r="X1406" t="inlineStr">
        <is>
          <t>1997-02-06</t>
        </is>
      </c>
      <c r="Y1406" t="n">
        <v>813</v>
      </c>
      <c r="Z1406" t="n">
        <v>783</v>
      </c>
      <c r="AA1406" t="n">
        <v>873</v>
      </c>
      <c r="AB1406" t="n">
        <v>6</v>
      </c>
      <c r="AC1406" t="n">
        <v>6</v>
      </c>
      <c r="AD1406" t="n">
        <v>30</v>
      </c>
      <c r="AE1406" t="n">
        <v>32</v>
      </c>
      <c r="AF1406" t="n">
        <v>10</v>
      </c>
      <c r="AG1406" t="n">
        <v>11</v>
      </c>
      <c r="AH1406" t="n">
        <v>9</v>
      </c>
      <c r="AI1406" t="n">
        <v>10</v>
      </c>
      <c r="AJ1406" t="n">
        <v>18</v>
      </c>
      <c r="AK1406" t="n">
        <v>20</v>
      </c>
      <c r="AL1406" t="n">
        <v>1</v>
      </c>
      <c r="AM1406" t="n">
        <v>1</v>
      </c>
      <c r="AN1406" t="n">
        <v>0</v>
      </c>
      <c r="AO1406" t="n">
        <v>0</v>
      </c>
      <c r="AP1406" t="inlineStr">
        <is>
          <t>No</t>
        </is>
      </c>
      <c r="AQ1406" t="inlineStr">
        <is>
          <t>Yes</t>
        </is>
      </c>
      <c r="AR1406">
        <f>HYPERLINK("http://catalog.hathitrust.org/Record/000374856","HathiTrust Record")</f>
        <v/>
      </c>
      <c r="AS1406">
        <f>HYPERLINK("https://creighton-primo.hosted.exlibrisgroup.com/primo-explore/search?tab=default_tab&amp;search_scope=EVERYTHING&amp;vid=01CRU&amp;lang=en_US&amp;offset=0&amp;query=any,contains,991003736149702656","Catalog Record")</f>
        <v/>
      </c>
      <c r="AT1406">
        <f>HYPERLINK("http://www.worldcat.org/oclc/1393052","WorldCat Record")</f>
        <v/>
      </c>
      <c r="AU1406" t="inlineStr">
        <is>
          <t>10918758:eng</t>
        </is>
      </c>
      <c r="AV1406" t="inlineStr">
        <is>
          <t>1393052</t>
        </is>
      </c>
      <c r="AW1406" t="inlineStr">
        <is>
          <t>991003736149702656</t>
        </is>
      </c>
      <c r="AX1406" t="inlineStr">
        <is>
          <t>991003736149702656</t>
        </is>
      </c>
      <c r="AY1406" t="inlineStr">
        <is>
          <t>2258334520002656</t>
        </is>
      </c>
      <c r="AZ1406" t="inlineStr">
        <is>
          <t>BOOK</t>
        </is>
      </c>
      <c r="BC1406" t="inlineStr">
        <is>
          <t>32285002423720</t>
        </is>
      </c>
      <c r="BD1406" t="inlineStr">
        <is>
          <t>893617675</t>
        </is>
      </c>
    </row>
    <row r="1407">
      <c r="A1407" t="inlineStr">
        <is>
          <t>No</t>
        </is>
      </c>
      <c r="B1407" t="inlineStr">
        <is>
          <t>DG82 .S8613</t>
        </is>
      </c>
      <c r="C1407" t="inlineStr">
        <is>
          <t>0                      DG 0082000S  8613</t>
        </is>
      </c>
      <c r="D1407" t="inlineStr">
        <is>
          <t>The idea of the city in Roman thought: from walled city to spiritual commonwealth. Translated by S. O'Donnell.</t>
        </is>
      </c>
      <c r="F1407" t="inlineStr">
        <is>
          <t>No</t>
        </is>
      </c>
      <c r="G1407" t="inlineStr">
        <is>
          <t>1</t>
        </is>
      </c>
      <c r="H1407" t="inlineStr">
        <is>
          <t>No</t>
        </is>
      </c>
      <c r="I1407" t="inlineStr">
        <is>
          <t>No</t>
        </is>
      </c>
      <c r="J1407" t="inlineStr">
        <is>
          <t>0</t>
        </is>
      </c>
      <c r="K1407" t="inlineStr">
        <is>
          <t>Storoni Mazzolani, Lidia.</t>
        </is>
      </c>
      <c r="L1407" t="inlineStr">
        <is>
          <t>Bloomington, Indiana University Press [1970]</t>
        </is>
      </c>
      <c r="M1407" t="inlineStr">
        <is>
          <t>1970</t>
        </is>
      </c>
      <c r="O1407" t="inlineStr">
        <is>
          <t>eng</t>
        </is>
      </c>
      <c r="P1407" t="inlineStr">
        <is>
          <t>inu</t>
        </is>
      </c>
      <c r="R1407" t="inlineStr">
        <is>
          <t xml:space="preserve">DG </t>
        </is>
      </c>
      <c r="S1407" t="n">
        <v>1</v>
      </c>
      <c r="T1407" t="n">
        <v>1</v>
      </c>
      <c r="U1407" t="inlineStr">
        <is>
          <t>2002-09-09</t>
        </is>
      </c>
      <c r="V1407" t="inlineStr">
        <is>
          <t>2002-09-09</t>
        </is>
      </c>
      <c r="W1407" t="inlineStr">
        <is>
          <t>1997-02-03</t>
        </is>
      </c>
      <c r="X1407" t="inlineStr">
        <is>
          <t>1997-02-03</t>
        </is>
      </c>
      <c r="Y1407" t="n">
        <v>774</v>
      </c>
      <c r="Z1407" t="n">
        <v>732</v>
      </c>
      <c r="AA1407" t="n">
        <v>795</v>
      </c>
      <c r="AB1407" t="n">
        <v>5</v>
      </c>
      <c r="AC1407" t="n">
        <v>5</v>
      </c>
      <c r="AD1407" t="n">
        <v>36</v>
      </c>
      <c r="AE1407" t="n">
        <v>40</v>
      </c>
      <c r="AF1407" t="n">
        <v>15</v>
      </c>
      <c r="AG1407" t="n">
        <v>16</v>
      </c>
      <c r="AH1407" t="n">
        <v>10</v>
      </c>
      <c r="AI1407" t="n">
        <v>11</v>
      </c>
      <c r="AJ1407" t="n">
        <v>18</v>
      </c>
      <c r="AK1407" t="n">
        <v>21</v>
      </c>
      <c r="AL1407" t="n">
        <v>4</v>
      </c>
      <c r="AM1407" t="n">
        <v>4</v>
      </c>
      <c r="AN1407" t="n">
        <v>0</v>
      </c>
      <c r="AO1407" t="n">
        <v>0</v>
      </c>
      <c r="AP1407" t="inlineStr">
        <is>
          <t>No</t>
        </is>
      </c>
      <c r="AQ1407" t="inlineStr">
        <is>
          <t>No</t>
        </is>
      </c>
      <c r="AS1407">
        <f>HYPERLINK("https://creighton-primo.hosted.exlibrisgroup.com/primo-explore/search?tab=default_tab&amp;search_scope=EVERYTHING&amp;vid=01CRU&amp;lang=en_US&amp;offset=0&amp;query=any,contains,991000564509702656","Catalog Record")</f>
        <v/>
      </c>
      <c r="AT1407">
        <f>HYPERLINK("http://www.worldcat.org/oclc/93859","WorldCat Record")</f>
        <v/>
      </c>
      <c r="AU1407" t="inlineStr">
        <is>
          <t>1290244:eng</t>
        </is>
      </c>
      <c r="AV1407" t="inlineStr">
        <is>
          <t>93859</t>
        </is>
      </c>
      <c r="AW1407" t="inlineStr">
        <is>
          <t>991000564509702656</t>
        </is>
      </c>
      <c r="AX1407" t="inlineStr">
        <is>
          <t>991000564509702656</t>
        </is>
      </c>
      <c r="AY1407" t="inlineStr">
        <is>
          <t>2265649970002656</t>
        </is>
      </c>
      <c r="AZ1407" t="inlineStr">
        <is>
          <t>BOOK</t>
        </is>
      </c>
      <c r="BB1407" t="inlineStr">
        <is>
          <t>9780253139801</t>
        </is>
      </c>
      <c r="BC1407" t="inlineStr">
        <is>
          <t>32285002419637</t>
        </is>
      </c>
      <c r="BD1407" t="inlineStr">
        <is>
          <t>893249469</t>
        </is>
      </c>
    </row>
    <row r="1408">
      <c r="A1408" t="inlineStr">
        <is>
          <t>No</t>
        </is>
      </c>
      <c r="B1408" t="inlineStr">
        <is>
          <t>DG821 .O2 1953</t>
        </is>
      </c>
      <c r="C1408" t="inlineStr">
        <is>
          <t>0                      DG 0821000O  2           1953</t>
        </is>
      </c>
      <c r="D1408" t="inlineStr">
        <is>
          <t>South to Sicily / by Sean O'Faolain.</t>
        </is>
      </c>
      <c r="F1408" t="inlineStr">
        <is>
          <t>No</t>
        </is>
      </c>
      <c r="G1408" t="inlineStr">
        <is>
          <t>1</t>
        </is>
      </c>
      <c r="H1408" t="inlineStr">
        <is>
          <t>No</t>
        </is>
      </c>
      <c r="I1408" t="inlineStr">
        <is>
          <t>No</t>
        </is>
      </c>
      <c r="J1408" t="inlineStr">
        <is>
          <t>0</t>
        </is>
      </c>
      <c r="K1408" t="inlineStr">
        <is>
          <t>O'Faoláin, Seán, 1900-1991</t>
        </is>
      </c>
      <c r="L1408" t="inlineStr">
        <is>
          <t>London : Collins, 1953.</t>
        </is>
      </c>
      <c r="M1408" t="inlineStr">
        <is>
          <t>1953</t>
        </is>
      </c>
      <c r="O1408" t="inlineStr">
        <is>
          <t>eng</t>
        </is>
      </c>
      <c r="P1408" t="inlineStr">
        <is>
          <t>enk</t>
        </is>
      </c>
      <c r="R1408" t="inlineStr">
        <is>
          <t xml:space="preserve">DG </t>
        </is>
      </c>
      <c r="S1408" t="n">
        <v>1</v>
      </c>
      <c r="T1408" t="n">
        <v>1</v>
      </c>
      <c r="U1408" t="inlineStr">
        <is>
          <t>2007-03-15</t>
        </is>
      </c>
      <c r="V1408" t="inlineStr">
        <is>
          <t>2007-03-15</t>
        </is>
      </c>
      <c r="W1408" t="inlineStr">
        <is>
          <t>1990-07-26</t>
        </is>
      </c>
      <c r="X1408" t="inlineStr">
        <is>
          <t>1990-07-26</t>
        </is>
      </c>
      <c r="Y1408" t="n">
        <v>122</v>
      </c>
      <c r="Z1408" t="n">
        <v>70</v>
      </c>
      <c r="AA1408" t="n">
        <v>71</v>
      </c>
      <c r="AB1408" t="n">
        <v>1</v>
      </c>
      <c r="AC1408" t="n">
        <v>1</v>
      </c>
      <c r="AD1408" t="n">
        <v>6</v>
      </c>
      <c r="AE1408" t="n">
        <v>6</v>
      </c>
      <c r="AF1408" t="n">
        <v>1</v>
      </c>
      <c r="AG1408" t="n">
        <v>1</v>
      </c>
      <c r="AH1408" t="n">
        <v>2</v>
      </c>
      <c r="AI1408" t="n">
        <v>2</v>
      </c>
      <c r="AJ1408" t="n">
        <v>5</v>
      </c>
      <c r="AK1408" t="n">
        <v>5</v>
      </c>
      <c r="AL1408" t="n">
        <v>0</v>
      </c>
      <c r="AM1408" t="n">
        <v>0</v>
      </c>
      <c r="AN1408" t="n">
        <v>0</v>
      </c>
      <c r="AO1408" t="n">
        <v>0</v>
      </c>
      <c r="AP1408" t="inlineStr">
        <is>
          <t>No</t>
        </is>
      </c>
      <c r="AQ1408" t="inlineStr">
        <is>
          <t>Yes</t>
        </is>
      </c>
      <c r="AR1408">
        <f>HYPERLINK("http://catalog.hathitrust.org/Record/000375160","HathiTrust Record")</f>
        <v/>
      </c>
      <c r="AS1408">
        <f>HYPERLINK("https://creighton-primo.hosted.exlibrisgroup.com/primo-explore/search?tab=default_tab&amp;search_scope=EVERYTHING&amp;vid=01CRU&amp;lang=en_US&amp;offset=0&amp;query=any,contains,991005253739702656","Catalog Record")</f>
        <v/>
      </c>
      <c r="AT1408">
        <f>HYPERLINK("http://www.worldcat.org/oclc/8521872","WorldCat Record")</f>
        <v/>
      </c>
      <c r="AU1408" t="inlineStr">
        <is>
          <t>32460079:eng</t>
        </is>
      </c>
      <c r="AV1408" t="inlineStr">
        <is>
          <t>8521872</t>
        </is>
      </c>
      <c r="AW1408" t="inlineStr">
        <is>
          <t>991005253739702656</t>
        </is>
      </c>
      <c r="AX1408" t="inlineStr">
        <is>
          <t>991005253739702656</t>
        </is>
      </c>
      <c r="AY1408" t="inlineStr">
        <is>
          <t>2269762850002656</t>
        </is>
      </c>
      <c r="AZ1408" t="inlineStr">
        <is>
          <t>BOOK</t>
        </is>
      </c>
      <c r="BC1408" t="inlineStr">
        <is>
          <t>32285000248392</t>
        </is>
      </c>
      <c r="BD1408" t="inlineStr">
        <is>
          <t>893870767</t>
        </is>
      </c>
    </row>
    <row r="1409">
      <c r="A1409" t="inlineStr">
        <is>
          <t>No</t>
        </is>
      </c>
      <c r="B1409" t="inlineStr">
        <is>
          <t>DG83.3 .B3 1972</t>
        </is>
      </c>
      <c r="C1409" t="inlineStr">
        <is>
          <t>0                      DG 0083300B  3           1972</t>
        </is>
      </c>
      <c r="D1409" t="inlineStr">
        <is>
          <t>Foreign clientelae, 264-70 B.C.</t>
        </is>
      </c>
      <c r="F1409" t="inlineStr">
        <is>
          <t>No</t>
        </is>
      </c>
      <c r="G1409" t="inlineStr">
        <is>
          <t>1</t>
        </is>
      </c>
      <c r="H1409" t="inlineStr">
        <is>
          <t>No</t>
        </is>
      </c>
      <c r="I1409" t="inlineStr">
        <is>
          <t>No</t>
        </is>
      </c>
      <c r="J1409" t="inlineStr">
        <is>
          <t>0</t>
        </is>
      </c>
      <c r="K1409" t="inlineStr">
        <is>
          <t>Badian, E.</t>
        </is>
      </c>
      <c r="L1409" t="inlineStr">
        <is>
          <t>Oxford : Clarendon Press, 1972, c1958.</t>
        </is>
      </c>
      <c r="M1409" t="inlineStr">
        <is>
          <t>1972</t>
        </is>
      </c>
      <c r="O1409" t="inlineStr">
        <is>
          <t>eng</t>
        </is>
      </c>
      <c r="P1409" t="inlineStr">
        <is>
          <t>enk</t>
        </is>
      </c>
      <c r="R1409" t="inlineStr">
        <is>
          <t xml:space="preserve">DG </t>
        </is>
      </c>
      <c r="S1409" t="n">
        <v>13</v>
      </c>
      <c r="T1409" t="n">
        <v>13</v>
      </c>
      <c r="U1409" t="inlineStr">
        <is>
          <t>2002-05-01</t>
        </is>
      </c>
      <c r="V1409" t="inlineStr">
        <is>
          <t>2002-05-01</t>
        </is>
      </c>
      <c r="W1409" t="inlineStr">
        <is>
          <t>1991-09-18</t>
        </is>
      </c>
      <c r="X1409" t="inlineStr">
        <is>
          <t>1991-09-18</t>
        </is>
      </c>
      <c r="Y1409" t="n">
        <v>514</v>
      </c>
      <c r="Z1409" t="n">
        <v>356</v>
      </c>
      <c r="AA1409" t="n">
        <v>438</v>
      </c>
      <c r="AB1409" t="n">
        <v>1</v>
      </c>
      <c r="AC1409" t="n">
        <v>3</v>
      </c>
      <c r="AD1409" t="n">
        <v>16</v>
      </c>
      <c r="AE1409" t="n">
        <v>24</v>
      </c>
      <c r="AF1409" t="n">
        <v>7</v>
      </c>
      <c r="AG1409" t="n">
        <v>11</v>
      </c>
      <c r="AH1409" t="n">
        <v>2</v>
      </c>
      <c r="AI1409" t="n">
        <v>4</v>
      </c>
      <c r="AJ1409" t="n">
        <v>8</v>
      </c>
      <c r="AK1409" t="n">
        <v>12</v>
      </c>
      <c r="AL1409" t="n">
        <v>0</v>
      </c>
      <c r="AM1409" t="n">
        <v>2</v>
      </c>
      <c r="AN1409" t="n">
        <v>0</v>
      </c>
      <c r="AO1409" t="n">
        <v>0</v>
      </c>
      <c r="AP1409" t="inlineStr">
        <is>
          <t>No</t>
        </is>
      </c>
      <c r="AQ1409" t="inlineStr">
        <is>
          <t>Yes</t>
        </is>
      </c>
      <c r="AR1409">
        <f>HYPERLINK("http://catalog.hathitrust.org/Record/000610926","HathiTrust Record")</f>
        <v/>
      </c>
      <c r="AS1409">
        <f>HYPERLINK("https://creighton-primo.hosted.exlibrisgroup.com/primo-explore/search?tab=default_tab&amp;search_scope=EVERYTHING&amp;vid=01CRU&amp;lang=en_US&amp;offset=0&amp;query=any,contains,991005355199702656","Catalog Record")</f>
        <v/>
      </c>
      <c r="AT1409">
        <f>HYPERLINK("http://www.worldcat.org/oclc/403536","WorldCat Record")</f>
        <v/>
      </c>
      <c r="AU1409" t="inlineStr">
        <is>
          <t>163613:eng</t>
        </is>
      </c>
      <c r="AV1409" t="inlineStr">
        <is>
          <t>403536</t>
        </is>
      </c>
      <c r="AW1409" t="inlineStr">
        <is>
          <t>991005355199702656</t>
        </is>
      </c>
      <c r="AX1409" t="inlineStr">
        <is>
          <t>991005355199702656</t>
        </is>
      </c>
      <c r="AY1409" t="inlineStr">
        <is>
          <t>2259897320002656</t>
        </is>
      </c>
      <c r="AZ1409" t="inlineStr">
        <is>
          <t>BOOK</t>
        </is>
      </c>
      <c r="BC1409" t="inlineStr">
        <is>
          <t>32285000758770</t>
        </is>
      </c>
      <c r="BD1409" t="inlineStr">
        <is>
          <t>893625867</t>
        </is>
      </c>
    </row>
    <row r="1410">
      <c r="A1410" t="inlineStr">
        <is>
          <t>No</t>
        </is>
      </c>
      <c r="B1410" t="inlineStr">
        <is>
          <t>DG83.3 .G413</t>
        </is>
      </c>
      <c r="C1410" t="inlineStr">
        <is>
          <t>0                      DG 0083300G  413</t>
        </is>
      </c>
      <c r="D1410" t="inlineStr">
        <is>
          <t>The Roman nobility / translated with an introduction by Robin Seager.</t>
        </is>
      </c>
      <c r="F1410" t="inlineStr">
        <is>
          <t>No</t>
        </is>
      </c>
      <c r="G1410" t="inlineStr">
        <is>
          <t>1</t>
        </is>
      </c>
      <c r="H1410" t="inlineStr">
        <is>
          <t>No</t>
        </is>
      </c>
      <c r="I1410" t="inlineStr">
        <is>
          <t>No</t>
        </is>
      </c>
      <c r="J1410" t="inlineStr">
        <is>
          <t>0</t>
        </is>
      </c>
      <c r="K1410" t="inlineStr">
        <is>
          <t>Gelzer, Matthias, 1886-1974.</t>
        </is>
      </c>
      <c r="L1410" t="inlineStr">
        <is>
          <t>Oxford : Blackwell, 1969.</t>
        </is>
      </c>
      <c r="M1410" t="inlineStr">
        <is>
          <t>1969</t>
        </is>
      </c>
      <c r="O1410" t="inlineStr">
        <is>
          <t>eng</t>
        </is>
      </c>
      <c r="P1410" t="inlineStr">
        <is>
          <t>enk</t>
        </is>
      </c>
      <c r="R1410" t="inlineStr">
        <is>
          <t xml:space="preserve">DG </t>
        </is>
      </c>
      <c r="S1410" t="n">
        <v>9</v>
      </c>
      <c r="T1410" t="n">
        <v>9</v>
      </c>
      <c r="U1410" t="inlineStr">
        <is>
          <t>2010-03-08</t>
        </is>
      </c>
      <c r="V1410" t="inlineStr">
        <is>
          <t>2010-03-08</t>
        </is>
      </c>
      <c r="W1410" t="inlineStr">
        <is>
          <t>1991-09-18</t>
        </is>
      </c>
      <c r="X1410" t="inlineStr">
        <is>
          <t>1991-09-18</t>
        </is>
      </c>
      <c r="Y1410" t="n">
        <v>481</v>
      </c>
      <c r="Z1410" t="n">
        <v>318</v>
      </c>
      <c r="AA1410" t="n">
        <v>559</v>
      </c>
      <c r="AB1410" t="n">
        <v>2</v>
      </c>
      <c r="AC1410" t="n">
        <v>6</v>
      </c>
      <c r="AD1410" t="n">
        <v>14</v>
      </c>
      <c r="AE1410" t="n">
        <v>36</v>
      </c>
      <c r="AF1410" t="n">
        <v>7</v>
      </c>
      <c r="AG1410" t="n">
        <v>10</v>
      </c>
      <c r="AH1410" t="n">
        <v>3</v>
      </c>
      <c r="AI1410" t="n">
        <v>9</v>
      </c>
      <c r="AJ1410" t="n">
        <v>9</v>
      </c>
      <c r="AK1410" t="n">
        <v>20</v>
      </c>
      <c r="AL1410" t="n">
        <v>1</v>
      </c>
      <c r="AM1410" t="n">
        <v>5</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HYPERLINK("https://creighton-primo.hosted.exlibrisgroup.com/primo-explore/search?tab=default_tab&amp;search_scope=EVERYTHING&amp;vid=01CRU&amp;lang=en_US&amp;offset=0&amp;query=any,contains,991000057799702656","Catalog Record")</f>
        <v/>
      </c>
      <c r="AT1410">
        <f>HYPERLINK("http://www.worldcat.org/oclc/23805","WorldCat Record")</f>
        <v/>
      </c>
      <c r="AU1410" t="inlineStr">
        <is>
          <t>3901144798:eng</t>
        </is>
      </c>
      <c r="AV1410" t="inlineStr">
        <is>
          <t>23805</t>
        </is>
      </c>
      <c r="AW1410" t="inlineStr">
        <is>
          <t>991000057799702656</t>
        </is>
      </c>
      <c r="AX1410" t="inlineStr">
        <is>
          <t>991000057799702656</t>
        </is>
      </c>
      <c r="AY1410" t="inlineStr">
        <is>
          <t>2267766240002656</t>
        </is>
      </c>
      <c r="AZ1410" t="inlineStr">
        <is>
          <t>BOOK</t>
        </is>
      </c>
      <c r="BB1410" t="inlineStr">
        <is>
          <t>9780631119401</t>
        </is>
      </c>
      <c r="BC1410" t="inlineStr">
        <is>
          <t>32285000758762</t>
        </is>
      </c>
      <c r="BD1410" t="inlineStr">
        <is>
          <t>893333165</t>
        </is>
      </c>
    </row>
    <row r="1411">
      <c r="A1411" t="inlineStr">
        <is>
          <t>No</t>
        </is>
      </c>
      <c r="B1411" t="inlineStr">
        <is>
          <t>DG83.3 .Y313</t>
        </is>
      </c>
      <c r="C1411" t="inlineStr">
        <is>
          <t>0                      DG 0083300Y  313</t>
        </is>
      </c>
      <c r="D1411" t="inlineStr">
        <is>
          <t>Plebs and princeps [by] Z. Yavetz.</t>
        </is>
      </c>
      <c r="F1411" t="inlineStr">
        <is>
          <t>No</t>
        </is>
      </c>
      <c r="G1411" t="inlineStr">
        <is>
          <t>1</t>
        </is>
      </c>
      <c r="H1411" t="inlineStr">
        <is>
          <t>No</t>
        </is>
      </c>
      <c r="I1411" t="inlineStr">
        <is>
          <t>No</t>
        </is>
      </c>
      <c r="J1411" t="inlineStr">
        <is>
          <t>0</t>
        </is>
      </c>
      <c r="K1411" t="inlineStr">
        <is>
          <t>Yavetz, Zvi, 1925-2013.</t>
        </is>
      </c>
      <c r="L1411" t="inlineStr">
        <is>
          <t>London, Oxford U.P., 1969.</t>
        </is>
      </c>
      <c r="M1411" t="inlineStr">
        <is>
          <t>1969</t>
        </is>
      </c>
      <c r="O1411" t="inlineStr">
        <is>
          <t>eng</t>
        </is>
      </c>
      <c r="P1411" t="inlineStr">
        <is>
          <t>enk</t>
        </is>
      </c>
      <c r="R1411" t="inlineStr">
        <is>
          <t xml:space="preserve">DG </t>
        </is>
      </c>
      <c r="S1411" t="n">
        <v>1</v>
      </c>
      <c r="T1411" t="n">
        <v>1</v>
      </c>
      <c r="U1411" t="inlineStr">
        <is>
          <t>2008-04-23</t>
        </is>
      </c>
      <c r="V1411" t="inlineStr">
        <is>
          <t>2008-04-23</t>
        </is>
      </c>
      <c r="W1411" t="inlineStr">
        <is>
          <t>1997-02-03</t>
        </is>
      </c>
      <c r="X1411" t="inlineStr">
        <is>
          <t>1997-02-03</t>
        </is>
      </c>
      <c r="Y1411" t="n">
        <v>514</v>
      </c>
      <c r="Z1411" t="n">
        <v>415</v>
      </c>
      <c r="AA1411" t="n">
        <v>467</v>
      </c>
      <c r="AB1411" t="n">
        <v>2</v>
      </c>
      <c r="AC1411" t="n">
        <v>2</v>
      </c>
      <c r="AD1411" t="n">
        <v>23</v>
      </c>
      <c r="AE1411" t="n">
        <v>28</v>
      </c>
      <c r="AF1411" t="n">
        <v>8</v>
      </c>
      <c r="AG1411" t="n">
        <v>11</v>
      </c>
      <c r="AH1411" t="n">
        <v>7</v>
      </c>
      <c r="AI1411" t="n">
        <v>9</v>
      </c>
      <c r="AJ1411" t="n">
        <v>13</v>
      </c>
      <c r="AK1411" t="n">
        <v>16</v>
      </c>
      <c r="AL1411" t="n">
        <v>1</v>
      </c>
      <c r="AM1411" t="n">
        <v>1</v>
      </c>
      <c r="AN1411" t="n">
        <v>1</v>
      </c>
      <c r="AO1411" t="n">
        <v>1</v>
      </c>
      <c r="AP1411" t="inlineStr">
        <is>
          <t>No</t>
        </is>
      </c>
      <c r="AQ1411" t="inlineStr">
        <is>
          <t>Yes</t>
        </is>
      </c>
      <c r="AR1411">
        <f>HYPERLINK("http://catalog.hathitrust.org/Record/000610936","HathiTrust Record")</f>
        <v/>
      </c>
      <c r="AS1411">
        <f>HYPERLINK("https://creighton-primo.hosted.exlibrisgroup.com/primo-explore/search?tab=default_tab&amp;search_scope=EVERYTHING&amp;vid=01CRU&amp;lang=en_US&amp;offset=0&amp;query=any,contains,991000088969702656","Catalog Record")</f>
        <v/>
      </c>
      <c r="AT1411">
        <f>HYPERLINK("http://www.worldcat.org/oclc/34878","WorldCat Record")</f>
        <v/>
      </c>
      <c r="AU1411" t="inlineStr">
        <is>
          <t>1194937:eng</t>
        </is>
      </c>
      <c r="AV1411" t="inlineStr">
        <is>
          <t>34878</t>
        </is>
      </c>
      <c r="AW1411" t="inlineStr">
        <is>
          <t>991000088969702656</t>
        </is>
      </c>
      <c r="AX1411" t="inlineStr">
        <is>
          <t>991000088969702656</t>
        </is>
      </c>
      <c r="AY1411" t="inlineStr">
        <is>
          <t>2259685470002656</t>
        </is>
      </c>
      <c r="AZ1411" t="inlineStr">
        <is>
          <t>BOOK</t>
        </is>
      </c>
      <c r="BB1411" t="inlineStr">
        <is>
          <t>9780198142720</t>
        </is>
      </c>
      <c r="BC1411" t="inlineStr">
        <is>
          <t>32285002419652</t>
        </is>
      </c>
      <c r="BD1411" t="inlineStr">
        <is>
          <t>893425414</t>
        </is>
      </c>
    </row>
    <row r="1412">
      <c r="A1412" t="inlineStr">
        <is>
          <t>No</t>
        </is>
      </c>
      <c r="B1412" t="inlineStr">
        <is>
          <t>DG83.5 .A1 B73</t>
        </is>
      </c>
      <c r="C1412" t="inlineStr">
        <is>
          <t>0                      DG 0083500A  1                  B  73</t>
        </is>
      </c>
      <c r="D1412" t="inlineStr">
        <is>
          <t>The magistrates of the Roman Republic ? by T. Robert S. Broughton with the collaboration of Marcia L. Patterson.</t>
        </is>
      </c>
      <c r="E1412" t="inlineStr">
        <is>
          <t>V.2</t>
        </is>
      </c>
      <c r="F1412" t="inlineStr">
        <is>
          <t>Yes</t>
        </is>
      </c>
      <c r="G1412" t="inlineStr">
        <is>
          <t>1</t>
        </is>
      </c>
      <c r="H1412" t="inlineStr">
        <is>
          <t>No</t>
        </is>
      </c>
      <c r="I1412" t="inlineStr">
        <is>
          <t>No</t>
        </is>
      </c>
      <c r="J1412" t="inlineStr">
        <is>
          <t>0</t>
        </is>
      </c>
      <c r="K1412" t="inlineStr">
        <is>
          <t>Broughton, T. Robert S. (Thomas Robert Shannon), 1900-1993.</t>
        </is>
      </c>
      <c r="L1412" t="inlineStr">
        <is>
          <t>New York : American Philological Association, 1951-52.</t>
        </is>
      </c>
      <c r="M1412" t="inlineStr">
        <is>
          <t>1951</t>
        </is>
      </c>
      <c r="O1412" t="inlineStr">
        <is>
          <t>eng</t>
        </is>
      </c>
      <c r="P1412" t="inlineStr">
        <is>
          <t>nyu</t>
        </is>
      </c>
      <c r="Q1412" t="inlineStr">
        <is>
          <t>Philological monographs ; no. 15, v. 1-2</t>
        </is>
      </c>
      <c r="R1412" t="inlineStr">
        <is>
          <t xml:space="preserve">DG </t>
        </is>
      </c>
      <c r="S1412" t="n">
        <v>0</v>
      </c>
      <c r="T1412" t="n">
        <v>2</v>
      </c>
      <c r="V1412" t="inlineStr">
        <is>
          <t>2000-09-27</t>
        </is>
      </c>
      <c r="W1412" t="inlineStr">
        <is>
          <t>1997-02-03</t>
        </is>
      </c>
      <c r="X1412" t="inlineStr">
        <is>
          <t>1997-02-03</t>
        </is>
      </c>
      <c r="Y1412" t="n">
        <v>409</v>
      </c>
      <c r="Z1412" t="n">
        <v>328</v>
      </c>
      <c r="AA1412" t="n">
        <v>537</v>
      </c>
      <c r="AB1412" t="n">
        <v>2</v>
      </c>
      <c r="AC1412" t="n">
        <v>3</v>
      </c>
      <c r="AD1412" t="n">
        <v>26</v>
      </c>
      <c r="AE1412" t="n">
        <v>35</v>
      </c>
      <c r="AF1412" t="n">
        <v>7</v>
      </c>
      <c r="AG1412" t="n">
        <v>14</v>
      </c>
      <c r="AH1412" t="n">
        <v>9</v>
      </c>
      <c r="AI1412" t="n">
        <v>11</v>
      </c>
      <c r="AJ1412" t="n">
        <v>17</v>
      </c>
      <c r="AK1412" t="n">
        <v>20</v>
      </c>
      <c r="AL1412" t="n">
        <v>1</v>
      </c>
      <c r="AM1412" t="n">
        <v>2</v>
      </c>
      <c r="AN1412" t="n">
        <v>0</v>
      </c>
      <c r="AO1412" t="n">
        <v>0</v>
      </c>
      <c r="AP1412" t="inlineStr">
        <is>
          <t>Yes</t>
        </is>
      </c>
      <c r="AQ1412" t="inlineStr">
        <is>
          <t>Yes</t>
        </is>
      </c>
      <c r="AR1412">
        <f>HYPERLINK("http://catalog.hathitrust.org/Record/000832624","HathiTrust Record")</f>
        <v/>
      </c>
      <c r="AS1412">
        <f>HYPERLINK("https://creighton-primo.hosted.exlibrisgroup.com/primo-explore/search?tab=default_tab&amp;search_scope=EVERYTHING&amp;vid=01CRU&amp;lang=en_US&amp;offset=0&amp;query=any,contains,991002708689702656","Catalog Record")</f>
        <v/>
      </c>
      <c r="AT1412">
        <f>HYPERLINK("http://www.worldcat.org/oclc/408299","WorldCat Record")</f>
        <v/>
      </c>
      <c r="AU1412" t="inlineStr">
        <is>
          <t>10141705077:eng</t>
        </is>
      </c>
      <c r="AV1412" t="inlineStr">
        <is>
          <t>408299</t>
        </is>
      </c>
      <c r="AW1412" t="inlineStr">
        <is>
          <t>991002708689702656</t>
        </is>
      </c>
      <c r="AX1412" t="inlineStr">
        <is>
          <t>991002708689702656</t>
        </is>
      </c>
      <c r="AY1412" t="inlineStr">
        <is>
          <t>2264182940002656</t>
        </is>
      </c>
      <c r="AZ1412" t="inlineStr">
        <is>
          <t>BOOK</t>
        </is>
      </c>
      <c r="BC1412" t="inlineStr">
        <is>
          <t>32285002419678</t>
        </is>
      </c>
      <c r="BD1412" t="inlineStr">
        <is>
          <t>893603902</t>
        </is>
      </c>
    </row>
    <row r="1413">
      <c r="A1413" t="inlineStr">
        <is>
          <t>No</t>
        </is>
      </c>
      <c r="B1413" t="inlineStr">
        <is>
          <t>DG83.5 .A1 B73</t>
        </is>
      </c>
      <c r="C1413" t="inlineStr">
        <is>
          <t>0                      DG 0083500A  1                  B  73</t>
        </is>
      </c>
      <c r="D1413" t="inlineStr">
        <is>
          <t>The magistrates of the Roman Republic ? by T. Robert S. Broughton with the collaboration of Marcia L. Patterson.</t>
        </is>
      </c>
      <c r="E1413" t="inlineStr">
        <is>
          <t>V.1</t>
        </is>
      </c>
      <c r="F1413" t="inlineStr">
        <is>
          <t>Yes</t>
        </is>
      </c>
      <c r="G1413" t="inlineStr">
        <is>
          <t>1</t>
        </is>
      </c>
      <c r="H1413" t="inlineStr">
        <is>
          <t>No</t>
        </is>
      </c>
      <c r="I1413" t="inlineStr">
        <is>
          <t>No</t>
        </is>
      </c>
      <c r="J1413" t="inlineStr">
        <is>
          <t>0</t>
        </is>
      </c>
      <c r="K1413" t="inlineStr">
        <is>
          <t>Broughton, T. Robert S. (Thomas Robert Shannon), 1900-1993.</t>
        </is>
      </c>
      <c r="L1413" t="inlineStr">
        <is>
          <t>New York : American Philological Association, 1951-52.</t>
        </is>
      </c>
      <c r="M1413" t="inlineStr">
        <is>
          <t>1951</t>
        </is>
      </c>
      <c r="O1413" t="inlineStr">
        <is>
          <t>eng</t>
        </is>
      </c>
      <c r="P1413" t="inlineStr">
        <is>
          <t>nyu</t>
        </is>
      </c>
      <c r="Q1413" t="inlineStr">
        <is>
          <t>Philological monographs ; no. 15, v. 1-2</t>
        </is>
      </c>
      <c r="R1413" t="inlineStr">
        <is>
          <t xml:space="preserve">DG </t>
        </is>
      </c>
      <c r="S1413" t="n">
        <v>2</v>
      </c>
      <c r="T1413" t="n">
        <v>2</v>
      </c>
      <c r="U1413" t="inlineStr">
        <is>
          <t>2000-09-27</t>
        </is>
      </c>
      <c r="V1413" t="inlineStr">
        <is>
          <t>2000-09-27</t>
        </is>
      </c>
      <c r="W1413" t="inlineStr">
        <is>
          <t>1997-02-03</t>
        </is>
      </c>
      <c r="X1413" t="inlineStr">
        <is>
          <t>1997-02-03</t>
        </is>
      </c>
      <c r="Y1413" t="n">
        <v>409</v>
      </c>
      <c r="Z1413" t="n">
        <v>328</v>
      </c>
      <c r="AA1413" t="n">
        <v>537</v>
      </c>
      <c r="AB1413" t="n">
        <v>2</v>
      </c>
      <c r="AC1413" t="n">
        <v>3</v>
      </c>
      <c r="AD1413" t="n">
        <v>26</v>
      </c>
      <c r="AE1413" t="n">
        <v>35</v>
      </c>
      <c r="AF1413" t="n">
        <v>7</v>
      </c>
      <c r="AG1413" t="n">
        <v>14</v>
      </c>
      <c r="AH1413" t="n">
        <v>9</v>
      </c>
      <c r="AI1413" t="n">
        <v>11</v>
      </c>
      <c r="AJ1413" t="n">
        <v>17</v>
      </c>
      <c r="AK1413" t="n">
        <v>20</v>
      </c>
      <c r="AL1413" t="n">
        <v>1</v>
      </c>
      <c r="AM1413" t="n">
        <v>2</v>
      </c>
      <c r="AN1413" t="n">
        <v>0</v>
      </c>
      <c r="AO1413" t="n">
        <v>0</v>
      </c>
      <c r="AP1413" t="inlineStr">
        <is>
          <t>Yes</t>
        </is>
      </c>
      <c r="AQ1413" t="inlineStr">
        <is>
          <t>Yes</t>
        </is>
      </c>
      <c r="AR1413">
        <f>HYPERLINK("http://catalog.hathitrust.org/Record/000832624","HathiTrust Record")</f>
        <v/>
      </c>
      <c r="AS1413">
        <f>HYPERLINK("https://creighton-primo.hosted.exlibrisgroup.com/primo-explore/search?tab=default_tab&amp;search_scope=EVERYTHING&amp;vid=01CRU&amp;lang=en_US&amp;offset=0&amp;query=any,contains,991002708689702656","Catalog Record")</f>
        <v/>
      </c>
      <c r="AT1413">
        <f>HYPERLINK("http://www.worldcat.org/oclc/408299","WorldCat Record")</f>
        <v/>
      </c>
      <c r="AU1413" t="inlineStr">
        <is>
          <t>10141705077:eng</t>
        </is>
      </c>
      <c r="AV1413" t="inlineStr">
        <is>
          <t>408299</t>
        </is>
      </c>
      <c r="AW1413" t="inlineStr">
        <is>
          <t>991002708689702656</t>
        </is>
      </c>
      <c r="AX1413" t="inlineStr">
        <is>
          <t>991002708689702656</t>
        </is>
      </c>
      <c r="AY1413" t="inlineStr">
        <is>
          <t>2264182940002656</t>
        </is>
      </c>
      <c r="AZ1413" t="inlineStr">
        <is>
          <t>BOOK</t>
        </is>
      </c>
      <c r="BC1413" t="inlineStr">
        <is>
          <t>32285002419660</t>
        </is>
      </c>
      <c r="BD1413" t="inlineStr">
        <is>
          <t>893610182</t>
        </is>
      </c>
    </row>
    <row r="1414">
      <c r="A1414" t="inlineStr">
        <is>
          <t>No</t>
        </is>
      </c>
      <c r="B1414" t="inlineStr">
        <is>
          <t>DG83.5.A1 B73</t>
        </is>
      </c>
      <c r="C1414" t="inlineStr">
        <is>
          <t>0                      DG 0083500A  1                  B  73</t>
        </is>
      </c>
      <c r="D1414" t="inlineStr">
        <is>
          <t>The magistrates of the Roman Republic ? by T. Robert S. Broughton with the collaboration of Marcia L. Patterson.</t>
        </is>
      </c>
      <c r="F1414" t="inlineStr">
        <is>
          <t>Yes</t>
        </is>
      </c>
      <c r="G1414" t="inlineStr">
        <is>
          <t>1</t>
        </is>
      </c>
      <c r="H1414" t="inlineStr">
        <is>
          <t>Yes</t>
        </is>
      </c>
      <c r="I1414" t="inlineStr">
        <is>
          <t>No</t>
        </is>
      </c>
      <c r="J1414" t="inlineStr">
        <is>
          <t>0</t>
        </is>
      </c>
      <c r="K1414" t="inlineStr">
        <is>
          <t>Broughton, T. Robert S. (Thomas Robert Shannon), 1900-1993.</t>
        </is>
      </c>
      <c r="L1414" t="inlineStr">
        <is>
          <t>New York : American Philological Association, 1951-52.</t>
        </is>
      </c>
      <c r="M1414" t="inlineStr">
        <is>
          <t>1951</t>
        </is>
      </c>
      <c r="O1414" t="inlineStr">
        <is>
          <t>eng</t>
        </is>
      </c>
      <c r="P1414" t="inlineStr">
        <is>
          <t>nyu</t>
        </is>
      </c>
      <c r="Q1414" t="inlineStr">
        <is>
          <t>Philological monographs ; no. 15, v. 1-2</t>
        </is>
      </c>
      <c r="R1414" t="inlineStr">
        <is>
          <t xml:space="preserve">DG </t>
        </is>
      </c>
      <c r="S1414" t="n">
        <v>0</v>
      </c>
      <c r="T1414" t="n">
        <v>2</v>
      </c>
      <c r="V1414" t="inlineStr">
        <is>
          <t>2000-09-27</t>
        </is>
      </c>
      <c r="W1414" t="inlineStr">
        <is>
          <t>1997-02-03</t>
        </is>
      </c>
      <c r="X1414" t="inlineStr">
        <is>
          <t>1997-02-03</t>
        </is>
      </c>
      <c r="Y1414" t="n">
        <v>409</v>
      </c>
      <c r="Z1414" t="n">
        <v>328</v>
      </c>
      <c r="AA1414" t="n">
        <v>537</v>
      </c>
      <c r="AB1414" t="n">
        <v>2</v>
      </c>
      <c r="AC1414" t="n">
        <v>3</v>
      </c>
      <c r="AD1414" t="n">
        <v>26</v>
      </c>
      <c r="AE1414" t="n">
        <v>35</v>
      </c>
      <c r="AF1414" t="n">
        <v>7</v>
      </c>
      <c r="AG1414" t="n">
        <v>14</v>
      </c>
      <c r="AH1414" t="n">
        <v>9</v>
      </c>
      <c r="AI1414" t="n">
        <v>11</v>
      </c>
      <c r="AJ1414" t="n">
        <v>17</v>
      </c>
      <c r="AK1414" t="n">
        <v>20</v>
      </c>
      <c r="AL1414" t="n">
        <v>1</v>
      </c>
      <c r="AM1414" t="n">
        <v>2</v>
      </c>
      <c r="AN1414" t="n">
        <v>0</v>
      </c>
      <c r="AO1414" t="n">
        <v>0</v>
      </c>
      <c r="AP1414" t="inlineStr">
        <is>
          <t>Yes</t>
        </is>
      </c>
      <c r="AQ1414" t="inlineStr">
        <is>
          <t>Yes</t>
        </is>
      </c>
      <c r="AR1414">
        <f>HYPERLINK("http://catalog.hathitrust.org/Record/000832624","HathiTrust Record")</f>
        <v/>
      </c>
      <c r="AS1414">
        <f>HYPERLINK("https://creighton-primo.hosted.exlibrisgroup.com/primo-explore/search?tab=default_tab&amp;search_scope=EVERYTHING&amp;vid=01CRU&amp;lang=en_US&amp;offset=0&amp;query=any,contains,991002708689702656","Catalog Record")</f>
        <v/>
      </c>
      <c r="AT1414">
        <f>HYPERLINK("http://www.worldcat.org/oclc/408299","WorldCat Record")</f>
        <v/>
      </c>
      <c r="AU1414" t="inlineStr">
        <is>
          <t>10141705077:eng</t>
        </is>
      </c>
      <c r="AV1414" t="inlineStr">
        <is>
          <t>408299</t>
        </is>
      </c>
      <c r="AW1414" t="inlineStr">
        <is>
          <t>991002708689702656</t>
        </is>
      </c>
      <c r="AX1414" t="inlineStr">
        <is>
          <t>991002708689702656</t>
        </is>
      </c>
      <c r="AY1414" t="inlineStr">
        <is>
          <t>2264182940002656</t>
        </is>
      </c>
      <c r="AZ1414" t="inlineStr">
        <is>
          <t>BOOK</t>
        </is>
      </c>
      <c r="BC1414" t="inlineStr">
        <is>
          <t>32285002419686</t>
        </is>
      </c>
      <c r="BD1414" t="inlineStr">
        <is>
          <t>893603901</t>
        </is>
      </c>
    </row>
    <row r="1415">
      <c r="A1415" t="inlineStr">
        <is>
          <t>No</t>
        </is>
      </c>
      <c r="B1415" t="inlineStr">
        <is>
          <t>DG83.5.I6 M54 1977b</t>
        </is>
      </c>
      <c r="C1415" t="inlineStr">
        <is>
          <t>0                      DG 0083500I  6                  M  54          1977b</t>
        </is>
      </c>
      <c r="D1415" t="inlineStr">
        <is>
          <t>The emperor in the Roman world, 31 BC-AD 337 / Fergus Millar.</t>
        </is>
      </c>
      <c r="F1415" t="inlineStr">
        <is>
          <t>No</t>
        </is>
      </c>
      <c r="G1415" t="inlineStr">
        <is>
          <t>1</t>
        </is>
      </c>
      <c r="H1415" t="inlineStr">
        <is>
          <t>No</t>
        </is>
      </c>
      <c r="I1415" t="inlineStr">
        <is>
          <t>No</t>
        </is>
      </c>
      <c r="J1415" t="inlineStr">
        <is>
          <t>0</t>
        </is>
      </c>
      <c r="K1415" t="inlineStr">
        <is>
          <t>Millar, Fergus.</t>
        </is>
      </c>
      <c r="L1415" t="inlineStr">
        <is>
          <t>Ithaca, N.Y. : Cornell University Press, 1977.</t>
        </is>
      </c>
      <c r="M1415" t="inlineStr">
        <is>
          <t>1977</t>
        </is>
      </c>
      <c r="O1415" t="inlineStr">
        <is>
          <t>eng</t>
        </is>
      </c>
      <c r="P1415" t="inlineStr">
        <is>
          <t>nyu</t>
        </is>
      </c>
      <c r="R1415" t="inlineStr">
        <is>
          <t xml:space="preserve">DG </t>
        </is>
      </c>
      <c r="S1415" t="n">
        <v>14</v>
      </c>
      <c r="T1415" t="n">
        <v>14</v>
      </c>
      <c r="U1415" t="inlineStr">
        <is>
          <t>2009-10-01</t>
        </is>
      </c>
      <c r="V1415" t="inlineStr">
        <is>
          <t>2009-10-01</t>
        </is>
      </c>
      <c r="W1415" t="inlineStr">
        <is>
          <t>1991-03-22</t>
        </is>
      </c>
      <c r="X1415" t="inlineStr">
        <is>
          <t>1991-03-22</t>
        </is>
      </c>
      <c r="Y1415" t="n">
        <v>641</v>
      </c>
      <c r="Z1415" t="n">
        <v>580</v>
      </c>
      <c r="AA1415" t="n">
        <v>719</v>
      </c>
      <c r="AB1415" t="n">
        <v>3</v>
      </c>
      <c r="AC1415" t="n">
        <v>5</v>
      </c>
      <c r="AD1415" t="n">
        <v>31</v>
      </c>
      <c r="AE1415" t="n">
        <v>39</v>
      </c>
      <c r="AF1415" t="n">
        <v>15</v>
      </c>
      <c r="AG1415" t="n">
        <v>20</v>
      </c>
      <c r="AH1415" t="n">
        <v>8</v>
      </c>
      <c r="AI1415" t="n">
        <v>9</v>
      </c>
      <c r="AJ1415" t="n">
        <v>17</v>
      </c>
      <c r="AK1415" t="n">
        <v>18</v>
      </c>
      <c r="AL1415" t="n">
        <v>2</v>
      </c>
      <c r="AM1415" t="n">
        <v>4</v>
      </c>
      <c r="AN1415" t="n">
        <v>0</v>
      </c>
      <c r="AO1415" t="n">
        <v>0</v>
      </c>
      <c r="AP1415" t="inlineStr">
        <is>
          <t>No</t>
        </is>
      </c>
      <c r="AQ1415" t="inlineStr">
        <is>
          <t>Yes</t>
        </is>
      </c>
      <c r="AR1415">
        <f>HYPERLINK("http://catalog.hathitrust.org/Record/000212949","HathiTrust Record")</f>
        <v/>
      </c>
      <c r="AS1415">
        <f>HYPERLINK("https://creighton-primo.hosted.exlibrisgroup.com/primo-explore/search?tab=default_tab&amp;search_scope=EVERYTHING&amp;vid=01CRU&amp;lang=en_US&amp;offset=0&amp;query=any,contains,991004290259702656","Catalog Record")</f>
        <v/>
      </c>
      <c r="AT1415">
        <f>HYPERLINK("http://www.worldcat.org/oclc/2941959","WorldCat Record")</f>
        <v/>
      </c>
      <c r="AU1415" t="inlineStr">
        <is>
          <t>450271:eng</t>
        </is>
      </c>
      <c r="AV1415" t="inlineStr">
        <is>
          <t>2941959</t>
        </is>
      </c>
      <c r="AW1415" t="inlineStr">
        <is>
          <t>991004290259702656</t>
        </is>
      </c>
      <c r="AX1415" t="inlineStr">
        <is>
          <t>991004290259702656</t>
        </is>
      </c>
      <c r="AY1415" t="inlineStr">
        <is>
          <t>2265656000002656</t>
        </is>
      </c>
      <c r="AZ1415" t="inlineStr">
        <is>
          <t>BOOK</t>
        </is>
      </c>
      <c r="BB1415" t="inlineStr">
        <is>
          <t>9780801410581</t>
        </is>
      </c>
      <c r="BC1415" t="inlineStr">
        <is>
          <t>32285000521202</t>
        </is>
      </c>
      <c r="BD1415" t="inlineStr">
        <is>
          <t>893782076</t>
        </is>
      </c>
    </row>
    <row r="1416">
      <c r="A1416" t="inlineStr">
        <is>
          <t>No</t>
        </is>
      </c>
      <c r="B1416" t="inlineStr">
        <is>
          <t>DG83.5.P6 B74 2000</t>
        </is>
      </c>
      <c r="C1416" t="inlineStr">
        <is>
          <t>0                      DG 0083500P  6                  B  74          2000</t>
        </is>
      </c>
      <c r="D1416" t="inlineStr">
        <is>
          <t>The praetorship in the Roman Republic / T. Corey Brennan.</t>
        </is>
      </c>
      <c r="E1416" t="inlineStr">
        <is>
          <t>V. 1</t>
        </is>
      </c>
      <c r="F1416" t="inlineStr">
        <is>
          <t>Yes</t>
        </is>
      </c>
      <c r="G1416" t="inlineStr">
        <is>
          <t>1</t>
        </is>
      </c>
      <c r="H1416" t="inlineStr">
        <is>
          <t>No</t>
        </is>
      </c>
      <c r="I1416" t="inlineStr">
        <is>
          <t>No</t>
        </is>
      </c>
      <c r="J1416" t="inlineStr">
        <is>
          <t>0</t>
        </is>
      </c>
      <c r="K1416" t="inlineStr">
        <is>
          <t>Brennan, T. Corey.</t>
        </is>
      </c>
      <c r="L1416" t="inlineStr">
        <is>
          <t>Oxford ; New York : Oxford University Press, 2000.</t>
        </is>
      </c>
      <c r="M1416" t="inlineStr">
        <is>
          <t>2000</t>
        </is>
      </c>
      <c r="O1416" t="inlineStr">
        <is>
          <t>eng</t>
        </is>
      </c>
      <c r="P1416" t="inlineStr">
        <is>
          <t>enk</t>
        </is>
      </c>
      <c r="R1416" t="inlineStr">
        <is>
          <t xml:space="preserve">DG </t>
        </is>
      </c>
      <c r="S1416" t="n">
        <v>6</v>
      </c>
      <c r="T1416" t="n">
        <v>11</v>
      </c>
      <c r="U1416" t="inlineStr">
        <is>
          <t>2009-04-08</t>
        </is>
      </c>
      <c r="V1416" t="inlineStr">
        <is>
          <t>2009-04-08</t>
        </is>
      </c>
      <c r="W1416" t="inlineStr">
        <is>
          <t>2001-10-29</t>
        </is>
      </c>
      <c r="X1416" t="inlineStr">
        <is>
          <t>2001-10-29</t>
        </is>
      </c>
      <c r="Y1416" t="n">
        <v>264</v>
      </c>
      <c r="Z1416" t="n">
        <v>196</v>
      </c>
      <c r="AA1416" t="n">
        <v>197</v>
      </c>
      <c r="AB1416" t="n">
        <v>1</v>
      </c>
      <c r="AC1416" t="n">
        <v>1</v>
      </c>
      <c r="AD1416" t="n">
        <v>18</v>
      </c>
      <c r="AE1416" t="n">
        <v>18</v>
      </c>
      <c r="AF1416" t="n">
        <v>7</v>
      </c>
      <c r="AG1416" t="n">
        <v>7</v>
      </c>
      <c r="AH1416" t="n">
        <v>5</v>
      </c>
      <c r="AI1416" t="n">
        <v>5</v>
      </c>
      <c r="AJ1416" t="n">
        <v>12</v>
      </c>
      <c r="AK1416" t="n">
        <v>12</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HYPERLINK("https://creighton-primo.hosted.exlibrisgroup.com/primo-explore/search?tab=default_tab&amp;search_scope=EVERYTHING&amp;vid=01CRU&amp;lang=en_US&amp;offset=0&amp;query=any,contains,991003638079702656","Catalog Record")</f>
        <v/>
      </c>
      <c r="AT1416">
        <f>HYPERLINK("http://www.worldcat.org/oclc/41503761","WorldCat Record")</f>
        <v/>
      </c>
      <c r="AU1416" t="inlineStr">
        <is>
          <t>43097:eng</t>
        </is>
      </c>
      <c r="AV1416" t="inlineStr">
        <is>
          <t>41503761</t>
        </is>
      </c>
      <c r="AW1416" t="inlineStr">
        <is>
          <t>991003638079702656</t>
        </is>
      </c>
      <c r="AX1416" t="inlineStr">
        <is>
          <t>991003638079702656</t>
        </is>
      </c>
      <c r="AY1416" t="inlineStr">
        <is>
          <t>2256280470002656</t>
        </is>
      </c>
      <c r="AZ1416" t="inlineStr">
        <is>
          <t>BOOK</t>
        </is>
      </c>
      <c r="BB1416" t="inlineStr">
        <is>
          <t>9780195114591</t>
        </is>
      </c>
      <c r="BC1416" t="inlineStr">
        <is>
          <t>32285004415146</t>
        </is>
      </c>
      <c r="BD1416" t="inlineStr">
        <is>
          <t>893429019</t>
        </is>
      </c>
    </row>
    <row r="1417">
      <c r="A1417" t="inlineStr">
        <is>
          <t>No</t>
        </is>
      </c>
      <c r="B1417" t="inlineStr">
        <is>
          <t>DG83.5.P6 B74 2000</t>
        </is>
      </c>
      <c r="C1417" t="inlineStr">
        <is>
          <t>0                      DG 0083500P  6                  B  74          2000</t>
        </is>
      </c>
      <c r="D1417" t="inlineStr">
        <is>
          <t>The praetorship in the Roman Republic / T. Corey Brennan.</t>
        </is>
      </c>
      <c r="E1417" t="inlineStr">
        <is>
          <t>V. 2</t>
        </is>
      </c>
      <c r="F1417" t="inlineStr">
        <is>
          <t>Yes</t>
        </is>
      </c>
      <c r="G1417" t="inlineStr">
        <is>
          <t>1</t>
        </is>
      </c>
      <c r="H1417" t="inlineStr">
        <is>
          <t>No</t>
        </is>
      </c>
      <c r="I1417" t="inlineStr">
        <is>
          <t>No</t>
        </is>
      </c>
      <c r="J1417" t="inlineStr">
        <is>
          <t>0</t>
        </is>
      </c>
      <c r="K1417" t="inlineStr">
        <is>
          <t>Brennan, T. Corey.</t>
        </is>
      </c>
      <c r="L1417" t="inlineStr">
        <is>
          <t>Oxford ; New York : Oxford University Press, 2000.</t>
        </is>
      </c>
      <c r="M1417" t="inlineStr">
        <is>
          <t>2000</t>
        </is>
      </c>
      <c r="O1417" t="inlineStr">
        <is>
          <t>eng</t>
        </is>
      </c>
      <c r="P1417" t="inlineStr">
        <is>
          <t>enk</t>
        </is>
      </c>
      <c r="R1417" t="inlineStr">
        <is>
          <t xml:space="preserve">DG </t>
        </is>
      </c>
      <c r="S1417" t="n">
        <v>5</v>
      </c>
      <c r="T1417" t="n">
        <v>11</v>
      </c>
      <c r="U1417" t="inlineStr">
        <is>
          <t>2009-04-08</t>
        </is>
      </c>
      <c r="V1417" t="inlineStr">
        <is>
          <t>2009-04-08</t>
        </is>
      </c>
      <c r="W1417" t="inlineStr">
        <is>
          <t>2001-10-29</t>
        </is>
      </c>
      <c r="X1417" t="inlineStr">
        <is>
          <t>2001-10-29</t>
        </is>
      </c>
      <c r="Y1417" t="n">
        <v>264</v>
      </c>
      <c r="Z1417" t="n">
        <v>196</v>
      </c>
      <c r="AA1417" t="n">
        <v>197</v>
      </c>
      <c r="AB1417" t="n">
        <v>1</v>
      </c>
      <c r="AC1417" t="n">
        <v>1</v>
      </c>
      <c r="AD1417" t="n">
        <v>18</v>
      </c>
      <c r="AE1417" t="n">
        <v>18</v>
      </c>
      <c r="AF1417" t="n">
        <v>7</v>
      </c>
      <c r="AG1417" t="n">
        <v>7</v>
      </c>
      <c r="AH1417" t="n">
        <v>5</v>
      </c>
      <c r="AI1417" t="n">
        <v>5</v>
      </c>
      <c r="AJ1417" t="n">
        <v>12</v>
      </c>
      <c r="AK1417" t="n">
        <v>12</v>
      </c>
      <c r="AL1417" t="n">
        <v>0</v>
      </c>
      <c r="AM1417" t="n">
        <v>0</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HYPERLINK("https://creighton-primo.hosted.exlibrisgroup.com/primo-explore/search?tab=default_tab&amp;search_scope=EVERYTHING&amp;vid=01CRU&amp;lang=en_US&amp;offset=0&amp;query=any,contains,991003638079702656","Catalog Record")</f>
        <v/>
      </c>
      <c r="AT1417">
        <f>HYPERLINK("http://www.worldcat.org/oclc/41503761","WorldCat Record")</f>
        <v/>
      </c>
      <c r="AU1417" t="inlineStr">
        <is>
          <t>43097:eng</t>
        </is>
      </c>
      <c r="AV1417" t="inlineStr">
        <is>
          <t>41503761</t>
        </is>
      </c>
      <c r="AW1417" t="inlineStr">
        <is>
          <t>991003638079702656</t>
        </is>
      </c>
      <c r="AX1417" t="inlineStr">
        <is>
          <t>991003638079702656</t>
        </is>
      </c>
      <c r="AY1417" t="inlineStr">
        <is>
          <t>2256280470002656</t>
        </is>
      </c>
      <c r="AZ1417" t="inlineStr">
        <is>
          <t>BOOK</t>
        </is>
      </c>
      <c r="BB1417" t="inlineStr">
        <is>
          <t>9780195114591</t>
        </is>
      </c>
      <c r="BC1417" t="inlineStr">
        <is>
          <t>32285004415153</t>
        </is>
      </c>
      <c r="BD1417" t="inlineStr">
        <is>
          <t>893435228</t>
        </is>
      </c>
    </row>
    <row r="1418">
      <c r="A1418" t="inlineStr">
        <is>
          <t>No</t>
        </is>
      </c>
      <c r="B1418" t="inlineStr">
        <is>
          <t>DG867.2 .N63 1967</t>
        </is>
      </c>
      <c r="C1418" t="inlineStr">
        <is>
          <t>0                      DG 0867200N  63          1967</t>
        </is>
      </c>
      <c r="D1418" t="inlineStr">
        <is>
          <t>The other conquest [by] John Julius Norwich.</t>
        </is>
      </c>
      <c r="F1418" t="inlineStr">
        <is>
          <t>No</t>
        </is>
      </c>
      <c r="G1418" t="inlineStr">
        <is>
          <t>1</t>
        </is>
      </c>
      <c r="H1418" t="inlineStr">
        <is>
          <t>No</t>
        </is>
      </c>
      <c r="I1418" t="inlineStr">
        <is>
          <t>No</t>
        </is>
      </c>
      <c r="J1418" t="inlineStr">
        <is>
          <t>0</t>
        </is>
      </c>
      <c r="K1418" t="inlineStr">
        <is>
          <t>Norwich, John Julius, 1929-2018.</t>
        </is>
      </c>
      <c r="L1418" t="inlineStr">
        <is>
          <t>New York, Harper &amp; Row [1967]</t>
        </is>
      </c>
      <c r="M1418" t="inlineStr">
        <is>
          <t>1967</t>
        </is>
      </c>
      <c r="N1418" t="inlineStr">
        <is>
          <t>[1st U.S. ed.]</t>
        </is>
      </c>
      <c r="O1418" t="inlineStr">
        <is>
          <t>eng</t>
        </is>
      </c>
      <c r="P1418" t="inlineStr">
        <is>
          <t>nyu</t>
        </is>
      </c>
      <c r="R1418" t="inlineStr">
        <is>
          <t xml:space="preserve">DG </t>
        </is>
      </c>
      <c r="S1418" t="n">
        <v>3</v>
      </c>
      <c r="T1418" t="n">
        <v>3</v>
      </c>
      <c r="U1418" t="inlineStr">
        <is>
          <t>2005-06-09</t>
        </is>
      </c>
      <c r="V1418" t="inlineStr">
        <is>
          <t>2005-06-09</t>
        </is>
      </c>
      <c r="W1418" t="inlineStr">
        <is>
          <t>1997-02-06</t>
        </is>
      </c>
      <c r="X1418" t="inlineStr">
        <is>
          <t>1997-02-06</t>
        </is>
      </c>
      <c r="Y1418" t="n">
        <v>787</v>
      </c>
      <c r="Z1418" t="n">
        <v>754</v>
      </c>
      <c r="AA1418" t="n">
        <v>858</v>
      </c>
      <c r="AB1418" t="n">
        <v>6</v>
      </c>
      <c r="AC1418" t="n">
        <v>8</v>
      </c>
      <c r="AD1418" t="n">
        <v>30</v>
      </c>
      <c r="AE1418" t="n">
        <v>41</v>
      </c>
      <c r="AF1418" t="n">
        <v>12</v>
      </c>
      <c r="AG1418" t="n">
        <v>15</v>
      </c>
      <c r="AH1418" t="n">
        <v>7</v>
      </c>
      <c r="AI1418" t="n">
        <v>8</v>
      </c>
      <c r="AJ1418" t="n">
        <v>15</v>
      </c>
      <c r="AK1418" t="n">
        <v>22</v>
      </c>
      <c r="AL1418" t="n">
        <v>5</v>
      </c>
      <c r="AM1418" t="n">
        <v>7</v>
      </c>
      <c r="AN1418" t="n">
        <v>0</v>
      </c>
      <c r="AO1418" t="n">
        <v>0</v>
      </c>
      <c r="AP1418" t="inlineStr">
        <is>
          <t>No</t>
        </is>
      </c>
      <c r="AQ1418" t="inlineStr">
        <is>
          <t>Yes</t>
        </is>
      </c>
      <c r="AR1418">
        <f>HYPERLINK("http://catalog.hathitrust.org/Record/000377723","HathiTrust Record")</f>
        <v/>
      </c>
      <c r="AS1418">
        <f>HYPERLINK("https://creighton-primo.hosted.exlibrisgroup.com/primo-explore/search?tab=default_tab&amp;search_scope=EVERYTHING&amp;vid=01CRU&amp;lang=en_US&amp;offset=0&amp;query=any,contains,991002360799702656","Catalog Record")</f>
        <v/>
      </c>
      <c r="AT1418">
        <f>HYPERLINK("http://www.worldcat.org/oclc/325937","WorldCat Record")</f>
        <v/>
      </c>
      <c r="AU1418" t="inlineStr">
        <is>
          <t>6354494:eng</t>
        </is>
      </c>
      <c r="AV1418" t="inlineStr">
        <is>
          <t>325937</t>
        </is>
      </c>
      <c r="AW1418" t="inlineStr">
        <is>
          <t>991002360799702656</t>
        </is>
      </c>
      <c r="AX1418" t="inlineStr">
        <is>
          <t>991002360799702656</t>
        </is>
      </c>
      <c r="AY1418" t="inlineStr">
        <is>
          <t>2269801920002656</t>
        </is>
      </c>
      <c r="AZ1418" t="inlineStr">
        <is>
          <t>BOOK</t>
        </is>
      </c>
      <c r="BC1418" t="inlineStr">
        <is>
          <t>32285002423811</t>
        </is>
      </c>
      <c r="BD1418" t="inlineStr">
        <is>
          <t>893798494</t>
        </is>
      </c>
    </row>
    <row r="1419">
      <c r="A1419" t="inlineStr">
        <is>
          <t>No</t>
        </is>
      </c>
      <c r="B1419" t="inlineStr">
        <is>
          <t>DG867.28 .R8</t>
        </is>
      </c>
      <c r="C1419" t="inlineStr">
        <is>
          <t>0                      DG 0867280R  8</t>
        </is>
      </c>
      <c r="D1419" t="inlineStr">
        <is>
          <t>The Sicilian Vespers; a history of the Mediterranean world in the later thirteenth century.</t>
        </is>
      </c>
      <c r="F1419" t="inlineStr">
        <is>
          <t>No</t>
        </is>
      </c>
      <c r="G1419" t="inlineStr">
        <is>
          <t>1</t>
        </is>
      </c>
      <c r="H1419" t="inlineStr">
        <is>
          <t>No</t>
        </is>
      </c>
      <c r="I1419" t="inlineStr">
        <is>
          <t>No</t>
        </is>
      </c>
      <c r="J1419" t="inlineStr">
        <is>
          <t>0</t>
        </is>
      </c>
      <c r="K1419" t="inlineStr">
        <is>
          <t>Runciman, Steven, 1903-2000.</t>
        </is>
      </c>
      <c r="L1419" t="inlineStr">
        <is>
          <t>Cambridge [Eng.] University Press, 1958.</t>
        </is>
      </c>
      <c r="M1419" t="inlineStr">
        <is>
          <t>1958</t>
        </is>
      </c>
      <c r="O1419" t="inlineStr">
        <is>
          <t>eng</t>
        </is>
      </c>
      <c r="P1419" t="inlineStr">
        <is>
          <t>enk</t>
        </is>
      </c>
      <c r="R1419" t="inlineStr">
        <is>
          <t xml:space="preserve">DG </t>
        </is>
      </c>
      <c r="S1419" t="n">
        <v>0</v>
      </c>
      <c r="T1419" t="n">
        <v>0</v>
      </c>
      <c r="U1419" t="inlineStr">
        <is>
          <t>2008-08-06</t>
        </is>
      </c>
      <c r="V1419" t="inlineStr">
        <is>
          <t>2008-08-06</t>
        </is>
      </c>
      <c r="W1419" t="inlineStr">
        <is>
          <t>1997-02-06</t>
        </is>
      </c>
      <c r="X1419" t="inlineStr">
        <is>
          <t>1997-02-06</t>
        </is>
      </c>
      <c r="Y1419" t="n">
        <v>1013</v>
      </c>
      <c r="Z1419" t="n">
        <v>802</v>
      </c>
      <c r="AA1419" t="n">
        <v>998</v>
      </c>
      <c r="AB1419" t="n">
        <v>8</v>
      </c>
      <c r="AC1419" t="n">
        <v>9</v>
      </c>
      <c r="AD1419" t="n">
        <v>46</v>
      </c>
      <c r="AE1419" t="n">
        <v>54</v>
      </c>
      <c r="AF1419" t="n">
        <v>18</v>
      </c>
      <c r="AG1419" t="n">
        <v>23</v>
      </c>
      <c r="AH1419" t="n">
        <v>9</v>
      </c>
      <c r="AI1419" t="n">
        <v>11</v>
      </c>
      <c r="AJ1419" t="n">
        <v>24</v>
      </c>
      <c r="AK1419" t="n">
        <v>26</v>
      </c>
      <c r="AL1419" t="n">
        <v>7</v>
      </c>
      <c r="AM1419" t="n">
        <v>8</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HYPERLINK("https://creighton-primo.hosted.exlibrisgroup.com/primo-explore/search?tab=default_tab&amp;search_scope=EVERYTHING&amp;vid=01CRU&amp;lang=en_US&amp;offset=0&amp;query=any,contains,991002701169702656","Catalog Record")</f>
        <v/>
      </c>
      <c r="AT1419">
        <f>HYPERLINK("http://www.worldcat.org/oclc/405614","WorldCat Record")</f>
        <v/>
      </c>
      <c r="AU1419" t="inlineStr">
        <is>
          <t>1088632699:eng</t>
        </is>
      </c>
      <c r="AV1419" t="inlineStr">
        <is>
          <t>405614</t>
        </is>
      </c>
      <c r="AW1419" t="inlineStr">
        <is>
          <t>991002701169702656</t>
        </is>
      </c>
      <c r="AX1419" t="inlineStr">
        <is>
          <t>991002701169702656</t>
        </is>
      </c>
      <c r="AY1419" t="inlineStr">
        <is>
          <t>2260426230002656</t>
        </is>
      </c>
      <c r="AZ1419" t="inlineStr">
        <is>
          <t>BOOK</t>
        </is>
      </c>
      <c r="BC1419" t="inlineStr">
        <is>
          <t>32285002423829</t>
        </is>
      </c>
      <c r="BD1419" t="inlineStr">
        <is>
          <t>893867580</t>
        </is>
      </c>
    </row>
    <row r="1420">
      <c r="A1420" t="inlineStr">
        <is>
          <t>No</t>
        </is>
      </c>
      <c r="B1420" t="inlineStr">
        <is>
          <t>DG87 .G713 1983</t>
        </is>
      </c>
      <c r="C1420" t="inlineStr">
        <is>
          <t>0                      DG 0087000G  713         1983</t>
        </is>
      </c>
      <c r="D1420" t="inlineStr">
        <is>
          <t>Roman cities = Les villes romaines / by Pierre Grimal ; translated and edited by G. Michael Woloch ; together with a descriptive catalogue of Roman cities by G. Michael Woloch.</t>
        </is>
      </c>
      <c r="F1420" t="inlineStr">
        <is>
          <t>No</t>
        </is>
      </c>
      <c r="G1420" t="inlineStr">
        <is>
          <t>1</t>
        </is>
      </c>
      <c r="H1420" t="inlineStr">
        <is>
          <t>No</t>
        </is>
      </c>
      <c r="I1420" t="inlineStr">
        <is>
          <t>No</t>
        </is>
      </c>
      <c r="J1420" t="inlineStr">
        <is>
          <t>0</t>
        </is>
      </c>
      <c r="K1420" t="inlineStr">
        <is>
          <t>Grimal, Pierre, 1912-1996.</t>
        </is>
      </c>
      <c r="L1420" t="inlineStr">
        <is>
          <t>Madison, Wis. : University of Wisconsin Press, 1983.</t>
        </is>
      </c>
      <c r="M1420" t="inlineStr">
        <is>
          <t>1984</t>
        </is>
      </c>
      <c r="O1420" t="inlineStr">
        <is>
          <t>eng</t>
        </is>
      </c>
      <c r="P1420" t="inlineStr">
        <is>
          <t>wiu</t>
        </is>
      </c>
      <c r="R1420" t="inlineStr">
        <is>
          <t xml:space="preserve">DG </t>
        </is>
      </c>
      <c r="S1420" t="n">
        <v>3</v>
      </c>
      <c r="T1420" t="n">
        <v>3</v>
      </c>
      <c r="U1420" t="inlineStr">
        <is>
          <t>1995-07-20</t>
        </is>
      </c>
      <c r="V1420" t="inlineStr">
        <is>
          <t>1995-07-20</t>
        </is>
      </c>
      <c r="W1420" t="inlineStr">
        <is>
          <t>1991-03-22</t>
        </is>
      </c>
      <c r="X1420" t="inlineStr">
        <is>
          <t>1991-03-22</t>
        </is>
      </c>
      <c r="Y1420" t="n">
        <v>506</v>
      </c>
      <c r="Z1420" t="n">
        <v>398</v>
      </c>
      <c r="AA1420" t="n">
        <v>408</v>
      </c>
      <c r="AB1420" t="n">
        <v>6</v>
      </c>
      <c r="AC1420" t="n">
        <v>6</v>
      </c>
      <c r="AD1420" t="n">
        <v>28</v>
      </c>
      <c r="AE1420" t="n">
        <v>29</v>
      </c>
      <c r="AF1420" t="n">
        <v>10</v>
      </c>
      <c r="AG1420" t="n">
        <v>11</v>
      </c>
      <c r="AH1420" t="n">
        <v>6</v>
      </c>
      <c r="AI1420" t="n">
        <v>6</v>
      </c>
      <c r="AJ1420" t="n">
        <v>14</v>
      </c>
      <c r="AK1420" t="n">
        <v>14</v>
      </c>
      <c r="AL1420" t="n">
        <v>5</v>
      </c>
      <c r="AM1420" t="n">
        <v>5</v>
      </c>
      <c r="AN1420" t="n">
        <v>0</v>
      </c>
      <c r="AO1420" t="n">
        <v>0</v>
      </c>
      <c r="AP1420" t="inlineStr">
        <is>
          <t>No</t>
        </is>
      </c>
      <c r="AQ1420" t="inlineStr">
        <is>
          <t>Yes</t>
        </is>
      </c>
      <c r="AR1420">
        <f>HYPERLINK("http://catalog.hathitrust.org/Record/000324272","HathiTrust Record")</f>
        <v/>
      </c>
      <c r="AS1420">
        <f>HYPERLINK("https://creighton-primo.hosted.exlibrisgroup.com/primo-explore/search?tab=default_tab&amp;search_scope=EVERYTHING&amp;vid=01CRU&amp;lang=en_US&amp;offset=0&amp;query=any,contains,991000259279702656","Catalog Record")</f>
        <v/>
      </c>
      <c r="AT1420">
        <f>HYPERLINK("http://www.worldcat.org/oclc/9785499","WorldCat Record")</f>
        <v/>
      </c>
      <c r="AU1420" t="inlineStr">
        <is>
          <t>4927811824:eng</t>
        </is>
      </c>
      <c r="AV1420" t="inlineStr">
        <is>
          <t>9785499</t>
        </is>
      </c>
      <c r="AW1420" t="inlineStr">
        <is>
          <t>991000259279702656</t>
        </is>
      </c>
      <c r="AX1420" t="inlineStr">
        <is>
          <t>991000259279702656</t>
        </is>
      </c>
      <c r="AY1420" t="inlineStr">
        <is>
          <t>2259742980002656</t>
        </is>
      </c>
      <c r="AZ1420" t="inlineStr">
        <is>
          <t>BOOK</t>
        </is>
      </c>
      <c r="BB1420" t="inlineStr">
        <is>
          <t>9780299089344</t>
        </is>
      </c>
      <c r="BC1420" t="inlineStr">
        <is>
          <t>32285000521228</t>
        </is>
      </c>
      <c r="BD1420" t="inlineStr">
        <is>
          <t>893419333</t>
        </is>
      </c>
    </row>
    <row r="1421">
      <c r="A1421" t="inlineStr">
        <is>
          <t>No</t>
        </is>
      </c>
      <c r="B1421" t="inlineStr">
        <is>
          <t>DG87 .R65 2000</t>
        </is>
      </c>
      <c r="C1421" t="inlineStr">
        <is>
          <t>0                      DG 0087000R  65          2000</t>
        </is>
      </c>
      <c r="D1421" t="inlineStr">
        <is>
          <t>Romanization and the city : creation, transformations, and failures : proceedings of a conference held at the American Academy in Rome to celebrate the 50th anniversary of the excavations at Cosa, 14-16 May, 1998 / edited by Elizabeth Fentress ; with contributions by S. Alcock ... [et al.].</t>
        </is>
      </c>
      <c r="F1421" t="inlineStr">
        <is>
          <t>No</t>
        </is>
      </c>
      <c r="G1421" t="inlineStr">
        <is>
          <t>1</t>
        </is>
      </c>
      <c r="H1421" t="inlineStr">
        <is>
          <t>No</t>
        </is>
      </c>
      <c r="I1421" t="inlineStr">
        <is>
          <t>No</t>
        </is>
      </c>
      <c r="J1421" t="inlineStr">
        <is>
          <t>0</t>
        </is>
      </c>
      <c r="L1421" t="inlineStr">
        <is>
          <t>Portsmouth, R.I. : Journal of Roman Archaeology, 2000.</t>
        </is>
      </c>
      <c r="M1421" t="inlineStr">
        <is>
          <t>2000</t>
        </is>
      </c>
      <c r="O1421" t="inlineStr">
        <is>
          <t>eng</t>
        </is>
      </c>
      <c r="P1421" t="inlineStr">
        <is>
          <t>riu</t>
        </is>
      </c>
      <c r="Q1421" t="inlineStr">
        <is>
          <t>Journal of Roman archaeology. Supplementary series, 1063-4304 ; no. 38</t>
        </is>
      </c>
      <c r="R1421" t="inlineStr">
        <is>
          <t xml:space="preserve">DG </t>
        </is>
      </c>
      <c r="S1421" t="n">
        <v>1</v>
      </c>
      <c r="T1421" t="n">
        <v>1</v>
      </c>
      <c r="U1421" t="inlineStr">
        <is>
          <t>2006-05-10</t>
        </is>
      </c>
      <c r="V1421" t="inlineStr">
        <is>
          <t>2006-05-10</t>
        </is>
      </c>
      <c r="W1421" t="inlineStr">
        <is>
          <t>2006-05-10</t>
        </is>
      </c>
      <c r="X1421" t="inlineStr">
        <is>
          <t>2006-05-10</t>
        </is>
      </c>
      <c r="Y1421" t="n">
        <v>238</v>
      </c>
      <c r="Z1421" t="n">
        <v>150</v>
      </c>
      <c r="AA1421" t="n">
        <v>151</v>
      </c>
      <c r="AB1421" t="n">
        <v>2</v>
      </c>
      <c r="AC1421" t="n">
        <v>2</v>
      </c>
      <c r="AD1421" t="n">
        <v>7</v>
      </c>
      <c r="AE1421" t="n">
        <v>7</v>
      </c>
      <c r="AF1421" t="n">
        <v>1</v>
      </c>
      <c r="AG1421" t="n">
        <v>1</v>
      </c>
      <c r="AH1421" t="n">
        <v>2</v>
      </c>
      <c r="AI1421" t="n">
        <v>2</v>
      </c>
      <c r="AJ1421" t="n">
        <v>6</v>
      </c>
      <c r="AK1421" t="n">
        <v>6</v>
      </c>
      <c r="AL1421" t="n">
        <v>1</v>
      </c>
      <c r="AM1421" t="n">
        <v>1</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HYPERLINK("https://creighton-primo.hosted.exlibrisgroup.com/primo-explore/search?tab=default_tab&amp;search_scope=EVERYTHING&amp;vid=01CRU&amp;lang=en_US&amp;offset=0&amp;query=any,contains,991004691239702656","Catalog Record")</f>
        <v/>
      </c>
      <c r="AT1421">
        <f>HYPERLINK("http://www.worldcat.org/oclc/44106144","WorldCat Record")</f>
        <v/>
      </c>
      <c r="AU1421" t="inlineStr">
        <is>
          <t>796079615:eng</t>
        </is>
      </c>
      <c r="AV1421" t="inlineStr">
        <is>
          <t>44106144</t>
        </is>
      </c>
      <c r="AW1421" t="inlineStr">
        <is>
          <t>991004691239702656</t>
        </is>
      </c>
      <c r="AX1421" t="inlineStr">
        <is>
          <t>991004691239702656</t>
        </is>
      </c>
      <c r="AY1421" t="inlineStr">
        <is>
          <t>2260896710002656</t>
        </is>
      </c>
      <c r="AZ1421" t="inlineStr">
        <is>
          <t>BOOK</t>
        </is>
      </c>
      <c r="BB1421" t="inlineStr">
        <is>
          <t>9781887829380</t>
        </is>
      </c>
      <c r="BC1421" t="inlineStr">
        <is>
          <t>32285005186902</t>
        </is>
      </c>
      <c r="BD1421" t="inlineStr">
        <is>
          <t>893344134</t>
        </is>
      </c>
    </row>
    <row r="1422">
      <c r="A1422" t="inlineStr">
        <is>
          <t>No</t>
        </is>
      </c>
      <c r="B1422" t="inlineStr">
        <is>
          <t>DG87 .S7 1975</t>
        </is>
      </c>
      <c r="C1422" t="inlineStr">
        <is>
          <t>0                      DG 0087000S  7           1975</t>
        </is>
      </c>
      <c r="D1422" t="inlineStr">
        <is>
          <t>Roman provincial administration till the age of the Antonines / G. H. Stevenson.</t>
        </is>
      </c>
      <c r="F1422" t="inlineStr">
        <is>
          <t>No</t>
        </is>
      </c>
      <c r="G1422" t="inlineStr">
        <is>
          <t>1</t>
        </is>
      </c>
      <c r="H1422" t="inlineStr">
        <is>
          <t>No</t>
        </is>
      </c>
      <c r="I1422" t="inlineStr">
        <is>
          <t>No</t>
        </is>
      </c>
      <c r="J1422" t="inlineStr">
        <is>
          <t>0</t>
        </is>
      </c>
      <c r="K1422" t="inlineStr">
        <is>
          <t>Stevenson, George Hope, 1880-</t>
        </is>
      </c>
      <c r="L1422" t="inlineStr">
        <is>
          <t>Westport, Conn. : Greenwood Press, 1975.</t>
        </is>
      </c>
      <c r="M1422" t="inlineStr">
        <is>
          <t>1975</t>
        </is>
      </c>
      <c r="O1422" t="inlineStr">
        <is>
          <t>eng</t>
        </is>
      </c>
      <c r="P1422" t="inlineStr">
        <is>
          <t>ctu</t>
        </is>
      </c>
      <c r="R1422" t="inlineStr">
        <is>
          <t xml:space="preserve">DG </t>
        </is>
      </c>
      <c r="S1422" t="n">
        <v>2</v>
      </c>
      <c r="T1422" t="n">
        <v>2</v>
      </c>
      <c r="U1422" t="inlineStr">
        <is>
          <t>2007-03-31</t>
        </is>
      </c>
      <c r="V1422" t="inlineStr">
        <is>
          <t>2007-03-31</t>
        </is>
      </c>
      <c r="W1422" t="inlineStr">
        <is>
          <t>1997-02-03</t>
        </is>
      </c>
      <c r="X1422" t="inlineStr">
        <is>
          <t>1997-02-03</t>
        </is>
      </c>
      <c r="Y1422" t="n">
        <v>61</v>
      </c>
      <c r="Z1422" t="n">
        <v>44</v>
      </c>
      <c r="AA1422" t="n">
        <v>274</v>
      </c>
      <c r="AB1422" t="n">
        <v>1</v>
      </c>
      <c r="AC1422" t="n">
        <v>1</v>
      </c>
      <c r="AD1422" t="n">
        <v>4</v>
      </c>
      <c r="AE1422" t="n">
        <v>21</v>
      </c>
      <c r="AF1422" t="n">
        <v>1</v>
      </c>
      <c r="AG1422" t="n">
        <v>5</v>
      </c>
      <c r="AH1422" t="n">
        <v>3</v>
      </c>
      <c r="AI1422" t="n">
        <v>9</v>
      </c>
      <c r="AJ1422" t="n">
        <v>1</v>
      </c>
      <c r="AK1422" t="n">
        <v>15</v>
      </c>
      <c r="AL1422" t="n">
        <v>0</v>
      </c>
      <c r="AM1422" t="n">
        <v>0</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HYPERLINK("https://creighton-primo.hosted.exlibrisgroup.com/primo-explore/search?tab=default_tab&amp;search_scope=EVERYTHING&amp;vid=01CRU&amp;lang=en_US&amp;offset=0&amp;query=any,contains,991003830039702656","Catalog Record")</f>
        <v/>
      </c>
      <c r="AT1422">
        <f>HYPERLINK("http://www.worldcat.org/oclc/1583898","WorldCat Record")</f>
        <v/>
      </c>
      <c r="AU1422" t="inlineStr">
        <is>
          <t>2359943:eng</t>
        </is>
      </c>
      <c r="AV1422" t="inlineStr">
        <is>
          <t>1583898</t>
        </is>
      </c>
      <c r="AW1422" t="inlineStr">
        <is>
          <t>991003830039702656</t>
        </is>
      </c>
      <c r="AX1422" t="inlineStr">
        <is>
          <t>991003830039702656</t>
        </is>
      </c>
      <c r="AY1422" t="inlineStr">
        <is>
          <t>2269194350002656</t>
        </is>
      </c>
      <c r="AZ1422" t="inlineStr">
        <is>
          <t>BOOK</t>
        </is>
      </c>
      <c r="BB1422" t="inlineStr">
        <is>
          <t>9780837183213</t>
        </is>
      </c>
      <c r="BC1422" t="inlineStr">
        <is>
          <t>32285002419710</t>
        </is>
      </c>
      <c r="BD1422" t="inlineStr">
        <is>
          <t>893429272</t>
        </is>
      </c>
    </row>
    <row r="1423">
      <c r="A1423" t="inlineStr">
        <is>
          <t>No</t>
        </is>
      </c>
      <c r="B1423" t="inlineStr">
        <is>
          <t>DG89 .C5 1973</t>
        </is>
      </c>
      <c r="C1423" t="inlineStr">
        <is>
          <t>0                      DG 0089000C  5           1973</t>
        </is>
      </c>
      <c r="D1423" t="inlineStr">
        <is>
          <t>The auxilia of the Roman Imperial Army / G. L. Cheesman.</t>
        </is>
      </c>
      <c r="F1423" t="inlineStr">
        <is>
          <t>No</t>
        </is>
      </c>
      <c r="G1423" t="inlineStr">
        <is>
          <t>1</t>
        </is>
      </c>
      <c r="H1423" t="inlineStr">
        <is>
          <t>No</t>
        </is>
      </c>
      <c r="I1423" t="inlineStr">
        <is>
          <t>No</t>
        </is>
      </c>
      <c r="J1423" t="inlineStr">
        <is>
          <t>0</t>
        </is>
      </c>
      <c r="K1423" t="inlineStr">
        <is>
          <t>Cheesman, George Leonard, -1915.</t>
        </is>
      </c>
      <c r="M1423" t="inlineStr">
        <is>
          <t>1971</t>
        </is>
      </c>
      <c r="O1423" t="inlineStr">
        <is>
          <t>eng</t>
        </is>
      </c>
      <c r="P1423" t="inlineStr">
        <is>
          <t>enk</t>
        </is>
      </c>
      <c r="R1423" t="inlineStr">
        <is>
          <t xml:space="preserve">DG </t>
        </is>
      </c>
      <c r="S1423" t="n">
        <v>4</v>
      </c>
      <c r="T1423" t="n">
        <v>4</v>
      </c>
      <c r="U1423" t="inlineStr">
        <is>
          <t>2004-06-25</t>
        </is>
      </c>
      <c r="V1423" t="inlineStr">
        <is>
          <t>2004-06-25</t>
        </is>
      </c>
      <c r="W1423" t="inlineStr">
        <is>
          <t>1993-02-04</t>
        </is>
      </c>
      <c r="X1423" t="inlineStr">
        <is>
          <t>1993-02-04</t>
        </is>
      </c>
      <c r="Y1423" t="n">
        <v>41</v>
      </c>
      <c r="Z1423" t="n">
        <v>40</v>
      </c>
      <c r="AA1423" t="n">
        <v>272</v>
      </c>
      <c r="AB1423" t="n">
        <v>1</v>
      </c>
      <c r="AC1423" t="n">
        <v>4</v>
      </c>
      <c r="AD1423" t="n">
        <v>3</v>
      </c>
      <c r="AE1423" t="n">
        <v>17</v>
      </c>
      <c r="AF1423" t="n">
        <v>0</v>
      </c>
      <c r="AG1423" t="n">
        <v>4</v>
      </c>
      <c r="AH1423" t="n">
        <v>0</v>
      </c>
      <c r="AI1423" t="n">
        <v>4</v>
      </c>
      <c r="AJ1423" t="n">
        <v>3</v>
      </c>
      <c r="AK1423" t="n">
        <v>10</v>
      </c>
      <c r="AL1423" t="n">
        <v>0</v>
      </c>
      <c r="AM1423" t="n">
        <v>3</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HYPERLINK("https://creighton-primo.hosted.exlibrisgroup.com/primo-explore/search?tab=default_tab&amp;search_scope=EVERYTHING&amp;vid=01CRU&amp;lang=en_US&amp;offset=0&amp;query=any,contains,991003783189702656","Catalog Record")</f>
        <v/>
      </c>
      <c r="AT1423">
        <f>HYPERLINK("http://www.worldcat.org/oclc/1497806","WorldCat Record")</f>
        <v/>
      </c>
      <c r="AU1423" t="inlineStr">
        <is>
          <t>1254702:eng</t>
        </is>
      </c>
      <c r="AV1423" t="inlineStr">
        <is>
          <t>1497806</t>
        </is>
      </c>
      <c r="AW1423" t="inlineStr">
        <is>
          <t>991003783189702656</t>
        </is>
      </c>
      <c r="AX1423" t="inlineStr">
        <is>
          <t>991003783189702656</t>
        </is>
      </c>
      <c r="AY1423" t="inlineStr">
        <is>
          <t>2266982650002656</t>
        </is>
      </c>
      <c r="AZ1423" t="inlineStr">
        <is>
          <t>BOOK</t>
        </is>
      </c>
      <c r="BC1423" t="inlineStr">
        <is>
          <t>32285001482602</t>
        </is>
      </c>
      <c r="BD1423" t="inlineStr">
        <is>
          <t>893336940</t>
        </is>
      </c>
    </row>
    <row r="1424">
      <c r="A1424" t="inlineStr">
        <is>
          <t>No</t>
        </is>
      </c>
      <c r="B1424" t="inlineStr">
        <is>
          <t>DG89 .G7 1992</t>
        </is>
      </c>
      <c r="C1424" t="inlineStr">
        <is>
          <t>0                      DG 0089000G  7           1992</t>
        </is>
      </c>
      <c r="D1424" t="inlineStr">
        <is>
          <t>The army of the Caesars / Michael Grant.</t>
        </is>
      </c>
      <c r="F1424" t="inlineStr">
        <is>
          <t>No</t>
        </is>
      </c>
      <c r="G1424" t="inlineStr">
        <is>
          <t>1</t>
        </is>
      </c>
      <c r="H1424" t="inlineStr">
        <is>
          <t>No</t>
        </is>
      </c>
      <c r="I1424" t="inlineStr">
        <is>
          <t>No</t>
        </is>
      </c>
      <c r="J1424" t="inlineStr">
        <is>
          <t>0</t>
        </is>
      </c>
      <c r="K1424" t="inlineStr">
        <is>
          <t>Grant, Michael, 1914-2004.</t>
        </is>
      </c>
      <c r="L1424" t="inlineStr">
        <is>
          <t>New York : M. Evans, [1992?], c1974.</t>
        </is>
      </c>
      <c r="M1424" t="inlineStr">
        <is>
          <t>1992</t>
        </is>
      </c>
      <c r="O1424" t="inlineStr">
        <is>
          <t>eng</t>
        </is>
      </c>
      <c r="P1424" t="inlineStr">
        <is>
          <t>nyu</t>
        </is>
      </c>
      <c r="R1424" t="inlineStr">
        <is>
          <t xml:space="preserve">DG </t>
        </is>
      </c>
      <c r="S1424" t="n">
        <v>7</v>
      </c>
      <c r="T1424" t="n">
        <v>7</v>
      </c>
      <c r="U1424" t="inlineStr">
        <is>
          <t>2010-04-08</t>
        </is>
      </c>
      <c r="V1424" t="inlineStr">
        <is>
          <t>2010-04-08</t>
        </is>
      </c>
      <c r="W1424" t="inlineStr">
        <is>
          <t>1993-05-24</t>
        </is>
      </c>
      <c r="X1424" t="inlineStr">
        <is>
          <t>1993-05-24</t>
        </is>
      </c>
      <c r="Y1424" t="n">
        <v>187</v>
      </c>
      <c r="Z1424" t="n">
        <v>169</v>
      </c>
      <c r="AA1424" t="n">
        <v>1115</v>
      </c>
      <c r="AB1424" t="n">
        <v>2</v>
      </c>
      <c r="AC1424" t="n">
        <v>9</v>
      </c>
      <c r="AD1424" t="n">
        <v>4</v>
      </c>
      <c r="AE1424" t="n">
        <v>40</v>
      </c>
      <c r="AF1424" t="n">
        <v>2</v>
      </c>
      <c r="AG1424" t="n">
        <v>16</v>
      </c>
      <c r="AH1424" t="n">
        <v>0</v>
      </c>
      <c r="AI1424" t="n">
        <v>8</v>
      </c>
      <c r="AJ1424" t="n">
        <v>1</v>
      </c>
      <c r="AK1424" t="n">
        <v>19</v>
      </c>
      <c r="AL1424" t="n">
        <v>1</v>
      </c>
      <c r="AM1424" t="n">
        <v>7</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HYPERLINK("https://creighton-primo.hosted.exlibrisgroup.com/primo-explore/search?tab=default_tab&amp;search_scope=EVERYTHING&amp;vid=01CRU&amp;lang=en_US&amp;offset=0&amp;query=any,contains,991002001049702656","Catalog Record")</f>
        <v/>
      </c>
      <c r="AT1424">
        <f>HYPERLINK("http://www.worldcat.org/oclc/25412101","WorldCat Record")</f>
        <v/>
      </c>
      <c r="AU1424" t="inlineStr">
        <is>
          <t>115522485:eng</t>
        </is>
      </c>
      <c r="AV1424" t="inlineStr">
        <is>
          <t>25412101</t>
        </is>
      </c>
      <c r="AW1424" t="inlineStr">
        <is>
          <t>991002001049702656</t>
        </is>
      </c>
      <c r="AX1424" t="inlineStr">
        <is>
          <t>991002001049702656</t>
        </is>
      </c>
      <c r="AY1424" t="inlineStr">
        <is>
          <t>2257036620002656</t>
        </is>
      </c>
      <c r="AZ1424" t="inlineStr">
        <is>
          <t>BOOK</t>
        </is>
      </c>
      <c r="BB1424" t="inlineStr">
        <is>
          <t>9780871317056</t>
        </is>
      </c>
      <c r="BC1424" t="inlineStr">
        <is>
          <t>32285001582534</t>
        </is>
      </c>
      <c r="BD1424" t="inlineStr">
        <is>
          <t>893779299</t>
        </is>
      </c>
    </row>
    <row r="1425">
      <c r="A1425" t="inlineStr">
        <is>
          <t>No</t>
        </is>
      </c>
      <c r="B1425" t="inlineStr">
        <is>
          <t>DG89 .M13</t>
        </is>
      </c>
      <c r="C1425" t="inlineStr">
        <is>
          <t>0                      DG 0089000M  13</t>
        </is>
      </c>
      <c r="D1425" t="inlineStr">
        <is>
          <t>Soldier and civilian in the later Roman Empire.</t>
        </is>
      </c>
      <c r="F1425" t="inlineStr">
        <is>
          <t>No</t>
        </is>
      </c>
      <c r="G1425" t="inlineStr">
        <is>
          <t>1</t>
        </is>
      </c>
      <c r="H1425" t="inlineStr">
        <is>
          <t>No</t>
        </is>
      </c>
      <c r="I1425" t="inlineStr">
        <is>
          <t>No</t>
        </is>
      </c>
      <c r="J1425" t="inlineStr">
        <is>
          <t>0</t>
        </is>
      </c>
      <c r="K1425" t="inlineStr">
        <is>
          <t>MacMullen, Ramsay, 1928-</t>
        </is>
      </c>
      <c r="L1425" t="inlineStr">
        <is>
          <t>Cambridge : Harvard University Press, 1963.</t>
        </is>
      </c>
      <c r="M1425" t="inlineStr">
        <is>
          <t>1963</t>
        </is>
      </c>
      <c r="O1425" t="inlineStr">
        <is>
          <t>eng</t>
        </is>
      </c>
      <c r="P1425" t="inlineStr">
        <is>
          <t>mau</t>
        </is>
      </c>
      <c r="Q1425" t="inlineStr">
        <is>
          <t>Harvard historical monographs ; 52</t>
        </is>
      </c>
      <c r="R1425" t="inlineStr">
        <is>
          <t xml:space="preserve">DG </t>
        </is>
      </c>
      <c r="S1425" t="n">
        <v>13</v>
      </c>
      <c r="T1425" t="n">
        <v>13</v>
      </c>
      <c r="U1425" t="inlineStr">
        <is>
          <t>2007-07-02</t>
        </is>
      </c>
      <c r="V1425" t="inlineStr">
        <is>
          <t>2007-07-02</t>
        </is>
      </c>
      <c r="W1425" t="inlineStr">
        <is>
          <t>1991-12-09</t>
        </is>
      </c>
      <c r="X1425" t="inlineStr">
        <is>
          <t>1991-12-09</t>
        </is>
      </c>
      <c r="Y1425" t="n">
        <v>725</v>
      </c>
      <c r="Z1425" t="n">
        <v>585</v>
      </c>
      <c r="AA1425" t="n">
        <v>615</v>
      </c>
      <c r="AB1425" t="n">
        <v>4</v>
      </c>
      <c r="AC1425" t="n">
        <v>4</v>
      </c>
      <c r="AD1425" t="n">
        <v>24</v>
      </c>
      <c r="AE1425" t="n">
        <v>24</v>
      </c>
      <c r="AF1425" t="n">
        <v>5</v>
      </c>
      <c r="AG1425" t="n">
        <v>5</v>
      </c>
      <c r="AH1425" t="n">
        <v>8</v>
      </c>
      <c r="AI1425" t="n">
        <v>8</v>
      </c>
      <c r="AJ1425" t="n">
        <v>15</v>
      </c>
      <c r="AK1425" t="n">
        <v>15</v>
      </c>
      <c r="AL1425" t="n">
        <v>2</v>
      </c>
      <c r="AM1425" t="n">
        <v>2</v>
      </c>
      <c r="AN1425" t="n">
        <v>0</v>
      </c>
      <c r="AO1425" t="n">
        <v>0</v>
      </c>
      <c r="AP1425" t="inlineStr">
        <is>
          <t>No</t>
        </is>
      </c>
      <c r="AQ1425" t="inlineStr">
        <is>
          <t>Yes</t>
        </is>
      </c>
      <c r="AR1425">
        <f>HYPERLINK("http://catalog.hathitrust.org/Record/000611526","HathiTrust Record")</f>
        <v/>
      </c>
      <c r="AS1425">
        <f>HYPERLINK("https://creighton-primo.hosted.exlibrisgroup.com/primo-explore/search?tab=default_tab&amp;search_scope=EVERYTHING&amp;vid=01CRU&amp;lang=en_US&amp;offset=0&amp;query=any,contains,991002709569702656","Catalog Record")</f>
        <v/>
      </c>
      <c r="AT1425">
        <f>HYPERLINK("http://www.worldcat.org/oclc/408620","WorldCat Record")</f>
        <v/>
      </c>
      <c r="AU1425" t="inlineStr">
        <is>
          <t>430559:eng</t>
        </is>
      </c>
      <c r="AV1425" t="inlineStr">
        <is>
          <t>408620</t>
        </is>
      </c>
      <c r="AW1425" t="inlineStr">
        <is>
          <t>991002709569702656</t>
        </is>
      </c>
      <c r="AX1425" t="inlineStr">
        <is>
          <t>991002709569702656</t>
        </is>
      </c>
      <c r="AY1425" t="inlineStr">
        <is>
          <t>2264140410002656</t>
        </is>
      </c>
      <c r="AZ1425" t="inlineStr">
        <is>
          <t>BOOK</t>
        </is>
      </c>
      <c r="BC1425" t="inlineStr">
        <is>
          <t>32285000849785</t>
        </is>
      </c>
      <c r="BD1425" t="inlineStr">
        <is>
          <t>893880299</t>
        </is>
      </c>
    </row>
    <row r="1426">
      <c r="A1426" t="inlineStr">
        <is>
          <t>No</t>
        </is>
      </c>
      <c r="B1426" t="inlineStr">
        <is>
          <t>DG89 .R69 1985</t>
        </is>
      </c>
      <c r="C1426" t="inlineStr">
        <is>
          <t>0                      DG 0089000R  69          1985</t>
        </is>
      </c>
      <c r="D1426" t="inlineStr">
        <is>
          <t>Roman military diplomas 1978 to 1984 / by Margaret M. Roxan ; with contributions by Helen Ganiaris and J.C. Mann.</t>
        </is>
      </c>
      <c r="F1426" t="inlineStr">
        <is>
          <t>No</t>
        </is>
      </c>
      <c r="G1426" t="inlineStr">
        <is>
          <t>1</t>
        </is>
      </c>
      <c r="H1426" t="inlineStr">
        <is>
          <t>No</t>
        </is>
      </c>
      <c r="I1426" t="inlineStr">
        <is>
          <t>No</t>
        </is>
      </c>
      <c r="J1426" t="inlineStr">
        <is>
          <t>0</t>
        </is>
      </c>
      <c r="K1426" t="inlineStr">
        <is>
          <t>Roxan, Margaret M.</t>
        </is>
      </c>
      <c r="L1426" t="inlineStr">
        <is>
          <t>London : Institute of Archaeology, 1985.</t>
        </is>
      </c>
      <c r="M1426" t="inlineStr">
        <is>
          <t>1985</t>
        </is>
      </c>
      <c r="O1426" t="inlineStr">
        <is>
          <t>eng</t>
        </is>
      </c>
      <c r="P1426" t="inlineStr">
        <is>
          <t>enk</t>
        </is>
      </c>
      <c r="Q1426" t="inlineStr">
        <is>
          <t>Occasional publication / Institute of Archaeology, University of London ; no. 9</t>
        </is>
      </c>
      <c r="R1426" t="inlineStr">
        <is>
          <t xml:space="preserve">DG </t>
        </is>
      </c>
      <c r="S1426" t="n">
        <v>0</v>
      </c>
      <c r="T1426" t="n">
        <v>0</v>
      </c>
      <c r="U1426" t="inlineStr">
        <is>
          <t>2005-11-17</t>
        </is>
      </c>
      <c r="V1426" t="inlineStr">
        <is>
          <t>2005-11-17</t>
        </is>
      </c>
      <c r="W1426" t="inlineStr">
        <is>
          <t>1991-03-27</t>
        </is>
      </c>
      <c r="X1426" t="inlineStr">
        <is>
          <t>1991-03-27</t>
        </is>
      </c>
      <c r="Y1426" t="n">
        <v>92</v>
      </c>
      <c r="Z1426" t="n">
        <v>46</v>
      </c>
      <c r="AA1426" t="n">
        <v>47</v>
      </c>
      <c r="AB1426" t="n">
        <v>1</v>
      </c>
      <c r="AC1426" t="n">
        <v>1</v>
      </c>
      <c r="AD1426" t="n">
        <v>2</v>
      </c>
      <c r="AE1426" t="n">
        <v>2</v>
      </c>
      <c r="AF1426" t="n">
        <v>1</v>
      </c>
      <c r="AG1426" t="n">
        <v>1</v>
      </c>
      <c r="AH1426" t="n">
        <v>1</v>
      </c>
      <c r="AI1426" t="n">
        <v>1</v>
      </c>
      <c r="AJ1426" t="n">
        <v>1</v>
      </c>
      <c r="AK1426" t="n">
        <v>1</v>
      </c>
      <c r="AL1426" t="n">
        <v>0</v>
      </c>
      <c r="AM1426" t="n">
        <v>0</v>
      </c>
      <c r="AN1426" t="n">
        <v>0</v>
      </c>
      <c r="AO1426" t="n">
        <v>0</v>
      </c>
      <c r="AP1426" t="inlineStr">
        <is>
          <t>No</t>
        </is>
      </c>
      <c r="AQ1426" t="inlineStr">
        <is>
          <t>Yes</t>
        </is>
      </c>
      <c r="AR1426">
        <f>HYPERLINK("http://catalog.hathitrust.org/Record/000357956","HathiTrust Record")</f>
        <v/>
      </c>
      <c r="AS1426">
        <f>HYPERLINK("https://creighton-primo.hosted.exlibrisgroup.com/primo-explore/search?tab=default_tab&amp;search_scope=EVERYTHING&amp;vid=01CRU&amp;lang=en_US&amp;offset=0&amp;query=any,contains,991000835579702656","Catalog Record")</f>
        <v/>
      </c>
      <c r="AT1426">
        <f>HYPERLINK("http://www.worldcat.org/oclc/15590441","WorldCat Record")</f>
        <v/>
      </c>
      <c r="AU1426" t="inlineStr">
        <is>
          <t>10568003782:eng</t>
        </is>
      </c>
      <c r="AV1426" t="inlineStr">
        <is>
          <t>15590441</t>
        </is>
      </c>
      <c r="AW1426" t="inlineStr">
        <is>
          <t>991000835579702656</t>
        </is>
      </c>
      <c r="AX1426" t="inlineStr">
        <is>
          <t>991000835579702656</t>
        </is>
      </c>
      <c r="AY1426" t="inlineStr">
        <is>
          <t>2255724050002656</t>
        </is>
      </c>
      <c r="AZ1426" t="inlineStr">
        <is>
          <t>BOOK</t>
        </is>
      </c>
      <c r="BB1426" t="inlineStr">
        <is>
          <t>9780905853161</t>
        </is>
      </c>
      <c r="BC1426" t="inlineStr">
        <is>
          <t>32285000521251</t>
        </is>
      </c>
      <c r="BD1426" t="inlineStr">
        <is>
          <t>893865732</t>
        </is>
      </c>
    </row>
    <row r="1427">
      <c r="A1427" t="inlineStr">
        <is>
          <t>No</t>
        </is>
      </c>
      <c r="B1427" t="inlineStr">
        <is>
          <t>DG89 .V47 1970</t>
        </is>
      </c>
      <c r="C1427" t="inlineStr">
        <is>
          <t>0                      DG 0089000V  47          1970</t>
        </is>
      </c>
      <c r="D1427" t="inlineStr">
        <is>
          <t>Triumphus; an inquiry into the origin, development and meaning of the Roman triumph, by H. S. Versnel.</t>
        </is>
      </c>
      <c r="F1427" t="inlineStr">
        <is>
          <t>No</t>
        </is>
      </c>
      <c r="G1427" t="inlineStr">
        <is>
          <t>1</t>
        </is>
      </c>
      <c r="H1427" t="inlineStr">
        <is>
          <t>No</t>
        </is>
      </c>
      <c r="I1427" t="inlineStr">
        <is>
          <t>No</t>
        </is>
      </c>
      <c r="J1427" t="inlineStr">
        <is>
          <t>0</t>
        </is>
      </c>
      <c r="K1427" t="inlineStr">
        <is>
          <t>Versnel, H. S.</t>
        </is>
      </c>
      <c r="L1427" t="inlineStr">
        <is>
          <t>Leiden, Brill, 1970.</t>
        </is>
      </c>
      <c r="M1427" t="inlineStr">
        <is>
          <t>1970</t>
        </is>
      </c>
      <c r="O1427" t="inlineStr">
        <is>
          <t>eng</t>
        </is>
      </c>
      <c r="P1427" t="inlineStr">
        <is>
          <t xml:space="preserve">ne </t>
        </is>
      </c>
      <c r="R1427" t="inlineStr">
        <is>
          <t xml:space="preserve">DG </t>
        </is>
      </c>
      <c r="S1427" t="n">
        <v>9</v>
      </c>
      <c r="T1427" t="n">
        <v>9</v>
      </c>
      <c r="U1427" t="inlineStr">
        <is>
          <t>2005-12-05</t>
        </is>
      </c>
      <c r="V1427" t="inlineStr">
        <is>
          <t>2005-12-05</t>
        </is>
      </c>
      <c r="W1427" t="inlineStr">
        <is>
          <t>1997-02-03</t>
        </is>
      </c>
      <c r="X1427" t="inlineStr">
        <is>
          <t>1997-02-03</t>
        </is>
      </c>
      <c r="Y1427" t="n">
        <v>366</v>
      </c>
      <c r="Z1427" t="n">
        <v>247</v>
      </c>
      <c r="AA1427" t="n">
        <v>263</v>
      </c>
      <c r="AB1427" t="n">
        <v>3</v>
      </c>
      <c r="AC1427" t="n">
        <v>3</v>
      </c>
      <c r="AD1427" t="n">
        <v>17</v>
      </c>
      <c r="AE1427" t="n">
        <v>20</v>
      </c>
      <c r="AF1427" t="n">
        <v>5</v>
      </c>
      <c r="AG1427" t="n">
        <v>6</v>
      </c>
      <c r="AH1427" t="n">
        <v>5</v>
      </c>
      <c r="AI1427" t="n">
        <v>7</v>
      </c>
      <c r="AJ1427" t="n">
        <v>9</v>
      </c>
      <c r="AK1427" t="n">
        <v>9</v>
      </c>
      <c r="AL1427" t="n">
        <v>2</v>
      </c>
      <c r="AM1427" t="n">
        <v>2</v>
      </c>
      <c r="AN1427" t="n">
        <v>0</v>
      </c>
      <c r="AO1427" t="n">
        <v>1</v>
      </c>
      <c r="AP1427" t="inlineStr">
        <is>
          <t>No</t>
        </is>
      </c>
      <c r="AQ1427" t="inlineStr">
        <is>
          <t>Yes</t>
        </is>
      </c>
      <c r="AR1427">
        <f>HYPERLINK("http://catalog.hathitrust.org/Record/000612172","HathiTrust Record")</f>
        <v/>
      </c>
      <c r="AS1427">
        <f>HYPERLINK("https://creighton-primo.hosted.exlibrisgroup.com/primo-explore/search?tab=default_tab&amp;search_scope=EVERYTHING&amp;vid=01CRU&amp;lang=en_US&amp;offset=0&amp;query=any,contains,991000799299702656","Catalog Record")</f>
        <v/>
      </c>
      <c r="AT1427">
        <f>HYPERLINK("http://www.worldcat.org/oclc/138363","WorldCat Record")</f>
        <v/>
      </c>
      <c r="AU1427" t="inlineStr">
        <is>
          <t>646034:eng</t>
        </is>
      </c>
      <c r="AV1427" t="inlineStr">
        <is>
          <t>138363</t>
        </is>
      </c>
      <c r="AW1427" t="inlineStr">
        <is>
          <t>991000799299702656</t>
        </is>
      </c>
      <c r="AX1427" t="inlineStr">
        <is>
          <t>991000799299702656</t>
        </is>
      </c>
      <c r="AY1427" t="inlineStr">
        <is>
          <t>2258246620002656</t>
        </is>
      </c>
      <c r="AZ1427" t="inlineStr">
        <is>
          <t>BOOK</t>
        </is>
      </c>
      <c r="BC1427" t="inlineStr">
        <is>
          <t>32285002419728</t>
        </is>
      </c>
      <c r="BD1427" t="inlineStr">
        <is>
          <t>893796998</t>
        </is>
      </c>
    </row>
    <row r="1428">
      <c r="A1428" t="inlineStr">
        <is>
          <t>No</t>
        </is>
      </c>
      <c r="B1428" t="inlineStr">
        <is>
          <t>DG97 .K55</t>
        </is>
      </c>
      <c r="C1428" t="inlineStr">
        <is>
          <t>0                      DG 0097000K  55</t>
        </is>
      </c>
      <c r="D1428" t="inlineStr">
        <is>
          <t>Hôtels, restaurants et cabarets dans l'antiquité romaine; études historiques et philologiques.</t>
        </is>
      </c>
      <c r="F1428" t="inlineStr">
        <is>
          <t>No</t>
        </is>
      </c>
      <c r="G1428" t="inlineStr">
        <is>
          <t>1</t>
        </is>
      </c>
      <c r="H1428" t="inlineStr">
        <is>
          <t>No</t>
        </is>
      </c>
      <c r="I1428" t="inlineStr">
        <is>
          <t>No</t>
        </is>
      </c>
      <c r="J1428" t="inlineStr">
        <is>
          <t>0</t>
        </is>
      </c>
      <c r="K1428" t="inlineStr">
        <is>
          <t>Kleberg, Tönnes, 1904-1984.</t>
        </is>
      </c>
      <c r="L1428" t="inlineStr">
        <is>
          <t>Uppsala, Almqvist &amp; Wiksells boktr. [1957]</t>
        </is>
      </c>
      <c r="M1428" t="inlineStr">
        <is>
          <t>1957</t>
        </is>
      </c>
      <c r="O1428" t="inlineStr">
        <is>
          <t>fre</t>
        </is>
      </c>
      <c r="P1428" t="inlineStr">
        <is>
          <t xml:space="preserve">sw </t>
        </is>
      </c>
      <c r="Q1428" t="inlineStr">
        <is>
          <t>Bibliotheca Ekmaniana, 61</t>
        </is>
      </c>
      <c r="R1428" t="inlineStr">
        <is>
          <t xml:space="preserve">DG </t>
        </is>
      </c>
      <c r="S1428" t="n">
        <v>2</v>
      </c>
      <c r="T1428" t="n">
        <v>2</v>
      </c>
      <c r="U1428" t="inlineStr">
        <is>
          <t>2002-04-10</t>
        </is>
      </c>
      <c r="V1428" t="inlineStr">
        <is>
          <t>2002-04-10</t>
        </is>
      </c>
      <c r="W1428" t="inlineStr">
        <is>
          <t>1997-02-03</t>
        </is>
      </c>
      <c r="X1428" t="inlineStr">
        <is>
          <t>1997-02-03</t>
        </is>
      </c>
      <c r="Y1428" t="n">
        <v>152</v>
      </c>
      <c r="Z1428" t="n">
        <v>92</v>
      </c>
      <c r="AA1428" t="n">
        <v>96</v>
      </c>
      <c r="AB1428" t="n">
        <v>2</v>
      </c>
      <c r="AC1428" t="n">
        <v>2</v>
      </c>
      <c r="AD1428" t="n">
        <v>3</v>
      </c>
      <c r="AE1428" t="n">
        <v>3</v>
      </c>
      <c r="AF1428" t="n">
        <v>1</v>
      </c>
      <c r="AG1428" t="n">
        <v>1</v>
      </c>
      <c r="AH1428" t="n">
        <v>0</v>
      </c>
      <c r="AI1428" t="n">
        <v>0</v>
      </c>
      <c r="AJ1428" t="n">
        <v>2</v>
      </c>
      <c r="AK1428" t="n">
        <v>2</v>
      </c>
      <c r="AL1428" t="n">
        <v>1</v>
      </c>
      <c r="AM1428" t="n">
        <v>1</v>
      </c>
      <c r="AN1428" t="n">
        <v>0</v>
      </c>
      <c r="AO1428" t="n">
        <v>0</v>
      </c>
      <c r="AP1428" t="inlineStr">
        <is>
          <t>No</t>
        </is>
      </c>
      <c r="AQ1428" t="inlineStr">
        <is>
          <t>Yes</t>
        </is>
      </c>
      <c r="AR1428">
        <f>HYPERLINK("http://catalog.hathitrust.org/Record/002101710","HathiTrust Record")</f>
        <v/>
      </c>
      <c r="AS1428">
        <f>HYPERLINK("https://creighton-primo.hosted.exlibrisgroup.com/primo-explore/search?tab=default_tab&amp;search_scope=EVERYTHING&amp;vid=01CRU&amp;lang=en_US&amp;offset=0&amp;query=any,contains,991005223029702656","Catalog Record")</f>
        <v/>
      </c>
      <c r="AT1428">
        <f>HYPERLINK("http://www.worldcat.org/oclc/8246657","WorldCat Record")</f>
        <v/>
      </c>
      <c r="AU1428" t="inlineStr">
        <is>
          <t>762620758:fre</t>
        </is>
      </c>
      <c r="AV1428" t="inlineStr">
        <is>
          <t>8246657</t>
        </is>
      </c>
      <c r="AW1428" t="inlineStr">
        <is>
          <t>991005223029702656</t>
        </is>
      </c>
      <c r="AX1428" t="inlineStr">
        <is>
          <t>991005223029702656</t>
        </is>
      </c>
      <c r="AY1428" t="inlineStr">
        <is>
          <t>2260791880002656</t>
        </is>
      </c>
      <c r="AZ1428" t="inlineStr">
        <is>
          <t>BOOK</t>
        </is>
      </c>
      <c r="BC1428" t="inlineStr">
        <is>
          <t>32285002419801</t>
        </is>
      </c>
      <c r="BD1428" t="inlineStr">
        <is>
          <t>893688792</t>
        </is>
      </c>
    </row>
    <row r="1429">
      <c r="A1429" t="inlineStr">
        <is>
          <t>No</t>
        </is>
      </c>
      <c r="B1429" t="inlineStr">
        <is>
          <t>DG97 .Y45 1995</t>
        </is>
      </c>
      <c r="C1429" t="inlineStr">
        <is>
          <t>0                      DG 0097000Y  45          1995</t>
        </is>
      </c>
      <c r="D1429" t="inlineStr">
        <is>
          <t>Baths and bathing in classical antiquity / Fikret Yegül.</t>
        </is>
      </c>
      <c r="F1429" t="inlineStr">
        <is>
          <t>No</t>
        </is>
      </c>
      <c r="G1429" t="inlineStr">
        <is>
          <t>1</t>
        </is>
      </c>
      <c r="H1429" t="inlineStr">
        <is>
          <t>No</t>
        </is>
      </c>
      <c r="I1429" t="inlineStr">
        <is>
          <t>No</t>
        </is>
      </c>
      <c r="J1429" t="inlineStr">
        <is>
          <t>0</t>
        </is>
      </c>
      <c r="K1429" t="inlineStr">
        <is>
          <t>Yegül, Fikret K., 1941-</t>
        </is>
      </c>
      <c r="L1429" t="inlineStr">
        <is>
          <t>New York, N.Y. : Architectural History Foundation ; Cambridge, Mass. : MIT Press, 1995, c1992.</t>
        </is>
      </c>
      <c r="M1429" t="inlineStr">
        <is>
          <t>1995</t>
        </is>
      </c>
      <c r="N1429" t="inlineStr">
        <is>
          <t>Paperback ed.</t>
        </is>
      </c>
      <c r="O1429" t="inlineStr">
        <is>
          <t>eng</t>
        </is>
      </c>
      <c r="P1429" t="inlineStr">
        <is>
          <t>nyu</t>
        </is>
      </c>
      <c r="R1429" t="inlineStr">
        <is>
          <t xml:space="preserve">DG </t>
        </is>
      </c>
      <c r="S1429" t="n">
        <v>8</v>
      </c>
      <c r="T1429" t="n">
        <v>8</v>
      </c>
      <c r="U1429" t="inlineStr">
        <is>
          <t>2010-03-24</t>
        </is>
      </c>
      <c r="V1429" t="inlineStr">
        <is>
          <t>2010-03-24</t>
        </is>
      </c>
      <c r="W1429" t="inlineStr">
        <is>
          <t>1996-09-26</t>
        </is>
      </c>
      <c r="X1429" t="inlineStr">
        <is>
          <t>1996-09-26</t>
        </is>
      </c>
      <c r="Y1429" t="n">
        <v>94</v>
      </c>
      <c r="Z1429" t="n">
        <v>77</v>
      </c>
      <c r="AA1429" t="n">
        <v>541</v>
      </c>
      <c r="AB1429" t="n">
        <v>1</v>
      </c>
      <c r="AC1429" t="n">
        <v>3</v>
      </c>
      <c r="AD1429" t="n">
        <v>3</v>
      </c>
      <c r="AE1429" t="n">
        <v>28</v>
      </c>
      <c r="AF1429" t="n">
        <v>1</v>
      </c>
      <c r="AG1429" t="n">
        <v>11</v>
      </c>
      <c r="AH1429" t="n">
        <v>0</v>
      </c>
      <c r="AI1429" t="n">
        <v>8</v>
      </c>
      <c r="AJ1429" t="n">
        <v>2</v>
      </c>
      <c r="AK1429" t="n">
        <v>14</v>
      </c>
      <c r="AL1429" t="n">
        <v>0</v>
      </c>
      <c r="AM1429" t="n">
        <v>2</v>
      </c>
      <c r="AN1429" t="n">
        <v>0</v>
      </c>
      <c r="AO1429" t="n">
        <v>0</v>
      </c>
      <c r="AP1429" t="inlineStr">
        <is>
          <t>No</t>
        </is>
      </c>
      <c r="AQ1429" t="inlineStr">
        <is>
          <t>Yes</t>
        </is>
      </c>
      <c r="AR1429">
        <f>HYPERLINK("http://catalog.hathitrust.org/Record/007051329","HathiTrust Record")</f>
        <v/>
      </c>
      <c r="AS1429">
        <f>HYPERLINK("https://creighton-primo.hosted.exlibrisgroup.com/primo-explore/search?tab=default_tab&amp;search_scope=EVERYTHING&amp;vid=01CRU&amp;lang=en_US&amp;offset=0&amp;query=any,contains,991002620239702656","Catalog Record")</f>
        <v/>
      </c>
      <c r="AT1429">
        <f>HYPERLINK("http://www.worldcat.org/oclc/34327931","WorldCat Record")</f>
        <v/>
      </c>
      <c r="AU1429" t="inlineStr">
        <is>
          <t>26156280:eng</t>
        </is>
      </c>
      <c r="AV1429" t="inlineStr">
        <is>
          <t>34327931</t>
        </is>
      </c>
      <c r="AW1429" t="inlineStr">
        <is>
          <t>991002620239702656</t>
        </is>
      </c>
      <c r="AX1429" t="inlineStr">
        <is>
          <t>991002620239702656</t>
        </is>
      </c>
      <c r="AY1429" t="inlineStr">
        <is>
          <t>2263211710002656</t>
        </is>
      </c>
      <c r="AZ1429" t="inlineStr">
        <is>
          <t>BOOK</t>
        </is>
      </c>
      <c r="BB1429" t="inlineStr">
        <is>
          <t>9780262740180</t>
        </is>
      </c>
      <c r="BC1429" t="inlineStr">
        <is>
          <t>32285002320330</t>
        </is>
      </c>
      <c r="BD1429" t="inlineStr">
        <is>
          <t>893335514</t>
        </is>
      </c>
    </row>
    <row r="1430">
      <c r="A1430" t="inlineStr">
        <is>
          <t>No</t>
        </is>
      </c>
      <c r="B1430" t="inlineStr">
        <is>
          <t>DG975.E53 P53 2010</t>
        </is>
      </c>
      <c r="C1430" t="inlineStr">
        <is>
          <t>0                      DG 0975000E  53                 P  53          2010</t>
        </is>
      </c>
      <c r="D1430" t="inlineStr">
        <is>
          <t>Castelli, dimore storiche e rocche dell'Emilia Romagna / Daniela Piccinini, Fabio Raffaelli.</t>
        </is>
      </c>
      <c r="F1430" t="inlineStr">
        <is>
          <t>No</t>
        </is>
      </c>
      <c r="G1430" t="inlineStr">
        <is>
          <t>1</t>
        </is>
      </c>
      <c r="H1430" t="inlineStr">
        <is>
          <t>No</t>
        </is>
      </c>
      <c r="I1430" t="inlineStr">
        <is>
          <t>No</t>
        </is>
      </c>
      <c r="J1430" t="inlineStr">
        <is>
          <t>0</t>
        </is>
      </c>
      <c r="K1430" t="inlineStr">
        <is>
          <t>Piccinini, Daniela.</t>
        </is>
      </c>
      <c r="L1430" t="inlineStr">
        <is>
          <t>Bologna : A. Perdisa, c2010.</t>
        </is>
      </c>
      <c r="M1430" t="inlineStr">
        <is>
          <t>2010</t>
        </is>
      </c>
      <c r="O1430" t="inlineStr">
        <is>
          <t>ita</t>
        </is>
      </c>
      <c r="P1430" t="inlineStr">
        <is>
          <t xml:space="preserve">it </t>
        </is>
      </c>
      <c r="Q1430" t="inlineStr">
        <is>
          <t>Emilia Romagna Decor</t>
        </is>
      </c>
      <c r="R1430" t="inlineStr">
        <is>
          <t xml:space="preserve">DG </t>
        </is>
      </c>
      <c r="S1430" t="n">
        <v>3</v>
      </c>
      <c r="T1430" t="n">
        <v>3</v>
      </c>
      <c r="U1430" t="inlineStr">
        <is>
          <t>2010-09-17</t>
        </is>
      </c>
      <c r="V1430" t="inlineStr">
        <is>
          <t>2010-09-17</t>
        </is>
      </c>
      <c r="W1430" t="inlineStr">
        <is>
          <t>2010-07-01</t>
        </is>
      </c>
      <c r="X1430" t="inlineStr">
        <is>
          <t>2010-07-01</t>
        </is>
      </c>
      <c r="Y1430" t="n">
        <v>9</v>
      </c>
      <c r="Z1430" t="n">
        <v>7</v>
      </c>
      <c r="AA1430" t="n">
        <v>7</v>
      </c>
      <c r="AB1430" t="n">
        <v>1</v>
      </c>
      <c r="AC1430" t="n">
        <v>1</v>
      </c>
      <c r="AD1430" t="n">
        <v>0</v>
      </c>
      <c r="AE1430" t="n">
        <v>0</v>
      </c>
      <c r="AF1430" t="n">
        <v>0</v>
      </c>
      <c r="AG1430" t="n">
        <v>0</v>
      </c>
      <c r="AH1430" t="n">
        <v>0</v>
      </c>
      <c r="AI1430" t="n">
        <v>0</v>
      </c>
      <c r="AJ1430" t="n">
        <v>0</v>
      </c>
      <c r="AK1430" t="n">
        <v>0</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HYPERLINK("https://creighton-primo.hosted.exlibrisgroup.com/primo-explore/search?tab=default_tab&amp;search_scope=EVERYTHING&amp;vid=01CRU&amp;lang=en_US&amp;offset=0&amp;query=any,contains,991005428939702656","Catalog Record")</f>
        <v/>
      </c>
      <c r="AT1430">
        <f>HYPERLINK("http://www.worldcat.org/oclc/603036683","WorldCat Record")</f>
        <v/>
      </c>
      <c r="AU1430" t="inlineStr">
        <is>
          <t>473162651:ita</t>
        </is>
      </c>
      <c r="AV1430" t="inlineStr">
        <is>
          <t>603036683</t>
        </is>
      </c>
      <c r="AW1430" t="inlineStr">
        <is>
          <t>991005428939702656</t>
        </is>
      </c>
      <c r="AX1430" t="inlineStr">
        <is>
          <t>991005428939702656</t>
        </is>
      </c>
      <c r="AY1430" t="inlineStr">
        <is>
          <t>2259129010002656</t>
        </is>
      </c>
      <c r="AZ1430" t="inlineStr">
        <is>
          <t>BOOK</t>
        </is>
      </c>
      <c r="BB1430" t="inlineStr">
        <is>
          <t>9788883724848</t>
        </is>
      </c>
      <c r="BC1430" t="inlineStr">
        <is>
          <t>32285005589683</t>
        </is>
      </c>
      <c r="BD1430" t="inlineStr">
        <is>
          <t>893514741</t>
        </is>
      </c>
    </row>
    <row r="1431">
      <c r="A1431" t="inlineStr">
        <is>
          <t>No</t>
        </is>
      </c>
      <c r="B1431" t="inlineStr">
        <is>
          <t>DG975.L82 O8 1994</t>
        </is>
      </c>
      <c r="C1431" t="inlineStr">
        <is>
          <t>0                      DG 0975000L  82                 O  8           1994</t>
        </is>
      </c>
      <c r="D1431" t="inlineStr">
        <is>
          <t>The "Other Tuscany" : essays in the history of Lucca, Pisa, and Siena during the thirteenth, fourteenth, and fifteenth centuries / edited by Thomas W. Blomquist and Maureen F. Mazzaoui.</t>
        </is>
      </c>
      <c r="F1431" t="inlineStr">
        <is>
          <t>No</t>
        </is>
      </c>
      <c r="G1431" t="inlineStr">
        <is>
          <t>1</t>
        </is>
      </c>
      <c r="H1431" t="inlineStr">
        <is>
          <t>No</t>
        </is>
      </c>
      <c r="I1431" t="inlineStr">
        <is>
          <t>No</t>
        </is>
      </c>
      <c r="J1431" t="inlineStr">
        <is>
          <t>0</t>
        </is>
      </c>
      <c r="L1431" t="inlineStr">
        <is>
          <t>Kalamazoo, Mich. : Medieval Institute Publications, Western Michigan University, 1994.</t>
        </is>
      </c>
      <c r="M1431" t="inlineStr">
        <is>
          <t>1994</t>
        </is>
      </c>
      <c r="O1431" t="inlineStr">
        <is>
          <t>eng</t>
        </is>
      </c>
      <c r="P1431" t="inlineStr">
        <is>
          <t>miu</t>
        </is>
      </c>
      <c r="Q1431" t="inlineStr">
        <is>
          <t>Studies in medieval culture ; 34</t>
        </is>
      </c>
      <c r="R1431" t="inlineStr">
        <is>
          <t xml:space="preserve">DG </t>
        </is>
      </c>
      <c r="S1431" t="n">
        <v>1</v>
      </c>
      <c r="T1431" t="n">
        <v>1</v>
      </c>
      <c r="U1431" t="inlineStr">
        <is>
          <t>2004-09-08</t>
        </is>
      </c>
      <c r="V1431" t="inlineStr">
        <is>
          <t>2004-09-08</t>
        </is>
      </c>
      <c r="W1431" t="inlineStr">
        <is>
          <t>2004-07-20</t>
        </is>
      </c>
      <c r="X1431" t="inlineStr">
        <is>
          <t>2004-07-20</t>
        </is>
      </c>
      <c r="Y1431" t="n">
        <v>272</v>
      </c>
      <c r="Z1431" t="n">
        <v>198</v>
      </c>
      <c r="AA1431" t="n">
        <v>200</v>
      </c>
      <c r="AB1431" t="n">
        <v>2</v>
      </c>
      <c r="AC1431" t="n">
        <v>2</v>
      </c>
      <c r="AD1431" t="n">
        <v>19</v>
      </c>
      <c r="AE1431" t="n">
        <v>19</v>
      </c>
      <c r="AF1431" t="n">
        <v>5</v>
      </c>
      <c r="AG1431" t="n">
        <v>5</v>
      </c>
      <c r="AH1431" t="n">
        <v>8</v>
      </c>
      <c r="AI1431" t="n">
        <v>8</v>
      </c>
      <c r="AJ1431" t="n">
        <v>11</v>
      </c>
      <c r="AK1431" t="n">
        <v>11</v>
      </c>
      <c r="AL1431" t="n">
        <v>1</v>
      </c>
      <c r="AM1431" t="n">
        <v>1</v>
      </c>
      <c r="AN1431" t="n">
        <v>0</v>
      </c>
      <c r="AO1431" t="n">
        <v>0</v>
      </c>
      <c r="AP1431" t="inlineStr">
        <is>
          <t>No</t>
        </is>
      </c>
      <c r="AQ1431" t="inlineStr">
        <is>
          <t>Yes</t>
        </is>
      </c>
      <c r="AR1431">
        <f>HYPERLINK("http://catalog.hathitrust.org/Record/003117978","HathiTrust Record")</f>
        <v/>
      </c>
      <c r="AS1431">
        <f>HYPERLINK("https://creighton-primo.hosted.exlibrisgroup.com/primo-explore/search?tab=default_tab&amp;search_scope=EVERYTHING&amp;vid=01CRU&amp;lang=en_US&amp;offset=0&amp;query=any,contains,991004327599702656","Catalog Record")</f>
        <v/>
      </c>
      <c r="AT1431">
        <f>HYPERLINK("http://www.worldcat.org/oclc/29910140","WorldCat Record")</f>
        <v/>
      </c>
      <c r="AU1431" t="inlineStr">
        <is>
          <t>889923280:eng</t>
        </is>
      </c>
      <c r="AV1431" t="inlineStr">
        <is>
          <t>29910140</t>
        </is>
      </c>
      <c r="AW1431" t="inlineStr">
        <is>
          <t>991004327599702656</t>
        </is>
      </c>
      <c r="AX1431" t="inlineStr">
        <is>
          <t>991004327599702656</t>
        </is>
      </c>
      <c r="AY1431" t="inlineStr">
        <is>
          <t>2271954890002656</t>
        </is>
      </c>
      <c r="AZ1431" t="inlineStr">
        <is>
          <t>BOOK</t>
        </is>
      </c>
      <c r="BB1431" t="inlineStr">
        <is>
          <t>9781879288416</t>
        </is>
      </c>
      <c r="BC1431" t="inlineStr">
        <is>
          <t>32285004985916</t>
        </is>
      </c>
      <c r="BD1431" t="inlineStr">
        <is>
          <t>893593553</t>
        </is>
      </c>
    </row>
    <row r="1432">
      <c r="A1432" t="inlineStr">
        <is>
          <t>No</t>
        </is>
      </c>
      <c r="B1432" t="inlineStr">
        <is>
          <t>DG975.M32 S58 1989</t>
        </is>
      </c>
      <c r="C1432" t="inlineStr">
        <is>
          <t>0                      DG 0975000M  32                 S  58          1989</t>
        </is>
      </c>
      <c r="D1432" t="inlineStr">
        <is>
          <t>A Renaissance tapestry : the Gonzaga of Mantua / Kate Simon.</t>
        </is>
      </c>
      <c r="F1432" t="inlineStr">
        <is>
          <t>No</t>
        </is>
      </c>
      <c r="G1432" t="inlineStr">
        <is>
          <t>1</t>
        </is>
      </c>
      <c r="H1432" t="inlineStr">
        <is>
          <t>No</t>
        </is>
      </c>
      <c r="I1432" t="inlineStr">
        <is>
          <t>No</t>
        </is>
      </c>
      <c r="J1432" t="inlineStr">
        <is>
          <t>0</t>
        </is>
      </c>
      <c r="K1432" t="inlineStr">
        <is>
          <t>Simon, Kate, 1912-1990</t>
        </is>
      </c>
      <c r="L1432" t="inlineStr">
        <is>
          <t>New York : Harper &amp; Row, 1989.</t>
        </is>
      </c>
      <c r="M1432" t="inlineStr">
        <is>
          <t>1989</t>
        </is>
      </c>
      <c r="N1432" t="inlineStr">
        <is>
          <t>1st Perennial Library ed.</t>
        </is>
      </c>
      <c r="O1432" t="inlineStr">
        <is>
          <t>eng</t>
        </is>
      </c>
      <c r="P1432" t="inlineStr">
        <is>
          <t>nyu</t>
        </is>
      </c>
      <c r="R1432" t="inlineStr">
        <is>
          <t xml:space="preserve">DG </t>
        </is>
      </c>
      <c r="S1432" t="n">
        <v>1</v>
      </c>
      <c r="T1432" t="n">
        <v>1</v>
      </c>
      <c r="U1432" t="inlineStr">
        <is>
          <t>2005-10-27</t>
        </is>
      </c>
      <c r="V1432" t="inlineStr">
        <is>
          <t>2005-10-27</t>
        </is>
      </c>
      <c r="W1432" t="inlineStr">
        <is>
          <t>2005-10-27</t>
        </is>
      </c>
      <c r="X1432" t="inlineStr">
        <is>
          <t>2005-10-27</t>
        </is>
      </c>
      <c r="Y1432" t="n">
        <v>68</v>
      </c>
      <c r="Z1432" t="n">
        <v>64</v>
      </c>
      <c r="AA1432" t="n">
        <v>913</v>
      </c>
      <c r="AB1432" t="n">
        <v>3</v>
      </c>
      <c r="AC1432" t="n">
        <v>5</v>
      </c>
      <c r="AD1432" t="n">
        <v>5</v>
      </c>
      <c r="AE1432" t="n">
        <v>25</v>
      </c>
      <c r="AF1432" t="n">
        <v>3</v>
      </c>
      <c r="AG1432" t="n">
        <v>9</v>
      </c>
      <c r="AH1432" t="n">
        <v>1</v>
      </c>
      <c r="AI1432" t="n">
        <v>6</v>
      </c>
      <c r="AJ1432" t="n">
        <v>3</v>
      </c>
      <c r="AK1432" t="n">
        <v>15</v>
      </c>
      <c r="AL1432" t="n">
        <v>1</v>
      </c>
      <c r="AM1432" t="n">
        <v>3</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HYPERLINK("https://creighton-primo.hosted.exlibrisgroup.com/primo-explore/search?tab=default_tab&amp;search_scope=EVERYTHING&amp;vid=01CRU&amp;lang=en_US&amp;offset=0&amp;query=any,contains,991004686149702656","Catalog Record")</f>
        <v/>
      </c>
      <c r="AT1432">
        <f>HYPERLINK("http://www.worldcat.org/oclc/20604534","WorldCat Record")</f>
        <v/>
      </c>
      <c r="AU1432" t="inlineStr">
        <is>
          <t>11519058:eng</t>
        </is>
      </c>
      <c r="AV1432" t="inlineStr">
        <is>
          <t>20604534</t>
        </is>
      </c>
      <c r="AW1432" t="inlineStr">
        <is>
          <t>991004686149702656</t>
        </is>
      </c>
      <c r="AX1432" t="inlineStr">
        <is>
          <t>991004686149702656</t>
        </is>
      </c>
      <c r="AY1432" t="inlineStr">
        <is>
          <t>2264829940002656</t>
        </is>
      </c>
      <c r="AZ1432" t="inlineStr">
        <is>
          <t>BOOK</t>
        </is>
      </c>
      <c r="BB1432" t="inlineStr">
        <is>
          <t>9780060915582</t>
        </is>
      </c>
      <c r="BC1432" t="inlineStr">
        <is>
          <t>32285005143267</t>
        </is>
      </c>
      <c r="BD1432" t="inlineStr">
        <is>
          <t>893344130</t>
        </is>
      </c>
    </row>
    <row r="1433">
      <c r="A1433" t="inlineStr">
        <is>
          <t>No</t>
        </is>
      </c>
      <c r="B1433" t="inlineStr">
        <is>
          <t>DG975.P15 K64 1998</t>
        </is>
      </c>
      <c r="C1433" t="inlineStr">
        <is>
          <t>0                      DG 0975000P  15                 K  64          1998</t>
        </is>
      </c>
      <c r="D1433" t="inlineStr">
        <is>
          <t>Padua under the Carrara, 1318-1405 / Benjamin G. Kohl.</t>
        </is>
      </c>
      <c r="F1433" t="inlineStr">
        <is>
          <t>No</t>
        </is>
      </c>
      <c r="G1433" t="inlineStr">
        <is>
          <t>1</t>
        </is>
      </c>
      <c r="H1433" t="inlineStr">
        <is>
          <t>No</t>
        </is>
      </c>
      <c r="I1433" t="inlineStr">
        <is>
          <t>No</t>
        </is>
      </c>
      <c r="J1433" t="inlineStr">
        <is>
          <t>0</t>
        </is>
      </c>
      <c r="K1433" t="inlineStr">
        <is>
          <t>Kohl, Benjamin G.</t>
        </is>
      </c>
      <c r="L1433" t="inlineStr">
        <is>
          <t>Baltimore : Johns Hopkins University Press, 1998.</t>
        </is>
      </c>
      <c r="M1433" t="inlineStr">
        <is>
          <t>1998</t>
        </is>
      </c>
      <c r="O1433" t="inlineStr">
        <is>
          <t>eng</t>
        </is>
      </c>
      <c r="P1433" t="inlineStr">
        <is>
          <t>mdu</t>
        </is>
      </c>
      <c r="R1433" t="inlineStr">
        <is>
          <t xml:space="preserve">DG </t>
        </is>
      </c>
      <c r="S1433" t="n">
        <v>1</v>
      </c>
      <c r="T1433" t="n">
        <v>1</v>
      </c>
      <c r="U1433" t="inlineStr">
        <is>
          <t>2003-10-08</t>
        </is>
      </c>
      <c r="V1433" t="inlineStr">
        <is>
          <t>2003-10-08</t>
        </is>
      </c>
      <c r="W1433" t="inlineStr">
        <is>
          <t>1999-11-15</t>
        </is>
      </c>
      <c r="X1433" t="inlineStr">
        <is>
          <t>1999-11-15</t>
        </is>
      </c>
      <c r="Y1433" t="n">
        <v>340</v>
      </c>
      <c r="Z1433" t="n">
        <v>261</v>
      </c>
      <c r="AA1433" t="n">
        <v>263</v>
      </c>
      <c r="AB1433" t="n">
        <v>2</v>
      </c>
      <c r="AC1433" t="n">
        <v>2</v>
      </c>
      <c r="AD1433" t="n">
        <v>18</v>
      </c>
      <c r="AE1433" t="n">
        <v>18</v>
      </c>
      <c r="AF1433" t="n">
        <v>3</v>
      </c>
      <c r="AG1433" t="n">
        <v>3</v>
      </c>
      <c r="AH1433" t="n">
        <v>7</v>
      </c>
      <c r="AI1433" t="n">
        <v>7</v>
      </c>
      <c r="AJ1433" t="n">
        <v>13</v>
      </c>
      <c r="AK1433" t="n">
        <v>13</v>
      </c>
      <c r="AL1433" t="n">
        <v>1</v>
      </c>
      <c r="AM1433" t="n">
        <v>1</v>
      </c>
      <c r="AN1433" t="n">
        <v>0</v>
      </c>
      <c r="AO1433" t="n">
        <v>0</v>
      </c>
      <c r="AP1433" t="inlineStr">
        <is>
          <t>No</t>
        </is>
      </c>
      <c r="AQ1433" t="inlineStr">
        <is>
          <t>Yes</t>
        </is>
      </c>
      <c r="AR1433">
        <f>HYPERLINK("http://catalog.hathitrust.org/Record/003972697","HathiTrust Record")</f>
        <v/>
      </c>
      <c r="AS1433">
        <f>HYPERLINK("https://creighton-primo.hosted.exlibrisgroup.com/primo-explore/search?tab=default_tab&amp;search_scope=EVERYTHING&amp;vid=01CRU&amp;lang=en_US&amp;offset=0&amp;query=any,contains,991002836649702656","Catalog Record")</f>
        <v/>
      </c>
      <c r="AT1433">
        <f>HYPERLINK("http://www.worldcat.org/oclc/37361738","WorldCat Record")</f>
        <v/>
      </c>
      <c r="AU1433" t="inlineStr">
        <is>
          <t>9592961259:eng</t>
        </is>
      </c>
      <c r="AV1433" t="inlineStr">
        <is>
          <t>37361738</t>
        </is>
      </c>
      <c r="AW1433" t="inlineStr">
        <is>
          <t>991002836649702656</t>
        </is>
      </c>
      <c r="AX1433" t="inlineStr">
        <is>
          <t>991002836649702656</t>
        </is>
      </c>
      <c r="AY1433" t="inlineStr">
        <is>
          <t>2268113530002656</t>
        </is>
      </c>
      <c r="AZ1433" t="inlineStr">
        <is>
          <t>BOOK</t>
        </is>
      </c>
      <c r="BB1433" t="inlineStr">
        <is>
          <t>9780801857034</t>
        </is>
      </c>
      <c r="BC1433" t="inlineStr">
        <is>
          <t>32285003621926</t>
        </is>
      </c>
      <c r="BD1433" t="inlineStr">
        <is>
          <t>893597943</t>
        </is>
      </c>
    </row>
    <row r="1434">
      <c r="A1434" t="inlineStr">
        <is>
          <t>No</t>
        </is>
      </c>
      <c r="B1434" t="inlineStr">
        <is>
          <t>DG975.P615 H4</t>
        </is>
      </c>
      <c r="C1434" t="inlineStr">
        <is>
          <t>0                      DG 0975000P  615                H  4</t>
        </is>
      </c>
      <c r="D1434" t="inlineStr">
        <is>
          <t>Pisa in the early Renaissance; a study of urban growth.</t>
        </is>
      </c>
      <c r="F1434" t="inlineStr">
        <is>
          <t>No</t>
        </is>
      </c>
      <c r="G1434" t="inlineStr">
        <is>
          <t>1</t>
        </is>
      </c>
      <c r="H1434" t="inlineStr">
        <is>
          <t>No</t>
        </is>
      </c>
      <c r="I1434" t="inlineStr">
        <is>
          <t>No</t>
        </is>
      </c>
      <c r="J1434" t="inlineStr">
        <is>
          <t>0</t>
        </is>
      </c>
      <c r="K1434" t="inlineStr">
        <is>
          <t>Herlihy, David.</t>
        </is>
      </c>
      <c r="L1434" t="inlineStr">
        <is>
          <t>New Haven, Yale University Press, 1958.</t>
        </is>
      </c>
      <c r="M1434" t="inlineStr">
        <is>
          <t>1958</t>
        </is>
      </c>
      <c r="O1434" t="inlineStr">
        <is>
          <t>eng</t>
        </is>
      </c>
      <c r="P1434" t="inlineStr">
        <is>
          <t xml:space="preserve">xx </t>
        </is>
      </c>
      <c r="Q1434" t="inlineStr">
        <is>
          <t>Yale historical publications. Miscellany ; 68</t>
        </is>
      </c>
      <c r="R1434" t="inlineStr">
        <is>
          <t xml:space="preserve">DG </t>
        </is>
      </c>
      <c r="S1434" t="n">
        <v>1</v>
      </c>
      <c r="T1434" t="n">
        <v>1</v>
      </c>
      <c r="U1434" t="inlineStr">
        <is>
          <t>2005-09-08</t>
        </is>
      </c>
      <c r="V1434" t="inlineStr">
        <is>
          <t>2005-09-08</t>
        </is>
      </c>
      <c r="W1434" t="inlineStr">
        <is>
          <t>1997-02-06</t>
        </is>
      </c>
      <c r="X1434" t="inlineStr">
        <is>
          <t>1997-02-06</t>
        </is>
      </c>
      <c r="Y1434" t="n">
        <v>419</v>
      </c>
      <c r="Z1434" t="n">
        <v>327</v>
      </c>
      <c r="AA1434" t="n">
        <v>604</v>
      </c>
      <c r="AB1434" t="n">
        <v>2</v>
      </c>
      <c r="AC1434" t="n">
        <v>4</v>
      </c>
      <c r="AD1434" t="n">
        <v>21</v>
      </c>
      <c r="AE1434" t="n">
        <v>37</v>
      </c>
      <c r="AF1434" t="n">
        <v>6</v>
      </c>
      <c r="AG1434" t="n">
        <v>14</v>
      </c>
      <c r="AH1434" t="n">
        <v>8</v>
      </c>
      <c r="AI1434" t="n">
        <v>11</v>
      </c>
      <c r="AJ1434" t="n">
        <v>13</v>
      </c>
      <c r="AK1434" t="n">
        <v>20</v>
      </c>
      <c r="AL1434" t="n">
        <v>1</v>
      </c>
      <c r="AM1434" t="n">
        <v>3</v>
      </c>
      <c r="AN1434" t="n">
        <v>0</v>
      </c>
      <c r="AO1434" t="n">
        <v>0</v>
      </c>
      <c r="AP1434" t="inlineStr">
        <is>
          <t>No</t>
        </is>
      </c>
      <c r="AQ1434" t="inlineStr">
        <is>
          <t>Yes</t>
        </is>
      </c>
      <c r="AR1434">
        <f>HYPERLINK("http://catalog.hathitrust.org/Record/000379814","HathiTrust Record")</f>
        <v/>
      </c>
      <c r="AS1434">
        <f>HYPERLINK("https://creighton-primo.hosted.exlibrisgroup.com/primo-explore/search?tab=default_tab&amp;search_scope=EVERYTHING&amp;vid=01CRU&amp;lang=en_US&amp;offset=0&amp;query=any,contains,991003740239702656","Catalog Record")</f>
        <v/>
      </c>
      <c r="AT1434">
        <f>HYPERLINK("http://www.worldcat.org/oclc/1403077","WorldCat Record")</f>
        <v/>
      </c>
      <c r="AU1434" t="inlineStr">
        <is>
          <t>458656:eng</t>
        </is>
      </c>
      <c r="AV1434" t="inlineStr">
        <is>
          <t>1403077</t>
        </is>
      </c>
      <c r="AW1434" t="inlineStr">
        <is>
          <t>991003740239702656</t>
        </is>
      </c>
      <c r="AX1434" t="inlineStr">
        <is>
          <t>991003740239702656</t>
        </is>
      </c>
      <c r="AY1434" t="inlineStr">
        <is>
          <t>2260461690002656</t>
        </is>
      </c>
      <c r="AZ1434" t="inlineStr">
        <is>
          <t>BOOK</t>
        </is>
      </c>
      <c r="BC1434" t="inlineStr">
        <is>
          <t>32285002423977</t>
        </is>
      </c>
      <c r="BD1434" t="inlineStr">
        <is>
          <t>893410627</t>
        </is>
      </c>
    </row>
    <row r="1435">
      <c r="A1435" t="inlineStr">
        <is>
          <t>No</t>
        </is>
      </c>
      <c r="B1435" t="inlineStr">
        <is>
          <t>DG975.R25 D45 2010</t>
        </is>
      </c>
      <c r="C1435" t="inlineStr">
        <is>
          <t>0                      DG 0975000R  25                 D  45          2010</t>
        </is>
      </c>
      <c r="D1435" t="inlineStr">
        <is>
          <t>Ravenna in late antiquity / Deborah Mauskopf Deliyannis.</t>
        </is>
      </c>
      <c r="F1435" t="inlineStr">
        <is>
          <t>No</t>
        </is>
      </c>
      <c r="G1435" t="inlineStr">
        <is>
          <t>1</t>
        </is>
      </c>
      <c r="H1435" t="inlineStr">
        <is>
          <t>No</t>
        </is>
      </c>
      <c r="I1435" t="inlineStr">
        <is>
          <t>No</t>
        </is>
      </c>
      <c r="J1435" t="inlineStr">
        <is>
          <t>0</t>
        </is>
      </c>
      <c r="K1435" t="inlineStr">
        <is>
          <t>Deliyannis, Deborah Mauskopf, 1966-</t>
        </is>
      </c>
      <c r="L1435" t="inlineStr">
        <is>
          <t>Cambridge ; New York : Cambridge University Press, 2010.</t>
        </is>
      </c>
      <c r="M1435" t="inlineStr">
        <is>
          <t>2010</t>
        </is>
      </c>
      <c r="O1435" t="inlineStr">
        <is>
          <t>eng</t>
        </is>
      </c>
      <c r="P1435" t="inlineStr">
        <is>
          <t>enk</t>
        </is>
      </c>
      <c r="R1435" t="inlineStr">
        <is>
          <t xml:space="preserve">DG </t>
        </is>
      </c>
      <c r="S1435" t="n">
        <v>1</v>
      </c>
      <c r="T1435" t="n">
        <v>1</v>
      </c>
      <c r="U1435" t="inlineStr">
        <is>
          <t>2010-11-02</t>
        </is>
      </c>
      <c r="V1435" t="inlineStr">
        <is>
          <t>2010-11-02</t>
        </is>
      </c>
      <c r="W1435" t="inlineStr">
        <is>
          <t>2010-11-02</t>
        </is>
      </c>
      <c r="X1435" t="inlineStr">
        <is>
          <t>2010-11-02</t>
        </is>
      </c>
      <c r="Y1435" t="n">
        <v>300</v>
      </c>
      <c r="Z1435" t="n">
        <v>214</v>
      </c>
      <c r="AA1435" t="n">
        <v>219</v>
      </c>
      <c r="AB1435" t="n">
        <v>2</v>
      </c>
      <c r="AC1435" t="n">
        <v>2</v>
      </c>
      <c r="AD1435" t="n">
        <v>16</v>
      </c>
      <c r="AE1435" t="n">
        <v>16</v>
      </c>
      <c r="AF1435" t="n">
        <v>5</v>
      </c>
      <c r="AG1435" t="n">
        <v>5</v>
      </c>
      <c r="AH1435" t="n">
        <v>4</v>
      </c>
      <c r="AI1435" t="n">
        <v>4</v>
      </c>
      <c r="AJ1435" t="n">
        <v>11</v>
      </c>
      <c r="AK1435" t="n">
        <v>11</v>
      </c>
      <c r="AL1435" t="n">
        <v>1</v>
      </c>
      <c r="AM1435" t="n">
        <v>1</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HYPERLINK("https://creighton-primo.hosted.exlibrisgroup.com/primo-explore/search?tab=default_tab&amp;search_scope=EVERYTHING&amp;vid=01CRU&amp;lang=en_US&amp;offset=0&amp;query=any,contains,991000138879702656","Catalog Record")</f>
        <v/>
      </c>
      <c r="AT1435">
        <f>HYPERLINK("http://www.worldcat.org/oclc/316772672","WorldCat Record")</f>
        <v/>
      </c>
      <c r="AU1435" t="inlineStr">
        <is>
          <t>194455173:eng</t>
        </is>
      </c>
      <c r="AV1435" t="inlineStr">
        <is>
          <t>316772672</t>
        </is>
      </c>
      <c r="AW1435" t="inlineStr">
        <is>
          <t>991000138879702656</t>
        </is>
      </c>
      <c r="AX1435" t="inlineStr">
        <is>
          <t>991000138879702656</t>
        </is>
      </c>
      <c r="AY1435" t="inlineStr">
        <is>
          <t>2255283560002656</t>
        </is>
      </c>
      <c r="AZ1435" t="inlineStr">
        <is>
          <t>BOOK</t>
        </is>
      </c>
      <c r="BB1435" t="inlineStr">
        <is>
          <t>9780521836722</t>
        </is>
      </c>
      <c r="BC1435" t="inlineStr">
        <is>
          <t>32285005604227</t>
        </is>
      </c>
      <c r="BD1435" t="inlineStr">
        <is>
          <t>893425464</t>
        </is>
      </c>
    </row>
    <row r="1436">
      <c r="A1436" t="inlineStr">
        <is>
          <t>No</t>
        </is>
      </c>
      <c r="B1436" t="inlineStr">
        <is>
          <t>DG975.R72 L3 1965</t>
        </is>
      </c>
      <c r="C1436" t="inlineStr">
        <is>
          <t>0                      DG 0975000R  72                 L  3           1965</t>
        </is>
      </c>
      <c r="D1436" t="inlineStr">
        <is>
          <t>The lords of Romagna; Romagnol society and the origins of the signorie.</t>
        </is>
      </c>
      <c r="F1436" t="inlineStr">
        <is>
          <t>No</t>
        </is>
      </c>
      <c r="G1436" t="inlineStr">
        <is>
          <t>1</t>
        </is>
      </c>
      <c r="H1436" t="inlineStr">
        <is>
          <t>No</t>
        </is>
      </c>
      <c r="I1436" t="inlineStr">
        <is>
          <t>No</t>
        </is>
      </c>
      <c r="J1436" t="inlineStr">
        <is>
          <t>0</t>
        </is>
      </c>
      <c r="K1436" t="inlineStr">
        <is>
          <t>Larner, John, 1930-2008.</t>
        </is>
      </c>
      <c r="L1436" t="inlineStr">
        <is>
          <t>Ithaca, N.Y., Cornell University Press [1965]</t>
        </is>
      </c>
      <c r="M1436" t="inlineStr">
        <is>
          <t>1965</t>
        </is>
      </c>
      <c r="O1436" t="inlineStr">
        <is>
          <t>eng</t>
        </is>
      </c>
      <c r="P1436" t="inlineStr">
        <is>
          <t>nyu</t>
        </is>
      </c>
      <c r="R1436" t="inlineStr">
        <is>
          <t xml:space="preserve">DG </t>
        </is>
      </c>
      <c r="S1436" t="n">
        <v>2</v>
      </c>
      <c r="T1436" t="n">
        <v>2</v>
      </c>
      <c r="U1436" t="inlineStr">
        <is>
          <t>1998-12-07</t>
        </is>
      </c>
      <c r="V1436" t="inlineStr">
        <is>
          <t>1998-12-07</t>
        </is>
      </c>
      <c r="W1436" t="inlineStr">
        <is>
          <t>1997-02-06</t>
        </is>
      </c>
      <c r="X1436" t="inlineStr">
        <is>
          <t>1997-02-06</t>
        </is>
      </c>
      <c r="Y1436" t="n">
        <v>409</v>
      </c>
      <c r="Z1436" t="n">
        <v>378</v>
      </c>
      <c r="AA1436" t="n">
        <v>449</v>
      </c>
      <c r="AB1436" t="n">
        <v>2</v>
      </c>
      <c r="AC1436" t="n">
        <v>3</v>
      </c>
      <c r="AD1436" t="n">
        <v>21</v>
      </c>
      <c r="AE1436" t="n">
        <v>24</v>
      </c>
      <c r="AF1436" t="n">
        <v>5</v>
      </c>
      <c r="AG1436" t="n">
        <v>6</v>
      </c>
      <c r="AH1436" t="n">
        <v>7</v>
      </c>
      <c r="AI1436" t="n">
        <v>7</v>
      </c>
      <c r="AJ1436" t="n">
        <v>16</v>
      </c>
      <c r="AK1436" t="n">
        <v>17</v>
      </c>
      <c r="AL1436" t="n">
        <v>1</v>
      </c>
      <c r="AM1436" t="n">
        <v>2</v>
      </c>
      <c r="AN1436" t="n">
        <v>0</v>
      </c>
      <c r="AO1436" t="n">
        <v>0</v>
      </c>
      <c r="AP1436" t="inlineStr">
        <is>
          <t>No</t>
        </is>
      </c>
      <c r="AQ1436" t="inlineStr">
        <is>
          <t>Yes</t>
        </is>
      </c>
      <c r="AR1436">
        <f>HYPERLINK("http://catalog.hathitrust.org/Record/009516952","HathiTrust Record")</f>
        <v/>
      </c>
      <c r="AS1436">
        <f>HYPERLINK("https://creighton-primo.hosted.exlibrisgroup.com/primo-explore/search?tab=default_tab&amp;search_scope=EVERYTHING&amp;vid=01CRU&amp;lang=en_US&amp;offset=0&amp;query=any,contains,991003525089702656","Catalog Record")</f>
        <v/>
      </c>
      <c r="AT1436">
        <f>HYPERLINK("http://www.worldcat.org/oclc/1087150","WorldCat Record")</f>
        <v/>
      </c>
      <c r="AU1436" t="inlineStr">
        <is>
          <t>432993325:eng</t>
        </is>
      </c>
      <c r="AV1436" t="inlineStr">
        <is>
          <t>1087150</t>
        </is>
      </c>
      <c r="AW1436" t="inlineStr">
        <is>
          <t>991003525089702656</t>
        </is>
      </c>
      <c r="AX1436" t="inlineStr">
        <is>
          <t>991003525089702656</t>
        </is>
      </c>
      <c r="AY1436" t="inlineStr">
        <is>
          <t>2266997010002656</t>
        </is>
      </c>
      <c r="AZ1436" t="inlineStr">
        <is>
          <t>BOOK</t>
        </is>
      </c>
      <c r="BC1436" t="inlineStr">
        <is>
          <t>32285002423993</t>
        </is>
      </c>
      <c r="BD1436" t="inlineStr">
        <is>
          <t>893531260</t>
        </is>
      </c>
    </row>
    <row r="1437">
      <c r="A1437" t="inlineStr">
        <is>
          <t>No</t>
        </is>
      </c>
      <c r="B1437" t="inlineStr">
        <is>
          <t>DG975.T792 S74 1999</t>
        </is>
      </c>
      <c r="C1437" t="inlineStr">
        <is>
          <t>0                      DG 0975000T  792                S  74          1999</t>
        </is>
      </c>
      <c r="D1437" t="inlineStr">
        <is>
          <t>Südtirol im 20. Jahrhundert : Dokumente / Rolf Steininger.</t>
        </is>
      </c>
      <c r="F1437" t="inlineStr">
        <is>
          <t>No</t>
        </is>
      </c>
      <c r="G1437" t="inlineStr">
        <is>
          <t>1</t>
        </is>
      </c>
      <c r="H1437" t="inlineStr">
        <is>
          <t>No</t>
        </is>
      </c>
      <c r="I1437" t="inlineStr">
        <is>
          <t>No</t>
        </is>
      </c>
      <c r="J1437" t="inlineStr">
        <is>
          <t>0</t>
        </is>
      </c>
      <c r="K1437" t="inlineStr">
        <is>
          <t>Steininger, Rolf.</t>
        </is>
      </c>
      <c r="L1437" t="inlineStr">
        <is>
          <t>Innsbruck : StudienVerlag, 1999.</t>
        </is>
      </c>
      <c r="M1437" t="inlineStr">
        <is>
          <t>1999</t>
        </is>
      </c>
      <c r="O1437" t="inlineStr">
        <is>
          <t>ger</t>
        </is>
      </c>
      <c r="P1437" t="inlineStr">
        <is>
          <t xml:space="preserve">au </t>
        </is>
      </c>
      <c r="R1437" t="inlineStr">
        <is>
          <t xml:space="preserve">DG </t>
        </is>
      </c>
      <c r="S1437" t="n">
        <v>1</v>
      </c>
      <c r="T1437" t="n">
        <v>1</v>
      </c>
      <c r="U1437" t="inlineStr">
        <is>
          <t>2000-09-18</t>
        </is>
      </c>
      <c r="V1437" t="inlineStr">
        <is>
          <t>2000-09-18</t>
        </is>
      </c>
      <c r="W1437" t="inlineStr">
        <is>
          <t>2000-09-18</t>
        </is>
      </c>
      <c r="X1437" t="inlineStr">
        <is>
          <t>2000-09-18</t>
        </is>
      </c>
      <c r="Y1437" t="n">
        <v>34</v>
      </c>
      <c r="Z1437" t="n">
        <v>9</v>
      </c>
      <c r="AA1437" t="n">
        <v>42</v>
      </c>
      <c r="AB1437" t="n">
        <v>1</v>
      </c>
      <c r="AC1437" t="n">
        <v>1</v>
      </c>
      <c r="AD1437" t="n">
        <v>1</v>
      </c>
      <c r="AE1437" t="n">
        <v>2</v>
      </c>
      <c r="AF1437" t="n">
        <v>0</v>
      </c>
      <c r="AG1437" t="n">
        <v>1</v>
      </c>
      <c r="AH1437" t="n">
        <v>1</v>
      </c>
      <c r="AI1437" t="n">
        <v>2</v>
      </c>
      <c r="AJ1437" t="n">
        <v>0</v>
      </c>
      <c r="AK1437" t="n">
        <v>0</v>
      </c>
      <c r="AL1437" t="n">
        <v>0</v>
      </c>
      <c r="AM1437" t="n">
        <v>0</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HYPERLINK("https://creighton-primo.hosted.exlibrisgroup.com/primo-explore/search?tab=default_tab&amp;search_scope=EVERYTHING&amp;vid=01CRU&amp;lang=en_US&amp;offset=0&amp;query=any,contains,991003292599702656","Catalog Record")</f>
        <v/>
      </c>
      <c r="AT1437">
        <f>HYPERLINK("http://www.worldcat.org/oclc/42760245","WorldCat Record")</f>
        <v/>
      </c>
      <c r="AU1437" t="inlineStr">
        <is>
          <t>191473277:ger</t>
        </is>
      </c>
      <c r="AV1437" t="inlineStr">
        <is>
          <t>42760245</t>
        </is>
      </c>
      <c r="AW1437" t="inlineStr">
        <is>
          <t>991003292599702656</t>
        </is>
      </c>
      <c r="AX1437" t="inlineStr">
        <is>
          <t>991003292599702656</t>
        </is>
      </c>
      <c r="AY1437" t="inlineStr">
        <is>
          <t>2268878810002656</t>
        </is>
      </c>
      <c r="AZ1437" t="inlineStr">
        <is>
          <t>BOOK</t>
        </is>
      </c>
      <c r="BB1437" t="inlineStr">
        <is>
          <t>9783706513296</t>
        </is>
      </c>
      <c r="BC1437" t="inlineStr">
        <is>
          <t>32285003762761</t>
        </is>
      </c>
      <c r="BD1437" t="inlineStr">
        <is>
          <t>893227905</t>
        </is>
      </c>
    </row>
    <row r="1438">
      <c r="A1438" t="inlineStr">
        <is>
          <t>No</t>
        </is>
      </c>
      <c r="B1438" t="inlineStr">
        <is>
          <t>DG975.T825 A73 2007</t>
        </is>
      </c>
      <c r="C1438" t="inlineStr">
        <is>
          <t>0                      DG 0975000T  825                A  73          2007</t>
        </is>
      </c>
      <c r="D1438" t="inlineStr">
        <is>
          <t>Trieste : un Identità di frontiera / Angelo Ara e Claudio Magris.</t>
        </is>
      </c>
      <c r="F1438" t="inlineStr">
        <is>
          <t>No</t>
        </is>
      </c>
      <c r="G1438" t="inlineStr">
        <is>
          <t>1</t>
        </is>
      </c>
      <c r="H1438" t="inlineStr">
        <is>
          <t>No</t>
        </is>
      </c>
      <c r="I1438" t="inlineStr">
        <is>
          <t>No</t>
        </is>
      </c>
      <c r="J1438" t="inlineStr">
        <is>
          <t>0</t>
        </is>
      </c>
      <c r="K1438" t="inlineStr">
        <is>
          <t>Ara, Angelo.</t>
        </is>
      </c>
      <c r="L1438" t="inlineStr">
        <is>
          <t>Torino : Einaudi, c2007.</t>
        </is>
      </c>
      <c r="M1438" t="inlineStr">
        <is>
          <t>2007</t>
        </is>
      </c>
      <c r="N1438" t="inlineStr">
        <is>
          <t>1e ed.</t>
        </is>
      </c>
      <c r="O1438" t="inlineStr">
        <is>
          <t>ita</t>
        </is>
      </c>
      <c r="P1438" t="inlineStr">
        <is>
          <t xml:space="preserve">it </t>
        </is>
      </c>
      <c r="Q1438" t="inlineStr">
        <is>
          <t>ET Saggi ; 1444</t>
        </is>
      </c>
      <c r="R1438" t="inlineStr">
        <is>
          <t xml:space="preserve">DG </t>
        </is>
      </c>
      <c r="S1438" t="n">
        <v>1</v>
      </c>
      <c r="T1438" t="n">
        <v>1</v>
      </c>
      <c r="U1438" t="inlineStr">
        <is>
          <t>2009-07-16</t>
        </is>
      </c>
      <c r="V1438" t="inlineStr">
        <is>
          <t>2009-07-16</t>
        </is>
      </c>
      <c r="W1438" t="inlineStr">
        <is>
          <t>2009-07-16</t>
        </is>
      </c>
      <c r="X1438" t="inlineStr">
        <is>
          <t>2009-07-16</t>
        </is>
      </c>
      <c r="Y1438" t="n">
        <v>10</v>
      </c>
      <c r="Z1438" t="n">
        <v>6</v>
      </c>
      <c r="AA1438" t="n">
        <v>39</v>
      </c>
      <c r="AB1438" t="n">
        <v>1</v>
      </c>
      <c r="AC1438" t="n">
        <v>1</v>
      </c>
      <c r="AD1438" t="n">
        <v>0</v>
      </c>
      <c r="AE1438" t="n">
        <v>2</v>
      </c>
      <c r="AF1438" t="n">
        <v>0</v>
      </c>
      <c r="AG1438" t="n">
        <v>0</v>
      </c>
      <c r="AH1438" t="n">
        <v>0</v>
      </c>
      <c r="AI1438" t="n">
        <v>1</v>
      </c>
      <c r="AJ1438" t="n">
        <v>0</v>
      </c>
      <c r="AK1438" t="n">
        <v>1</v>
      </c>
      <c r="AL1438" t="n">
        <v>0</v>
      </c>
      <c r="AM1438" t="n">
        <v>0</v>
      </c>
      <c r="AN1438" t="n">
        <v>0</v>
      </c>
      <c r="AO1438" t="n">
        <v>0</v>
      </c>
      <c r="AP1438" t="inlineStr">
        <is>
          <t>No</t>
        </is>
      </c>
      <c r="AQ1438" t="inlineStr">
        <is>
          <t>Yes</t>
        </is>
      </c>
      <c r="AR1438">
        <f>HYPERLINK("http://catalog.hathitrust.org/Record/005560389","HathiTrust Record")</f>
        <v/>
      </c>
      <c r="AS1438">
        <f>HYPERLINK("https://creighton-primo.hosted.exlibrisgroup.com/primo-explore/search?tab=default_tab&amp;search_scope=EVERYTHING&amp;vid=01CRU&amp;lang=en_US&amp;offset=0&amp;query=any,contains,991005325619702656","Catalog Record")</f>
        <v/>
      </c>
      <c r="AT1438">
        <f>HYPERLINK("http://www.worldcat.org/oclc/183260131","WorldCat Record")</f>
        <v/>
      </c>
      <c r="AU1438" t="inlineStr">
        <is>
          <t>53834375:ita</t>
        </is>
      </c>
      <c r="AV1438" t="inlineStr">
        <is>
          <t>183260131</t>
        </is>
      </c>
      <c r="AW1438" t="inlineStr">
        <is>
          <t>991005325619702656</t>
        </is>
      </c>
      <c r="AX1438" t="inlineStr">
        <is>
          <t>991005325619702656</t>
        </is>
      </c>
      <c r="AY1438" t="inlineStr">
        <is>
          <t>2268307310002656</t>
        </is>
      </c>
      <c r="AZ1438" t="inlineStr">
        <is>
          <t>BOOK</t>
        </is>
      </c>
      <c r="BB1438" t="inlineStr">
        <is>
          <t>9788806186562</t>
        </is>
      </c>
      <c r="BC1438" t="inlineStr">
        <is>
          <t>32285005538185</t>
        </is>
      </c>
      <c r="BD1438" t="inlineStr">
        <is>
          <t>893905377</t>
        </is>
      </c>
    </row>
    <row r="1439">
      <c r="A1439" t="inlineStr">
        <is>
          <t>No</t>
        </is>
      </c>
      <c r="B1439" t="inlineStr">
        <is>
          <t>DG975.U5 F3</t>
        </is>
      </c>
      <c r="C1439" t="inlineStr">
        <is>
          <t>0                      DG 0975000U  5                  F  3</t>
        </is>
      </c>
      <c r="D1439" t="inlineStr">
        <is>
          <t>The land of St. Francis of Assisi; Assisi and Perugia, by Gabriel Faure.</t>
        </is>
      </c>
      <c r="F1439" t="inlineStr">
        <is>
          <t>No</t>
        </is>
      </c>
      <c r="G1439" t="inlineStr">
        <is>
          <t>1</t>
        </is>
      </c>
      <c r="H1439" t="inlineStr">
        <is>
          <t>No</t>
        </is>
      </c>
      <c r="I1439" t="inlineStr">
        <is>
          <t>No</t>
        </is>
      </c>
      <c r="J1439" t="inlineStr">
        <is>
          <t>0</t>
        </is>
      </c>
      <c r="K1439" t="inlineStr">
        <is>
          <t>Faure, Gabriel, 1877-1962.</t>
        </is>
      </c>
      <c r="L1439" t="inlineStr">
        <is>
          <t>London Boston, The Medici Society Limited, 1924.</t>
        </is>
      </c>
      <c r="M1439" t="inlineStr">
        <is>
          <t>1924</t>
        </is>
      </c>
      <c r="O1439" t="inlineStr">
        <is>
          <t>eng</t>
        </is>
      </c>
      <c r="P1439" t="inlineStr">
        <is>
          <t>enk</t>
        </is>
      </c>
      <c r="Q1439" t="inlineStr">
        <is>
          <t>The picture guides</t>
        </is>
      </c>
      <c r="R1439" t="inlineStr">
        <is>
          <t xml:space="preserve">DG </t>
        </is>
      </c>
      <c r="S1439" t="n">
        <v>1</v>
      </c>
      <c r="T1439" t="n">
        <v>1</v>
      </c>
      <c r="U1439" t="inlineStr">
        <is>
          <t>2001-10-30</t>
        </is>
      </c>
      <c r="V1439" t="inlineStr">
        <is>
          <t>2001-10-30</t>
        </is>
      </c>
      <c r="W1439" t="inlineStr">
        <is>
          <t>1997-02-06</t>
        </is>
      </c>
      <c r="X1439" t="inlineStr">
        <is>
          <t>1997-02-06</t>
        </is>
      </c>
      <c r="Y1439" t="n">
        <v>257</v>
      </c>
      <c r="Z1439" t="n">
        <v>213</v>
      </c>
      <c r="AA1439" t="n">
        <v>252</v>
      </c>
      <c r="AB1439" t="n">
        <v>2</v>
      </c>
      <c r="AC1439" t="n">
        <v>2</v>
      </c>
      <c r="AD1439" t="n">
        <v>13</v>
      </c>
      <c r="AE1439" t="n">
        <v>15</v>
      </c>
      <c r="AF1439" t="n">
        <v>2</v>
      </c>
      <c r="AG1439" t="n">
        <v>3</v>
      </c>
      <c r="AH1439" t="n">
        <v>4</v>
      </c>
      <c r="AI1439" t="n">
        <v>4</v>
      </c>
      <c r="AJ1439" t="n">
        <v>8</v>
      </c>
      <c r="AK1439" t="n">
        <v>10</v>
      </c>
      <c r="AL1439" t="n">
        <v>1</v>
      </c>
      <c r="AM1439" t="n">
        <v>1</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HYPERLINK("https://creighton-primo.hosted.exlibrisgroup.com/primo-explore/search?tab=default_tab&amp;search_scope=EVERYTHING&amp;vid=01CRU&amp;lang=en_US&amp;offset=0&amp;query=any,contains,991002906199702656","Catalog Record")</f>
        <v/>
      </c>
      <c r="AT1439">
        <f>HYPERLINK("http://www.worldcat.org/oclc/519480","WorldCat Record")</f>
        <v/>
      </c>
      <c r="AU1439" t="inlineStr">
        <is>
          <t>1512269:eng</t>
        </is>
      </c>
      <c r="AV1439" t="inlineStr">
        <is>
          <t>519480</t>
        </is>
      </c>
      <c r="AW1439" t="inlineStr">
        <is>
          <t>991002906199702656</t>
        </is>
      </c>
      <c r="AX1439" t="inlineStr">
        <is>
          <t>991002906199702656</t>
        </is>
      </c>
      <c r="AY1439" t="inlineStr">
        <is>
          <t>2257121450002656</t>
        </is>
      </c>
      <c r="AZ1439" t="inlineStr">
        <is>
          <t>BOOK</t>
        </is>
      </c>
      <c r="BC1439" t="inlineStr">
        <is>
          <t>32285002424025</t>
        </is>
      </c>
      <c r="BD1439" t="inlineStr">
        <is>
          <t>893227423</t>
        </is>
      </c>
    </row>
    <row r="1440">
      <c r="A1440" t="inlineStr">
        <is>
          <t>No</t>
        </is>
      </c>
      <c r="B1440" t="inlineStr">
        <is>
          <t>DG975.U72 D4</t>
        </is>
      </c>
      <c r="C1440" t="inlineStr">
        <is>
          <t>0                      DG 0975000U  72                 D  4</t>
        </is>
      </c>
      <c r="D1440" t="inlineStr">
        <is>
          <t>Memoirs of the dukes of Urbino, illustrating the arms, arts, &amp; literature of Italy, 1440-1630, by James Dennistoun of Dennistoun.</t>
        </is>
      </c>
      <c r="E1440" t="inlineStr">
        <is>
          <t>V.3</t>
        </is>
      </c>
      <c r="F1440" t="inlineStr">
        <is>
          <t>Yes</t>
        </is>
      </c>
      <c r="G1440" t="inlineStr">
        <is>
          <t>1</t>
        </is>
      </c>
      <c r="H1440" t="inlineStr">
        <is>
          <t>No</t>
        </is>
      </c>
      <c r="I1440" t="inlineStr">
        <is>
          <t>No</t>
        </is>
      </c>
      <c r="J1440" t="inlineStr">
        <is>
          <t>0</t>
        </is>
      </c>
      <c r="K1440" t="inlineStr">
        <is>
          <t>Dennistoun, James, 1803-1855.</t>
        </is>
      </c>
      <c r="L1440" t="inlineStr">
        <is>
          <t>London, New York, J. Lane, 1909 [1908]</t>
        </is>
      </c>
      <c r="M1440" t="inlineStr">
        <is>
          <t>1909</t>
        </is>
      </c>
      <c r="N1440" t="inlineStr">
        <is>
          <t>A new ed., with notes, by Edward Hutton. Over a hundred illustrations. In three volumes.</t>
        </is>
      </c>
      <c r="O1440" t="inlineStr">
        <is>
          <t>eng</t>
        </is>
      </c>
      <c r="P1440" t="inlineStr">
        <is>
          <t>enk</t>
        </is>
      </c>
      <c r="R1440" t="inlineStr">
        <is>
          <t xml:space="preserve">DG </t>
        </is>
      </c>
      <c r="S1440" t="n">
        <v>2</v>
      </c>
      <c r="T1440" t="n">
        <v>5</v>
      </c>
      <c r="U1440" t="inlineStr">
        <is>
          <t>2005-09-09</t>
        </is>
      </c>
      <c r="V1440" t="inlineStr">
        <is>
          <t>2005-09-09</t>
        </is>
      </c>
      <c r="W1440" t="inlineStr">
        <is>
          <t>1997-02-06</t>
        </is>
      </c>
      <c r="X1440" t="inlineStr">
        <is>
          <t>1997-02-06</t>
        </is>
      </c>
      <c r="Y1440" t="n">
        <v>146</v>
      </c>
      <c r="Z1440" t="n">
        <v>129</v>
      </c>
      <c r="AA1440" t="n">
        <v>249</v>
      </c>
      <c r="AB1440" t="n">
        <v>1</v>
      </c>
      <c r="AC1440" t="n">
        <v>2</v>
      </c>
      <c r="AD1440" t="n">
        <v>5</v>
      </c>
      <c r="AE1440" t="n">
        <v>10</v>
      </c>
      <c r="AF1440" t="n">
        <v>1</v>
      </c>
      <c r="AG1440" t="n">
        <v>2</v>
      </c>
      <c r="AH1440" t="n">
        <v>2</v>
      </c>
      <c r="AI1440" t="n">
        <v>3</v>
      </c>
      <c r="AJ1440" t="n">
        <v>5</v>
      </c>
      <c r="AK1440" t="n">
        <v>8</v>
      </c>
      <c r="AL1440" t="n">
        <v>0</v>
      </c>
      <c r="AM1440" t="n">
        <v>1</v>
      </c>
      <c r="AN1440" t="n">
        <v>0</v>
      </c>
      <c r="AO1440" t="n">
        <v>0</v>
      </c>
      <c r="AP1440" t="inlineStr">
        <is>
          <t>Yes</t>
        </is>
      </c>
      <c r="AQ1440" t="inlineStr">
        <is>
          <t>No</t>
        </is>
      </c>
      <c r="AR1440">
        <f>HYPERLINK("http://catalog.hathitrust.org/Record/007698010","HathiTrust Record")</f>
        <v/>
      </c>
      <c r="AS1440">
        <f>HYPERLINK("https://creighton-primo.hosted.exlibrisgroup.com/primo-explore/search?tab=default_tab&amp;search_scope=EVERYTHING&amp;vid=01CRU&amp;lang=en_US&amp;offset=0&amp;query=any,contains,991001289249702656","Catalog Record")</f>
        <v/>
      </c>
      <c r="AT1440">
        <f>HYPERLINK("http://www.worldcat.org/oclc/217645","WorldCat Record")</f>
        <v/>
      </c>
      <c r="AU1440" t="inlineStr">
        <is>
          <t>4161669205:eng</t>
        </is>
      </c>
      <c r="AV1440" t="inlineStr">
        <is>
          <t>217645</t>
        </is>
      </c>
      <c r="AW1440" t="inlineStr">
        <is>
          <t>991001289249702656</t>
        </is>
      </c>
      <c r="AX1440" t="inlineStr">
        <is>
          <t>991001289249702656</t>
        </is>
      </c>
      <c r="AY1440" t="inlineStr">
        <is>
          <t>2258905130002656</t>
        </is>
      </c>
      <c r="AZ1440" t="inlineStr">
        <is>
          <t>BOOK</t>
        </is>
      </c>
      <c r="BC1440" t="inlineStr">
        <is>
          <t>32285002424058</t>
        </is>
      </c>
      <c r="BD1440" t="inlineStr">
        <is>
          <t>893321823</t>
        </is>
      </c>
    </row>
    <row r="1441">
      <c r="A1441" t="inlineStr">
        <is>
          <t>No</t>
        </is>
      </c>
      <c r="B1441" t="inlineStr">
        <is>
          <t>DG975.U72 D4</t>
        </is>
      </c>
      <c r="C1441" t="inlineStr">
        <is>
          <t>0                      DG 0975000U  72                 D  4</t>
        </is>
      </c>
      <c r="D1441" t="inlineStr">
        <is>
          <t>Memoirs of the dukes of Urbino, illustrating the arms, arts, &amp; literature of Italy, 1440-1630, by James Dennistoun of Dennistoun.</t>
        </is>
      </c>
      <c r="E1441" t="inlineStr">
        <is>
          <t>V.1</t>
        </is>
      </c>
      <c r="F1441" t="inlineStr">
        <is>
          <t>Yes</t>
        </is>
      </c>
      <c r="G1441" t="inlineStr">
        <is>
          <t>1</t>
        </is>
      </c>
      <c r="H1441" t="inlineStr">
        <is>
          <t>No</t>
        </is>
      </c>
      <c r="I1441" t="inlineStr">
        <is>
          <t>No</t>
        </is>
      </c>
      <c r="J1441" t="inlineStr">
        <is>
          <t>0</t>
        </is>
      </c>
      <c r="K1441" t="inlineStr">
        <is>
          <t>Dennistoun, James, 1803-1855.</t>
        </is>
      </c>
      <c r="L1441" t="inlineStr">
        <is>
          <t>London, New York, J. Lane, 1909 [1908]</t>
        </is>
      </c>
      <c r="M1441" t="inlineStr">
        <is>
          <t>1909</t>
        </is>
      </c>
      <c r="N1441" t="inlineStr">
        <is>
          <t>A new ed., with notes, by Edward Hutton. Over a hundred illustrations. In three volumes.</t>
        </is>
      </c>
      <c r="O1441" t="inlineStr">
        <is>
          <t>eng</t>
        </is>
      </c>
      <c r="P1441" t="inlineStr">
        <is>
          <t>enk</t>
        </is>
      </c>
      <c r="R1441" t="inlineStr">
        <is>
          <t xml:space="preserve">DG </t>
        </is>
      </c>
      <c r="S1441" t="n">
        <v>1</v>
      </c>
      <c r="T1441" t="n">
        <v>5</v>
      </c>
      <c r="U1441" t="inlineStr">
        <is>
          <t>2005-08-24</t>
        </is>
      </c>
      <c r="V1441" t="inlineStr">
        <is>
          <t>2005-09-09</t>
        </is>
      </c>
      <c r="W1441" t="inlineStr">
        <is>
          <t>1997-02-06</t>
        </is>
      </c>
      <c r="X1441" t="inlineStr">
        <is>
          <t>1997-02-06</t>
        </is>
      </c>
      <c r="Y1441" t="n">
        <v>146</v>
      </c>
      <c r="Z1441" t="n">
        <v>129</v>
      </c>
      <c r="AA1441" t="n">
        <v>249</v>
      </c>
      <c r="AB1441" t="n">
        <v>1</v>
      </c>
      <c r="AC1441" t="n">
        <v>2</v>
      </c>
      <c r="AD1441" t="n">
        <v>5</v>
      </c>
      <c r="AE1441" t="n">
        <v>10</v>
      </c>
      <c r="AF1441" t="n">
        <v>1</v>
      </c>
      <c r="AG1441" t="n">
        <v>2</v>
      </c>
      <c r="AH1441" t="n">
        <v>2</v>
      </c>
      <c r="AI1441" t="n">
        <v>3</v>
      </c>
      <c r="AJ1441" t="n">
        <v>5</v>
      </c>
      <c r="AK1441" t="n">
        <v>8</v>
      </c>
      <c r="AL1441" t="n">
        <v>0</v>
      </c>
      <c r="AM1441" t="n">
        <v>1</v>
      </c>
      <c r="AN1441" t="n">
        <v>0</v>
      </c>
      <c r="AO1441" t="n">
        <v>0</v>
      </c>
      <c r="AP1441" t="inlineStr">
        <is>
          <t>Yes</t>
        </is>
      </c>
      <c r="AQ1441" t="inlineStr">
        <is>
          <t>No</t>
        </is>
      </c>
      <c r="AR1441">
        <f>HYPERLINK("http://catalog.hathitrust.org/Record/007698010","HathiTrust Record")</f>
        <v/>
      </c>
      <c r="AS1441">
        <f>HYPERLINK("https://creighton-primo.hosted.exlibrisgroup.com/primo-explore/search?tab=default_tab&amp;search_scope=EVERYTHING&amp;vid=01CRU&amp;lang=en_US&amp;offset=0&amp;query=any,contains,991001289249702656","Catalog Record")</f>
        <v/>
      </c>
      <c r="AT1441">
        <f>HYPERLINK("http://www.worldcat.org/oclc/217645","WorldCat Record")</f>
        <v/>
      </c>
      <c r="AU1441" t="inlineStr">
        <is>
          <t>4161669205:eng</t>
        </is>
      </c>
      <c r="AV1441" t="inlineStr">
        <is>
          <t>217645</t>
        </is>
      </c>
      <c r="AW1441" t="inlineStr">
        <is>
          <t>991001289249702656</t>
        </is>
      </c>
      <c r="AX1441" t="inlineStr">
        <is>
          <t>991001289249702656</t>
        </is>
      </c>
      <c r="AY1441" t="inlineStr">
        <is>
          <t>2258905130002656</t>
        </is>
      </c>
      <c r="AZ1441" t="inlineStr">
        <is>
          <t>BOOK</t>
        </is>
      </c>
      <c r="BC1441" t="inlineStr">
        <is>
          <t>32285002424033</t>
        </is>
      </c>
      <c r="BD1441" t="inlineStr">
        <is>
          <t>893321824</t>
        </is>
      </c>
    </row>
    <row r="1442">
      <c r="A1442" t="inlineStr">
        <is>
          <t>No</t>
        </is>
      </c>
      <c r="B1442" t="inlineStr">
        <is>
          <t>DG975.U72 D4</t>
        </is>
      </c>
      <c r="C1442" t="inlineStr">
        <is>
          <t>0                      DG 0975000U  72                 D  4</t>
        </is>
      </c>
      <c r="D1442" t="inlineStr">
        <is>
          <t>Memoirs of the dukes of Urbino, illustrating the arms, arts, &amp; literature of Italy, 1440-1630, by James Dennistoun of Dennistoun.</t>
        </is>
      </c>
      <c r="E1442" t="inlineStr">
        <is>
          <t>V.2</t>
        </is>
      </c>
      <c r="F1442" t="inlineStr">
        <is>
          <t>Yes</t>
        </is>
      </c>
      <c r="G1442" t="inlineStr">
        <is>
          <t>1</t>
        </is>
      </c>
      <c r="H1442" t="inlineStr">
        <is>
          <t>No</t>
        </is>
      </c>
      <c r="I1442" t="inlineStr">
        <is>
          <t>No</t>
        </is>
      </c>
      <c r="J1442" t="inlineStr">
        <is>
          <t>0</t>
        </is>
      </c>
      <c r="K1442" t="inlineStr">
        <is>
          <t>Dennistoun, James, 1803-1855.</t>
        </is>
      </c>
      <c r="L1442" t="inlineStr">
        <is>
          <t>London, New York, J. Lane, 1909 [1908]</t>
        </is>
      </c>
      <c r="M1442" t="inlineStr">
        <is>
          <t>1909</t>
        </is>
      </c>
      <c r="N1442" t="inlineStr">
        <is>
          <t>A new ed., with notes, by Edward Hutton. Over a hundred illustrations. In three volumes.</t>
        </is>
      </c>
      <c r="O1442" t="inlineStr">
        <is>
          <t>eng</t>
        </is>
      </c>
      <c r="P1442" t="inlineStr">
        <is>
          <t>enk</t>
        </is>
      </c>
      <c r="R1442" t="inlineStr">
        <is>
          <t xml:space="preserve">DG </t>
        </is>
      </c>
      <c r="S1442" t="n">
        <v>2</v>
      </c>
      <c r="T1442" t="n">
        <v>5</v>
      </c>
      <c r="U1442" t="inlineStr">
        <is>
          <t>2005-09-09</t>
        </is>
      </c>
      <c r="V1442" t="inlineStr">
        <is>
          <t>2005-09-09</t>
        </is>
      </c>
      <c r="W1442" t="inlineStr">
        <is>
          <t>1997-02-06</t>
        </is>
      </c>
      <c r="X1442" t="inlineStr">
        <is>
          <t>1997-02-06</t>
        </is>
      </c>
      <c r="Y1442" t="n">
        <v>146</v>
      </c>
      <c r="Z1442" t="n">
        <v>129</v>
      </c>
      <c r="AA1442" t="n">
        <v>249</v>
      </c>
      <c r="AB1442" t="n">
        <v>1</v>
      </c>
      <c r="AC1442" t="n">
        <v>2</v>
      </c>
      <c r="AD1442" t="n">
        <v>5</v>
      </c>
      <c r="AE1442" t="n">
        <v>10</v>
      </c>
      <c r="AF1442" t="n">
        <v>1</v>
      </c>
      <c r="AG1442" t="n">
        <v>2</v>
      </c>
      <c r="AH1442" t="n">
        <v>2</v>
      </c>
      <c r="AI1442" t="n">
        <v>3</v>
      </c>
      <c r="AJ1442" t="n">
        <v>5</v>
      </c>
      <c r="AK1442" t="n">
        <v>8</v>
      </c>
      <c r="AL1442" t="n">
        <v>0</v>
      </c>
      <c r="AM1442" t="n">
        <v>1</v>
      </c>
      <c r="AN1442" t="n">
        <v>0</v>
      </c>
      <c r="AO1442" t="n">
        <v>0</v>
      </c>
      <c r="AP1442" t="inlineStr">
        <is>
          <t>Yes</t>
        </is>
      </c>
      <c r="AQ1442" t="inlineStr">
        <is>
          <t>No</t>
        </is>
      </c>
      <c r="AR1442">
        <f>HYPERLINK("http://catalog.hathitrust.org/Record/007698010","HathiTrust Record")</f>
        <v/>
      </c>
      <c r="AS1442">
        <f>HYPERLINK("https://creighton-primo.hosted.exlibrisgroup.com/primo-explore/search?tab=default_tab&amp;search_scope=EVERYTHING&amp;vid=01CRU&amp;lang=en_US&amp;offset=0&amp;query=any,contains,991001289249702656","Catalog Record")</f>
        <v/>
      </c>
      <c r="AT1442">
        <f>HYPERLINK("http://www.worldcat.org/oclc/217645","WorldCat Record")</f>
        <v/>
      </c>
      <c r="AU1442" t="inlineStr">
        <is>
          <t>4161669205:eng</t>
        </is>
      </c>
      <c r="AV1442" t="inlineStr">
        <is>
          <t>217645</t>
        </is>
      </c>
      <c r="AW1442" t="inlineStr">
        <is>
          <t>991001289249702656</t>
        </is>
      </c>
      <c r="AX1442" t="inlineStr">
        <is>
          <t>991001289249702656</t>
        </is>
      </c>
      <c r="AY1442" t="inlineStr">
        <is>
          <t>2258905130002656</t>
        </is>
      </c>
      <c r="AZ1442" t="inlineStr">
        <is>
          <t>BOOK</t>
        </is>
      </c>
      <c r="BC1442" t="inlineStr">
        <is>
          <t>32285002424041</t>
        </is>
      </c>
      <c r="BD1442" t="inlineStr">
        <is>
          <t>893346396</t>
        </is>
      </c>
    </row>
    <row r="1443">
      <c r="A1443" t="inlineStr">
        <is>
          <t>No</t>
        </is>
      </c>
      <c r="B1443" t="inlineStr">
        <is>
          <t>DG99 .W5</t>
        </is>
      </c>
      <c r="C1443" t="inlineStr">
        <is>
          <t>0                      DG 0099000W  5</t>
        </is>
      </c>
      <c r="D1443" t="inlineStr">
        <is>
          <t>The Roman toga / by Lillian M. Wilson, PH.D.</t>
        </is>
      </c>
      <c r="F1443" t="inlineStr">
        <is>
          <t>No</t>
        </is>
      </c>
      <c r="G1443" t="inlineStr">
        <is>
          <t>1</t>
        </is>
      </c>
      <c r="H1443" t="inlineStr">
        <is>
          <t>No</t>
        </is>
      </c>
      <c r="I1443" t="inlineStr">
        <is>
          <t>No</t>
        </is>
      </c>
      <c r="J1443" t="inlineStr">
        <is>
          <t>0</t>
        </is>
      </c>
      <c r="K1443" t="inlineStr">
        <is>
          <t>Wilson, Lillian May.</t>
        </is>
      </c>
      <c r="L1443" t="inlineStr">
        <is>
          <t>Baltimore : The Johns Hopkins press, 1924.</t>
        </is>
      </c>
      <c r="M1443" t="inlineStr">
        <is>
          <t>1924</t>
        </is>
      </c>
      <c r="O1443" t="inlineStr">
        <is>
          <t>eng</t>
        </is>
      </c>
      <c r="P1443" t="inlineStr">
        <is>
          <t>mdu</t>
        </is>
      </c>
      <c r="Q1443" t="inlineStr">
        <is>
          <t>The Johns Hopkins university studies in archeology, no. 1</t>
        </is>
      </c>
      <c r="R1443" t="inlineStr">
        <is>
          <t xml:space="preserve">DG </t>
        </is>
      </c>
      <c r="S1443" t="n">
        <v>1</v>
      </c>
      <c r="T1443" t="n">
        <v>1</v>
      </c>
      <c r="U1443" t="inlineStr">
        <is>
          <t>1997-01-29</t>
        </is>
      </c>
      <c r="V1443" t="inlineStr">
        <is>
          <t>1997-01-29</t>
        </is>
      </c>
      <c r="W1443" t="inlineStr">
        <is>
          <t>1992-02-13</t>
        </is>
      </c>
      <c r="X1443" t="inlineStr">
        <is>
          <t>1992-02-13</t>
        </is>
      </c>
      <c r="Y1443" t="n">
        <v>297</v>
      </c>
      <c r="Z1443" t="n">
        <v>246</v>
      </c>
      <c r="AA1443" t="n">
        <v>263</v>
      </c>
      <c r="AB1443" t="n">
        <v>3</v>
      </c>
      <c r="AC1443" t="n">
        <v>3</v>
      </c>
      <c r="AD1443" t="n">
        <v>11</v>
      </c>
      <c r="AE1443" t="n">
        <v>12</v>
      </c>
      <c r="AF1443" t="n">
        <v>4</v>
      </c>
      <c r="AG1443" t="n">
        <v>5</v>
      </c>
      <c r="AH1443" t="n">
        <v>2</v>
      </c>
      <c r="AI1443" t="n">
        <v>2</v>
      </c>
      <c r="AJ1443" t="n">
        <v>4</v>
      </c>
      <c r="AK1443" t="n">
        <v>5</v>
      </c>
      <c r="AL1443" t="n">
        <v>2</v>
      </c>
      <c r="AM1443" t="n">
        <v>2</v>
      </c>
      <c r="AN1443" t="n">
        <v>0</v>
      </c>
      <c r="AO1443" t="n">
        <v>0</v>
      </c>
      <c r="AP1443" t="inlineStr">
        <is>
          <t>Yes</t>
        </is>
      </c>
      <c r="AQ1443" t="inlineStr">
        <is>
          <t>No</t>
        </is>
      </c>
      <c r="AR1443">
        <f>HYPERLINK("http://catalog.hathitrust.org/Record/001658160","HathiTrust Record")</f>
        <v/>
      </c>
      <c r="AS1443">
        <f>HYPERLINK("https://creighton-primo.hosted.exlibrisgroup.com/primo-explore/search?tab=default_tab&amp;search_scope=EVERYTHING&amp;vid=01CRU&amp;lang=en_US&amp;offset=0&amp;query=any,contains,991003908569702656","Catalog Record")</f>
        <v/>
      </c>
      <c r="AT1443">
        <f>HYPERLINK("http://www.worldcat.org/oclc/1847283","WorldCat Record")</f>
        <v/>
      </c>
      <c r="AU1443" t="inlineStr">
        <is>
          <t>3102002:eng</t>
        </is>
      </c>
      <c r="AV1443" t="inlineStr">
        <is>
          <t>1847283</t>
        </is>
      </c>
      <c r="AW1443" t="inlineStr">
        <is>
          <t>991003908569702656</t>
        </is>
      </c>
      <c r="AX1443" t="inlineStr">
        <is>
          <t>991003908569702656</t>
        </is>
      </c>
      <c r="AY1443" t="inlineStr">
        <is>
          <t>2261368370002656</t>
        </is>
      </c>
      <c r="AZ1443" t="inlineStr">
        <is>
          <t>BOOK</t>
        </is>
      </c>
      <c r="BC1443" t="inlineStr">
        <is>
          <t>32285000958230</t>
        </is>
      </c>
      <c r="BD1443" t="inlineStr">
        <is>
          <t>893441942</t>
        </is>
      </c>
    </row>
    <row r="1444">
      <c r="A1444" t="inlineStr">
        <is>
          <t>No</t>
        </is>
      </c>
      <c r="B1444" t="inlineStr">
        <is>
          <t>DH186.5 .P2815 1985</t>
        </is>
      </c>
      <c r="C1444" t="inlineStr">
        <is>
          <t>0                      DH 0186500P  2815        1985</t>
        </is>
      </c>
      <c r="D1444" t="inlineStr">
        <is>
          <t>El ejército de Flandes y el Camino Español, 1567-1659 : la logística de la victoria y derrota de España en las guerras de los Países Bajos / Geoffrey Parker ; prólogo de Felipe Ruiz Martín ; versión española de Manuel Rodríguez Alonso.</t>
        </is>
      </c>
      <c r="F1444" t="inlineStr">
        <is>
          <t>No</t>
        </is>
      </c>
      <c r="G1444" t="inlineStr">
        <is>
          <t>1</t>
        </is>
      </c>
      <c r="H1444" t="inlineStr">
        <is>
          <t>No</t>
        </is>
      </c>
      <c r="I1444" t="inlineStr">
        <is>
          <t>No</t>
        </is>
      </c>
      <c r="J1444" t="inlineStr">
        <is>
          <t>0</t>
        </is>
      </c>
      <c r="K1444" t="inlineStr">
        <is>
          <t>Parker, Geoffrey, 1943-</t>
        </is>
      </c>
      <c r="L1444" t="inlineStr">
        <is>
          <t>Madrid : Alianza, c1985.</t>
        </is>
      </c>
      <c r="M1444" t="inlineStr">
        <is>
          <t>1985</t>
        </is>
      </c>
      <c r="O1444" t="inlineStr">
        <is>
          <t>spa</t>
        </is>
      </c>
      <c r="P1444" t="inlineStr">
        <is>
          <t xml:space="preserve">sp </t>
        </is>
      </c>
      <c r="Q1444" t="inlineStr">
        <is>
          <t>Biblioteca de la Revista de Occidente ; 13</t>
        </is>
      </c>
      <c r="R1444" t="inlineStr">
        <is>
          <t xml:space="preserve">DH </t>
        </is>
      </c>
      <c r="S1444" t="n">
        <v>2</v>
      </c>
      <c r="T1444" t="n">
        <v>2</v>
      </c>
      <c r="U1444" t="inlineStr">
        <is>
          <t>2006-10-16</t>
        </is>
      </c>
      <c r="V1444" t="inlineStr">
        <is>
          <t>2006-10-16</t>
        </is>
      </c>
      <c r="W1444" t="inlineStr">
        <is>
          <t>1991-04-24</t>
        </is>
      </c>
      <c r="X1444" t="inlineStr">
        <is>
          <t>1991-04-24</t>
        </is>
      </c>
      <c r="Y1444" t="n">
        <v>16</v>
      </c>
      <c r="Z1444" t="n">
        <v>5</v>
      </c>
      <c r="AA1444" t="n">
        <v>9</v>
      </c>
      <c r="AB1444" t="n">
        <v>1</v>
      </c>
      <c r="AC1444" t="n">
        <v>1</v>
      </c>
      <c r="AD1444" t="n">
        <v>0</v>
      </c>
      <c r="AE1444" t="n">
        <v>0</v>
      </c>
      <c r="AF1444" t="n">
        <v>0</v>
      </c>
      <c r="AG1444" t="n">
        <v>0</v>
      </c>
      <c r="AH1444" t="n">
        <v>0</v>
      </c>
      <c r="AI1444" t="n">
        <v>0</v>
      </c>
      <c r="AJ1444" t="n">
        <v>0</v>
      </c>
      <c r="AK1444" t="n">
        <v>0</v>
      </c>
      <c r="AL1444" t="n">
        <v>0</v>
      </c>
      <c r="AM1444" t="n">
        <v>0</v>
      </c>
      <c r="AN1444" t="n">
        <v>0</v>
      </c>
      <c r="AO1444" t="n">
        <v>0</v>
      </c>
      <c r="AP1444" t="inlineStr">
        <is>
          <t>No</t>
        </is>
      </c>
      <c r="AQ1444" t="inlineStr">
        <is>
          <t>No</t>
        </is>
      </c>
      <c r="AS1444">
        <f>HYPERLINK("https://creighton-primo.hosted.exlibrisgroup.com/primo-explore/search?tab=default_tab&amp;search_scope=EVERYTHING&amp;vid=01CRU&amp;lang=en_US&amp;offset=0&amp;query=any,contains,991000930209702656","Catalog Record")</f>
        <v/>
      </c>
      <c r="AT1444">
        <f>HYPERLINK("http://www.worldcat.org/oclc/14262711","WorldCat Record")</f>
        <v/>
      </c>
      <c r="AU1444" t="inlineStr">
        <is>
          <t>3943387146:spa</t>
        </is>
      </c>
      <c r="AV1444" t="inlineStr">
        <is>
          <t>14262711</t>
        </is>
      </c>
      <c r="AW1444" t="inlineStr">
        <is>
          <t>991000930209702656</t>
        </is>
      </c>
      <c r="AX1444" t="inlineStr">
        <is>
          <t>991000930209702656</t>
        </is>
      </c>
      <c r="AY1444" t="inlineStr">
        <is>
          <t>2258113680002656</t>
        </is>
      </c>
      <c r="AZ1444" t="inlineStr">
        <is>
          <t>BOOK</t>
        </is>
      </c>
      <c r="BB1444" t="inlineStr">
        <is>
          <t>9788420624389</t>
        </is>
      </c>
      <c r="BC1444" t="inlineStr">
        <is>
          <t>32285000522648</t>
        </is>
      </c>
      <c r="BD1444" t="inlineStr">
        <is>
          <t>893237734</t>
        </is>
      </c>
    </row>
    <row r="1445">
      <c r="A1445" t="inlineStr">
        <is>
          <t>No</t>
        </is>
      </c>
      <c r="B1445" t="inlineStr">
        <is>
          <t>DH186.5 .T35 1993</t>
        </is>
      </c>
      <c r="C1445" t="inlineStr">
        <is>
          <t>0                      DH 0186500T  35          1993</t>
        </is>
      </c>
      <c r="D1445" t="inlineStr">
        <is>
          <t>Images of discord : a graphic interpretation of the opening decades of the Eighty Years' War = De tweedracht verbeeld : prentkunst als propaganda aan het begin van de Tachtigjarige Oorlog / James Tanis, Daniel Horst.</t>
        </is>
      </c>
      <c r="F1445" t="inlineStr">
        <is>
          <t>No</t>
        </is>
      </c>
      <c r="G1445" t="inlineStr">
        <is>
          <t>1</t>
        </is>
      </c>
      <c r="H1445" t="inlineStr">
        <is>
          <t>No</t>
        </is>
      </c>
      <c r="I1445" t="inlineStr">
        <is>
          <t>No</t>
        </is>
      </c>
      <c r="J1445" t="inlineStr">
        <is>
          <t>0</t>
        </is>
      </c>
      <c r="K1445" t="inlineStr">
        <is>
          <t>Tanis, James, 1928-2015.</t>
        </is>
      </c>
      <c r="L1445" t="inlineStr">
        <is>
          <t>Bryn Mawr, Pa. : Bryn Mawr College Library ; Grand Rapids : W.B. Eerdmans, c1993.</t>
        </is>
      </c>
      <c r="M1445" t="inlineStr">
        <is>
          <t>1993</t>
        </is>
      </c>
      <c r="O1445" t="inlineStr">
        <is>
          <t>eng</t>
        </is>
      </c>
      <c r="P1445" t="inlineStr">
        <is>
          <t>pau</t>
        </is>
      </c>
      <c r="R1445" t="inlineStr">
        <is>
          <t xml:space="preserve">DH </t>
        </is>
      </c>
      <c r="S1445" t="n">
        <v>3</v>
      </c>
      <c r="T1445" t="n">
        <v>3</v>
      </c>
      <c r="U1445" t="inlineStr">
        <is>
          <t>2008-10-14</t>
        </is>
      </c>
      <c r="V1445" t="inlineStr">
        <is>
          <t>2008-10-14</t>
        </is>
      </c>
      <c r="W1445" t="inlineStr">
        <is>
          <t>1996-01-10</t>
        </is>
      </c>
      <c r="X1445" t="inlineStr">
        <is>
          <t>1996-01-10</t>
        </is>
      </c>
      <c r="Y1445" t="n">
        <v>177</v>
      </c>
      <c r="Z1445" t="n">
        <v>151</v>
      </c>
      <c r="AA1445" t="n">
        <v>154</v>
      </c>
      <c r="AB1445" t="n">
        <v>2</v>
      </c>
      <c r="AC1445" t="n">
        <v>2</v>
      </c>
      <c r="AD1445" t="n">
        <v>5</v>
      </c>
      <c r="AE1445" t="n">
        <v>5</v>
      </c>
      <c r="AF1445" t="n">
        <v>1</v>
      </c>
      <c r="AG1445" t="n">
        <v>1</v>
      </c>
      <c r="AH1445" t="n">
        <v>1</v>
      </c>
      <c r="AI1445" t="n">
        <v>1</v>
      </c>
      <c r="AJ1445" t="n">
        <v>4</v>
      </c>
      <c r="AK1445" t="n">
        <v>4</v>
      </c>
      <c r="AL1445" t="n">
        <v>1</v>
      </c>
      <c r="AM1445" t="n">
        <v>1</v>
      </c>
      <c r="AN1445" t="n">
        <v>0</v>
      </c>
      <c r="AO1445" t="n">
        <v>0</v>
      </c>
      <c r="AP1445" t="inlineStr">
        <is>
          <t>No</t>
        </is>
      </c>
      <c r="AQ1445" t="inlineStr">
        <is>
          <t>Yes</t>
        </is>
      </c>
      <c r="AR1445">
        <f>HYPERLINK("http://catalog.hathitrust.org/Record/002856093","HathiTrust Record")</f>
        <v/>
      </c>
      <c r="AS1445">
        <f>HYPERLINK("https://creighton-primo.hosted.exlibrisgroup.com/primo-explore/search?tab=default_tab&amp;search_scope=EVERYTHING&amp;vid=01CRU&amp;lang=en_US&amp;offset=0&amp;query=any,contains,991002241819702656","Catalog Record")</f>
        <v/>
      </c>
      <c r="AT1445">
        <f>HYPERLINK("http://www.worldcat.org/oclc/28924488","WorldCat Record")</f>
        <v/>
      </c>
      <c r="AU1445" t="inlineStr">
        <is>
          <t>375633509:eng</t>
        </is>
      </c>
      <c r="AV1445" t="inlineStr">
        <is>
          <t>28924488</t>
        </is>
      </c>
      <c r="AW1445" t="inlineStr">
        <is>
          <t>991002241819702656</t>
        </is>
      </c>
      <c r="AX1445" t="inlineStr">
        <is>
          <t>991002241819702656</t>
        </is>
      </c>
      <c r="AY1445" t="inlineStr">
        <is>
          <t>2271034650002656</t>
        </is>
      </c>
      <c r="AZ1445" t="inlineStr">
        <is>
          <t>BOOK</t>
        </is>
      </c>
      <c r="BB1445" t="inlineStr">
        <is>
          <t>9780802807427</t>
        </is>
      </c>
      <c r="BC1445" t="inlineStr">
        <is>
          <t>32285002116092</t>
        </is>
      </c>
      <c r="BD1445" t="inlineStr">
        <is>
          <t>893322709</t>
        </is>
      </c>
    </row>
    <row r="1446">
      <c r="A1446" t="inlineStr">
        <is>
          <t>No</t>
        </is>
      </c>
      <c r="B1446" t="inlineStr">
        <is>
          <t>DH186.5 .T73 2008</t>
        </is>
      </c>
      <c r="C1446" t="inlineStr">
        <is>
          <t>0                      DH 0186500T  73          2008</t>
        </is>
      </c>
      <c r="D1446" t="inlineStr">
        <is>
          <t>The founding of the Dutch Republic : war, finance, and politics in Holland, 1572-1588 / James D. Tracy.</t>
        </is>
      </c>
      <c r="F1446" t="inlineStr">
        <is>
          <t>No</t>
        </is>
      </c>
      <c r="G1446" t="inlineStr">
        <is>
          <t>1</t>
        </is>
      </c>
      <c r="H1446" t="inlineStr">
        <is>
          <t>No</t>
        </is>
      </c>
      <c r="I1446" t="inlineStr">
        <is>
          <t>No</t>
        </is>
      </c>
      <c r="J1446" t="inlineStr">
        <is>
          <t>0</t>
        </is>
      </c>
      <c r="K1446" t="inlineStr">
        <is>
          <t>Tracy, James D.</t>
        </is>
      </c>
      <c r="L1446" t="inlineStr">
        <is>
          <t>Oxford ; New York : Oxford University Press, 2008.</t>
        </is>
      </c>
      <c r="M1446" t="inlineStr">
        <is>
          <t>2008</t>
        </is>
      </c>
      <c r="O1446" t="inlineStr">
        <is>
          <t>eng</t>
        </is>
      </c>
      <c r="P1446" t="inlineStr">
        <is>
          <t>enk</t>
        </is>
      </c>
      <c r="R1446" t="inlineStr">
        <is>
          <t xml:space="preserve">DH </t>
        </is>
      </c>
      <c r="S1446" t="n">
        <v>1</v>
      </c>
      <c r="T1446" t="n">
        <v>1</v>
      </c>
      <c r="U1446" t="inlineStr">
        <is>
          <t>2009-04-29</t>
        </is>
      </c>
      <c r="V1446" t="inlineStr">
        <is>
          <t>2009-04-29</t>
        </is>
      </c>
      <c r="W1446" t="inlineStr">
        <is>
          <t>2009-04-29</t>
        </is>
      </c>
      <c r="X1446" t="inlineStr">
        <is>
          <t>2009-04-29</t>
        </is>
      </c>
      <c r="Y1446" t="n">
        <v>213</v>
      </c>
      <c r="Z1446" t="n">
        <v>147</v>
      </c>
      <c r="AA1446" t="n">
        <v>499</v>
      </c>
      <c r="AB1446" t="n">
        <v>2</v>
      </c>
      <c r="AC1446" t="n">
        <v>22</v>
      </c>
      <c r="AD1446" t="n">
        <v>10</v>
      </c>
      <c r="AE1446" t="n">
        <v>25</v>
      </c>
      <c r="AF1446" t="n">
        <v>4</v>
      </c>
      <c r="AG1446" t="n">
        <v>5</v>
      </c>
      <c r="AH1446" t="n">
        <v>2</v>
      </c>
      <c r="AI1446" t="n">
        <v>7</v>
      </c>
      <c r="AJ1446" t="n">
        <v>8</v>
      </c>
      <c r="AK1446" t="n">
        <v>10</v>
      </c>
      <c r="AL1446" t="n">
        <v>1</v>
      </c>
      <c r="AM1446" t="n">
        <v>10</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HYPERLINK("https://creighton-primo.hosted.exlibrisgroup.com/primo-explore/search?tab=default_tab&amp;search_scope=EVERYTHING&amp;vid=01CRU&amp;lang=en_US&amp;offset=0&amp;query=any,contains,991005303199702656","Catalog Record")</f>
        <v/>
      </c>
      <c r="AT1446">
        <f>HYPERLINK("http://www.worldcat.org/oclc/163605200","WorldCat Record")</f>
        <v/>
      </c>
      <c r="AU1446" t="inlineStr">
        <is>
          <t>797240151:eng</t>
        </is>
      </c>
      <c r="AV1446" t="inlineStr">
        <is>
          <t>163605200</t>
        </is>
      </c>
      <c r="AW1446" t="inlineStr">
        <is>
          <t>991005303199702656</t>
        </is>
      </c>
      <c r="AX1446" t="inlineStr">
        <is>
          <t>991005303199702656</t>
        </is>
      </c>
      <c r="AY1446" t="inlineStr">
        <is>
          <t>2270651390002656</t>
        </is>
      </c>
      <c r="AZ1446" t="inlineStr">
        <is>
          <t>BOOK</t>
        </is>
      </c>
      <c r="BB1446" t="inlineStr">
        <is>
          <t>9780199209118</t>
        </is>
      </c>
      <c r="BC1446" t="inlineStr">
        <is>
          <t>32285005519706</t>
        </is>
      </c>
      <c r="BD1446" t="inlineStr">
        <is>
          <t>893701359</t>
        </is>
      </c>
    </row>
    <row r="1447">
      <c r="A1447" t="inlineStr">
        <is>
          <t>No</t>
        </is>
      </c>
      <c r="B1447" t="inlineStr">
        <is>
          <t>DH187.5 .C3 1969</t>
        </is>
      </c>
      <c r="C1447" t="inlineStr">
        <is>
          <t>0                      DH 0187500C  3           1969</t>
        </is>
      </c>
      <c r="D1447" t="inlineStr">
        <is>
          <t>Philip of Spain and the Netherlands : an essay on moral judgments in history.</t>
        </is>
      </c>
      <c r="F1447" t="inlineStr">
        <is>
          <t>No</t>
        </is>
      </c>
      <c r="G1447" t="inlineStr">
        <is>
          <t>1</t>
        </is>
      </c>
      <c r="H1447" t="inlineStr">
        <is>
          <t>No</t>
        </is>
      </c>
      <c r="I1447" t="inlineStr">
        <is>
          <t>No</t>
        </is>
      </c>
      <c r="J1447" t="inlineStr">
        <is>
          <t>0</t>
        </is>
      </c>
      <c r="K1447" t="inlineStr">
        <is>
          <t>Cadoux, Cecil John, 1883-1947.</t>
        </is>
      </c>
      <c r="L1447" t="inlineStr">
        <is>
          <t>[Hamden, Conn.] : Archon Books, 1969.</t>
        </is>
      </c>
      <c r="M1447" t="inlineStr">
        <is>
          <t>1969</t>
        </is>
      </c>
      <c r="O1447" t="inlineStr">
        <is>
          <t>eng</t>
        </is>
      </c>
      <c r="P1447" t="inlineStr">
        <is>
          <t>ctu</t>
        </is>
      </c>
      <c r="R1447" t="inlineStr">
        <is>
          <t xml:space="preserve">DH </t>
        </is>
      </c>
      <c r="S1447" t="n">
        <v>1</v>
      </c>
      <c r="T1447" t="n">
        <v>1</v>
      </c>
      <c r="U1447" t="inlineStr">
        <is>
          <t>2008-10-14</t>
        </is>
      </c>
      <c r="V1447" t="inlineStr">
        <is>
          <t>2008-10-14</t>
        </is>
      </c>
      <c r="W1447" t="inlineStr">
        <is>
          <t>1991-04-08</t>
        </is>
      </c>
      <c r="X1447" t="inlineStr">
        <is>
          <t>1991-04-08</t>
        </is>
      </c>
      <c r="Y1447" t="n">
        <v>264</v>
      </c>
      <c r="Z1447" t="n">
        <v>226</v>
      </c>
      <c r="AA1447" t="n">
        <v>347</v>
      </c>
      <c r="AB1447" t="n">
        <v>4</v>
      </c>
      <c r="AC1447" t="n">
        <v>4</v>
      </c>
      <c r="AD1447" t="n">
        <v>11</v>
      </c>
      <c r="AE1447" t="n">
        <v>17</v>
      </c>
      <c r="AF1447" t="n">
        <v>0</v>
      </c>
      <c r="AG1447" t="n">
        <v>4</v>
      </c>
      <c r="AH1447" t="n">
        <v>2</v>
      </c>
      <c r="AI1447" t="n">
        <v>4</v>
      </c>
      <c r="AJ1447" t="n">
        <v>7</v>
      </c>
      <c r="AK1447" t="n">
        <v>11</v>
      </c>
      <c r="AL1447" t="n">
        <v>3</v>
      </c>
      <c r="AM1447" t="n">
        <v>3</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HYPERLINK("https://creighton-primo.hosted.exlibrisgroup.com/primo-explore/search?tab=default_tab&amp;search_scope=EVERYTHING&amp;vid=01CRU&amp;lang=en_US&amp;offset=0&amp;query=any,contains,991005437559702656","Catalog Record")</f>
        <v/>
      </c>
      <c r="AT1447">
        <f>HYPERLINK("http://www.worldcat.org/oclc/5425","WorldCat Record")</f>
        <v/>
      </c>
      <c r="AU1447" t="inlineStr">
        <is>
          <t>1128794:eng</t>
        </is>
      </c>
      <c r="AV1447" t="inlineStr">
        <is>
          <t>5425</t>
        </is>
      </c>
      <c r="AW1447" t="inlineStr">
        <is>
          <t>991005437559702656</t>
        </is>
      </c>
      <c r="AX1447" t="inlineStr">
        <is>
          <t>991005437559702656</t>
        </is>
      </c>
      <c r="AY1447" t="inlineStr">
        <is>
          <t>2264491180002656</t>
        </is>
      </c>
      <c r="AZ1447" t="inlineStr">
        <is>
          <t>BOOK</t>
        </is>
      </c>
      <c r="BB1447" t="inlineStr">
        <is>
          <t>9780208007353</t>
        </is>
      </c>
      <c r="BC1447" t="inlineStr">
        <is>
          <t>32285000550508</t>
        </is>
      </c>
      <c r="BD1447" t="inlineStr">
        <is>
          <t>893783703</t>
        </is>
      </c>
    </row>
    <row r="1448">
      <c r="A1448" t="inlineStr">
        <is>
          <t>No</t>
        </is>
      </c>
      <c r="B1448" t="inlineStr">
        <is>
          <t>DH188.W7 H3 1924</t>
        </is>
      </c>
      <c r="C1448" t="inlineStr">
        <is>
          <t>0                      DH 0188000W  7                  H  3           1924</t>
        </is>
      </c>
      <c r="D1448" t="inlineStr">
        <is>
          <t>William the Silent, by Frederic Harrison ...</t>
        </is>
      </c>
      <c r="F1448" t="inlineStr">
        <is>
          <t>No</t>
        </is>
      </c>
      <c r="G1448" t="inlineStr">
        <is>
          <t>1</t>
        </is>
      </c>
      <c r="H1448" t="inlineStr">
        <is>
          <t>No</t>
        </is>
      </c>
      <c r="I1448" t="inlineStr">
        <is>
          <t>No</t>
        </is>
      </c>
      <c r="J1448" t="inlineStr">
        <is>
          <t>0</t>
        </is>
      </c>
      <c r="K1448" t="inlineStr">
        <is>
          <t>Harrison, Frederic, 1831-1923.</t>
        </is>
      </c>
      <c r="L1448" t="inlineStr">
        <is>
          <t>New York [etc.] C. Scribner's Sons, 1924.</t>
        </is>
      </c>
      <c r="M1448" t="inlineStr">
        <is>
          <t>1924</t>
        </is>
      </c>
      <c r="O1448" t="inlineStr">
        <is>
          <t>eng</t>
        </is>
      </c>
      <c r="P1448" t="inlineStr">
        <is>
          <t>nyu</t>
        </is>
      </c>
      <c r="Q1448" t="inlineStr">
        <is>
          <t>Great Hollanders, ed. by E.W. Bok</t>
        </is>
      </c>
      <c r="R1448" t="inlineStr">
        <is>
          <t xml:space="preserve">DH </t>
        </is>
      </c>
      <c r="S1448" t="n">
        <v>1</v>
      </c>
      <c r="T1448" t="n">
        <v>1</v>
      </c>
      <c r="U1448" t="inlineStr">
        <is>
          <t>2002-11-08</t>
        </is>
      </c>
      <c r="V1448" t="inlineStr">
        <is>
          <t>2002-11-08</t>
        </is>
      </c>
      <c r="W1448" t="inlineStr">
        <is>
          <t>1997-02-06</t>
        </is>
      </c>
      <c r="X1448" t="inlineStr">
        <is>
          <t>1997-02-06</t>
        </is>
      </c>
      <c r="Y1448" t="n">
        <v>96</v>
      </c>
      <c r="Z1448" t="n">
        <v>92</v>
      </c>
      <c r="AA1448" t="n">
        <v>572</v>
      </c>
      <c r="AB1448" t="n">
        <v>2</v>
      </c>
      <c r="AC1448" t="n">
        <v>6</v>
      </c>
      <c r="AD1448" t="n">
        <v>4</v>
      </c>
      <c r="AE1448" t="n">
        <v>24</v>
      </c>
      <c r="AF1448" t="n">
        <v>1</v>
      </c>
      <c r="AG1448" t="n">
        <v>8</v>
      </c>
      <c r="AH1448" t="n">
        <v>1</v>
      </c>
      <c r="AI1448" t="n">
        <v>6</v>
      </c>
      <c r="AJ1448" t="n">
        <v>2</v>
      </c>
      <c r="AK1448" t="n">
        <v>11</v>
      </c>
      <c r="AL1448" t="n">
        <v>1</v>
      </c>
      <c r="AM1448" t="n">
        <v>5</v>
      </c>
      <c r="AN1448" t="n">
        <v>0</v>
      </c>
      <c r="AO1448" t="n">
        <v>0</v>
      </c>
      <c r="AP1448" t="inlineStr">
        <is>
          <t>Yes</t>
        </is>
      </c>
      <c r="AQ1448" t="inlineStr">
        <is>
          <t>No</t>
        </is>
      </c>
      <c r="AR1448">
        <f>HYPERLINK("http://catalog.hathitrust.org/Record/000418397","HathiTrust Record")</f>
        <v/>
      </c>
      <c r="AS1448">
        <f>HYPERLINK("https://creighton-primo.hosted.exlibrisgroup.com/primo-explore/search?tab=default_tab&amp;search_scope=EVERYTHING&amp;vid=01CRU&amp;lang=en_US&amp;offset=0&amp;query=any,contains,991003794889702656","Catalog Record")</f>
        <v/>
      </c>
      <c r="AT1448">
        <f>HYPERLINK("http://www.worldcat.org/oclc/1515863","WorldCat Record")</f>
        <v/>
      </c>
      <c r="AU1448" t="inlineStr">
        <is>
          <t>3943278504:eng</t>
        </is>
      </c>
      <c r="AV1448" t="inlineStr">
        <is>
          <t>1515863</t>
        </is>
      </c>
      <c r="AW1448" t="inlineStr">
        <is>
          <t>991003794889702656</t>
        </is>
      </c>
      <c r="AX1448" t="inlineStr">
        <is>
          <t>991003794889702656</t>
        </is>
      </c>
      <c r="AY1448" t="inlineStr">
        <is>
          <t>2264088380002656</t>
        </is>
      </c>
      <c r="AZ1448" t="inlineStr">
        <is>
          <t>BOOK</t>
        </is>
      </c>
      <c r="BC1448" t="inlineStr">
        <is>
          <t>32285002424264</t>
        </is>
      </c>
      <c r="BD1448" t="inlineStr">
        <is>
          <t>893429236</t>
        </is>
      </c>
    </row>
    <row r="1449">
      <c r="A1449" t="inlineStr">
        <is>
          <t>No</t>
        </is>
      </c>
      <c r="B1449" t="inlineStr">
        <is>
          <t>DH193 .S8</t>
        </is>
      </c>
      <c r="C1449" t="inlineStr">
        <is>
          <t>0                      DH 0193000S  8</t>
        </is>
      </c>
      <c r="D1449" t="inlineStr">
        <is>
          <t>Don John of Austria, or Passages from the history of the sixteenth century, MDXLVII. MDLXXVII. Illustrated with plates and numerous wood engravings; by the late Sir William Stirling-Maxwell ...</t>
        </is>
      </c>
      <c r="E1449" t="inlineStr">
        <is>
          <t>V.2</t>
        </is>
      </c>
      <c r="F1449" t="inlineStr">
        <is>
          <t>Yes</t>
        </is>
      </c>
      <c r="G1449" t="inlineStr">
        <is>
          <t>1</t>
        </is>
      </c>
      <c r="H1449" t="inlineStr">
        <is>
          <t>No</t>
        </is>
      </c>
      <c r="I1449" t="inlineStr">
        <is>
          <t>No</t>
        </is>
      </c>
      <c r="J1449" t="inlineStr">
        <is>
          <t>0</t>
        </is>
      </c>
      <c r="K1449" t="inlineStr">
        <is>
          <t>Stirling Maxwell, William, 1818-1878.</t>
        </is>
      </c>
      <c r="L1449" t="inlineStr">
        <is>
          <t>London, Longmans, Green, and co., 1883.</t>
        </is>
      </c>
      <c r="M1449" t="inlineStr">
        <is>
          <t>1883</t>
        </is>
      </c>
      <c r="O1449" t="inlineStr">
        <is>
          <t>eng</t>
        </is>
      </c>
      <c r="P1449" t="inlineStr">
        <is>
          <t>enk</t>
        </is>
      </c>
      <c r="R1449" t="inlineStr">
        <is>
          <t xml:space="preserve">DH </t>
        </is>
      </c>
      <c r="S1449" t="n">
        <v>0</v>
      </c>
      <c r="T1449" t="n">
        <v>0</v>
      </c>
      <c r="U1449" t="inlineStr">
        <is>
          <t>2008-10-28</t>
        </is>
      </c>
      <c r="V1449" t="inlineStr">
        <is>
          <t>2008-10-28</t>
        </is>
      </c>
      <c r="W1449" t="inlineStr">
        <is>
          <t>1997-02-06</t>
        </is>
      </c>
      <c r="X1449" t="inlineStr">
        <is>
          <t>1997-02-06</t>
        </is>
      </c>
      <c r="Y1449" t="n">
        <v>200</v>
      </c>
      <c r="Z1449" t="n">
        <v>177</v>
      </c>
      <c r="AA1449" t="n">
        <v>194</v>
      </c>
      <c r="AB1449" t="n">
        <v>2</v>
      </c>
      <c r="AC1449" t="n">
        <v>2</v>
      </c>
      <c r="AD1449" t="n">
        <v>14</v>
      </c>
      <c r="AE1449" t="n">
        <v>15</v>
      </c>
      <c r="AF1449" t="n">
        <v>2</v>
      </c>
      <c r="AG1449" t="n">
        <v>2</v>
      </c>
      <c r="AH1449" t="n">
        <v>3</v>
      </c>
      <c r="AI1449" t="n">
        <v>4</v>
      </c>
      <c r="AJ1449" t="n">
        <v>11</v>
      </c>
      <c r="AK1449" t="n">
        <v>11</v>
      </c>
      <c r="AL1449" t="n">
        <v>1</v>
      </c>
      <c r="AM1449" t="n">
        <v>1</v>
      </c>
      <c r="AN1449" t="n">
        <v>0</v>
      </c>
      <c r="AO1449" t="n">
        <v>0</v>
      </c>
      <c r="AP1449" t="inlineStr">
        <is>
          <t>Yes</t>
        </is>
      </c>
      <c r="AQ1449" t="inlineStr">
        <is>
          <t>No</t>
        </is>
      </c>
      <c r="AR1449">
        <f>HYPERLINK("http://catalog.hathitrust.org/Record/005858708","HathiTrust Record")</f>
        <v/>
      </c>
      <c r="AS1449">
        <f>HYPERLINK("https://creighton-primo.hosted.exlibrisgroup.com/primo-explore/search?tab=default_tab&amp;search_scope=EVERYTHING&amp;vid=01CRU&amp;lang=en_US&amp;offset=0&amp;query=any,contains,991002711019702656","Catalog Record")</f>
        <v/>
      </c>
      <c r="AT1449">
        <f>HYPERLINK("http://www.worldcat.org/oclc/409232","WorldCat Record")</f>
        <v/>
      </c>
      <c r="AU1449" t="inlineStr">
        <is>
          <t>10278974899:eng</t>
        </is>
      </c>
      <c r="AV1449" t="inlineStr">
        <is>
          <t>409232</t>
        </is>
      </c>
      <c r="AW1449" t="inlineStr">
        <is>
          <t>991002711019702656</t>
        </is>
      </c>
      <c r="AX1449" t="inlineStr">
        <is>
          <t>991002711019702656</t>
        </is>
      </c>
      <c r="AY1449" t="inlineStr">
        <is>
          <t>2262166820002656</t>
        </is>
      </c>
      <c r="AZ1449" t="inlineStr">
        <is>
          <t>BOOK</t>
        </is>
      </c>
      <c r="BC1449" t="inlineStr">
        <is>
          <t>32285002424306</t>
        </is>
      </c>
      <c r="BD1449" t="inlineStr">
        <is>
          <t>893704414</t>
        </is>
      </c>
    </row>
    <row r="1450">
      <c r="A1450" t="inlineStr">
        <is>
          <t>No</t>
        </is>
      </c>
      <c r="B1450" t="inlineStr">
        <is>
          <t>DH193 .S8</t>
        </is>
      </c>
      <c r="C1450" t="inlineStr">
        <is>
          <t>0                      DH 0193000S  8</t>
        </is>
      </c>
      <c r="D1450" t="inlineStr">
        <is>
          <t>Don John of Austria, or Passages from the history of the sixteenth century, MDXLVII. MDLXXVII. Illustrated with plates and numerous wood engravings; by the late Sir William Stirling-Maxwell ...</t>
        </is>
      </c>
      <c r="E1450" t="inlineStr">
        <is>
          <t>V.1</t>
        </is>
      </c>
      <c r="F1450" t="inlineStr">
        <is>
          <t>Yes</t>
        </is>
      </c>
      <c r="G1450" t="inlineStr">
        <is>
          <t>1</t>
        </is>
      </c>
      <c r="H1450" t="inlineStr">
        <is>
          <t>No</t>
        </is>
      </c>
      <c r="I1450" t="inlineStr">
        <is>
          <t>No</t>
        </is>
      </c>
      <c r="J1450" t="inlineStr">
        <is>
          <t>0</t>
        </is>
      </c>
      <c r="K1450" t="inlineStr">
        <is>
          <t>Stirling Maxwell, William, 1818-1878.</t>
        </is>
      </c>
      <c r="L1450" t="inlineStr">
        <is>
          <t>London, Longmans, Green, and co., 1883.</t>
        </is>
      </c>
      <c r="M1450" t="inlineStr">
        <is>
          <t>1883</t>
        </is>
      </c>
      <c r="O1450" t="inlineStr">
        <is>
          <t>eng</t>
        </is>
      </c>
      <c r="P1450" t="inlineStr">
        <is>
          <t>enk</t>
        </is>
      </c>
      <c r="R1450" t="inlineStr">
        <is>
          <t xml:space="preserve">DH </t>
        </is>
      </c>
      <c r="S1450" t="n">
        <v>0</v>
      </c>
      <c r="T1450" t="n">
        <v>0</v>
      </c>
      <c r="U1450" t="inlineStr">
        <is>
          <t>2008-10-28</t>
        </is>
      </c>
      <c r="V1450" t="inlineStr">
        <is>
          <t>2008-10-28</t>
        </is>
      </c>
      <c r="W1450" t="inlineStr">
        <is>
          <t>1997-02-06</t>
        </is>
      </c>
      <c r="X1450" t="inlineStr">
        <is>
          <t>1997-02-06</t>
        </is>
      </c>
      <c r="Y1450" t="n">
        <v>200</v>
      </c>
      <c r="Z1450" t="n">
        <v>177</v>
      </c>
      <c r="AA1450" t="n">
        <v>194</v>
      </c>
      <c r="AB1450" t="n">
        <v>2</v>
      </c>
      <c r="AC1450" t="n">
        <v>2</v>
      </c>
      <c r="AD1450" t="n">
        <v>14</v>
      </c>
      <c r="AE1450" t="n">
        <v>15</v>
      </c>
      <c r="AF1450" t="n">
        <v>2</v>
      </c>
      <c r="AG1450" t="n">
        <v>2</v>
      </c>
      <c r="AH1450" t="n">
        <v>3</v>
      </c>
      <c r="AI1450" t="n">
        <v>4</v>
      </c>
      <c r="AJ1450" t="n">
        <v>11</v>
      </c>
      <c r="AK1450" t="n">
        <v>11</v>
      </c>
      <c r="AL1450" t="n">
        <v>1</v>
      </c>
      <c r="AM1450" t="n">
        <v>1</v>
      </c>
      <c r="AN1450" t="n">
        <v>0</v>
      </c>
      <c r="AO1450" t="n">
        <v>0</v>
      </c>
      <c r="AP1450" t="inlineStr">
        <is>
          <t>Yes</t>
        </is>
      </c>
      <c r="AQ1450" t="inlineStr">
        <is>
          <t>No</t>
        </is>
      </c>
      <c r="AR1450">
        <f>HYPERLINK("http://catalog.hathitrust.org/Record/005858708","HathiTrust Record")</f>
        <v/>
      </c>
      <c r="AS1450">
        <f>HYPERLINK("https://creighton-primo.hosted.exlibrisgroup.com/primo-explore/search?tab=default_tab&amp;search_scope=EVERYTHING&amp;vid=01CRU&amp;lang=en_US&amp;offset=0&amp;query=any,contains,991002711019702656","Catalog Record")</f>
        <v/>
      </c>
      <c r="AT1450">
        <f>HYPERLINK("http://www.worldcat.org/oclc/409232","WorldCat Record")</f>
        <v/>
      </c>
      <c r="AU1450" t="inlineStr">
        <is>
          <t>10278974899:eng</t>
        </is>
      </c>
      <c r="AV1450" t="inlineStr">
        <is>
          <t>409232</t>
        </is>
      </c>
      <c r="AW1450" t="inlineStr">
        <is>
          <t>991002711019702656</t>
        </is>
      </c>
      <c r="AX1450" t="inlineStr">
        <is>
          <t>991002711019702656</t>
        </is>
      </c>
      <c r="AY1450" t="inlineStr">
        <is>
          <t>2262166820002656</t>
        </is>
      </c>
      <c r="AZ1450" t="inlineStr">
        <is>
          <t>BOOK</t>
        </is>
      </c>
      <c r="BC1450" t="inlineStr">
        <is>
          <t>32285002424298</t>
        </is>
      </c>
      <c r="BD1450" t="inlineStr">
        <is>
          <t>893685694</t>
        </is>
      </c>
    </row>
    <row r="1451">
      <c r="A1451" t="inlineStr">
        <is>
          <t>No</t>
        </is>
      </c>
      <c r="B1451" t="inlineStr">
        <is>
          <t>DH671 .E47 1979</t>
        </is>
      </c>
      <c r="C1451" t="inlineStr">
        <is>
          <t>0                      DH 0671000E  47          1979</t>
        </is>
      </c>
      <c r="D1451" t="inlineStr">
        <is>
          <t>Leopold II of the Belgians : king of colonialism / Barbara Emerson.</t>
        </is>
      </c>
      <c r="F1451" t="inlineStr">
        <is>
          <t>No</t>
        </is>
      </c>
      <c r="G1451" t="inlineStr">
        <is>
          <t>1</t>
        </is>
      </c>
      <c r="H1451" t="inlineStr">
        <is>
          <t>No</t>
        </is>
      </c>
      <c r="I1451" t="inlineStr">
        <is>
          <t>No</t>
        </is>
      </c>
      <c r="J1451" t="inlineStr">
        <is>
          <t>0</t>
        </is>
      </c>
      <c r="K1451" t="inlineStr">
        <is>
          <t>Emerson, Barbara.</t>
        </is>
      </c>
      <c r="L1451" t="inlineStr">
        <is>
          <t>New York : St. Martin's Press, 1979.</t>
        </is>
      </c>
      <c r="M1451" t="inlineStr">
        <is>
          <t>1979</t>
        </is>
      </c>
      <c r="O1451" t="inlineStr">
        <is>
          <t>eng</t>
        </is>
      </c>
      <c r="P1451" t="inlineStr">
        <is>
          <t>nyu</t>
        </is>
      </c>
      <c r="R1451" t="inlineStr">
        <is>
          <t xml:space="preserve">DH </t>
        </is>
      </c>
      <c r="S1451" t="n">
        <v>1</v>
      </c>
      <c r="T1451" t="n">
        <v>1</v>
      </c>
      <c r="U1451" t="inlineStr">
        <is>
          <t>2000-04-26</t>
        </is>
      </c>
      <c r="V1451" t="inlineStr">
        <is>
          <t>2000-04-26</t>
        </is>
      </c>
      <c r="W1451" t="inlineStr">
        <is>
          <t>1991-04-24</t>
        </is>
      </c>
      <c r="X1451" t="inlineStr">
        <is>
          <t>1991-04-24</t>
        </is>
      </c>
      <c r="Y1451" t="n">
        <v>333</v>
      </c>
      <c r="Z1451" t="n">
        <v>316</v>
      </c>
      <c r="AA1451" t="n">
        <v>381</v>
      </c>
      <c r="AB1451" t="n">
        <v>1</v>
      </c>
      <c r="AC1451" t="n">
        <v>3</v>
      </c>
      <c r="AD1451" t="n">
        <v>10</v>
      </c>
      <c r="AE1451" t="n">
        <v>13</v>
      </c>
      <c r="AF1451" t="n">
        <v>5</v>
      </c>
      <c r="AG1451" t="n">
        <v>5</v>
      </c>
      <c r="AH1451" t="n">
        <v>4</v>
      </c>
      <c r="AI1451" t="n">
        <v>5</v>
      </c>
      <c r="AJ1451" t="n">
        <v>5</v>
      </c>
      <c r="AK1451" t="n">
        <v>6</v>
      </c>
      <c r="AL1451" t="n">
        <v>0</v>
      </c>
      <c r="AM1451" t="n">
        <v>2</v>
      </c>
      <c r="AN1451" t="n">
        <v>0</v>
      </c>
      <c r="AO1451" t="n">
        <v>0</v>
      </c>
      <c r="AP1451" t="inlineStr">
        <is>
          <t>No</t>
        </is>
      </c>
      <c r="AQ1451" t="inlineStr">
        <is>
          <t>No</t>
        </is>
      </c>
      <c r="AS1451">
        <f>HYPERLINK("https://creighton-primo.hosted.exlibrisgroup.com/primo-explore/search?tab=default_tab&amp;search_scope=EVERYTHING&amp;vid=01CRU&amp;lang=en_US&amp;offset=0&amp;query=any,contains,991004802429702656","Catalog Record")</f>
        <v/>
      </c>
      <c r="AT1451">
        <f>HYPERLINK("http://www.worldcat.org/oclc/5219720","WorldCat Record")</f>
        <v/>
      </c>
      <c r="AU1451" t="inlineStr">
        <is>
          <t>147264899:eng</t>
        </is>
      </c>
      <c r="AV1451" t="inlineStr">
        <is>
          <t>5219720</t>
        </is>
      </c>
      <c r="AW1451" t="inlineStr">
        <is>
          <t>991004802429702656</t>
        </is>
      </c>
      <c r="AX1451" t="inlineStr">
        <is>
          <t>991004802429702656</t>
        </is>
      </c>
      <c r="AY1451" t="inlineStr">
        <is>
          <t>2268385870002656</t>
        </is>
      </c>
      <c r="AZ1451" t="inlineStr">
        <is>
          <t>BOOK</t>
        </is>
      </c>
      <c r="BB1451" t="inlineStr">
        <is>
          <t>9780312480127</t>
        </is>
      </c>
      <c r="BC1451" t="inlineStr">
        <is>
          <t>32285000522671</t>
        </is>
      </c>
      <c r="BD1451" t="inlineStr">
        <is>
          <t>893619105</t>
        </is>
      </c>
    </row>
    <row r="1452">
      <c r="A1452" t="inlineStr">
        <is>
          <t>No</t>
        </is>
      </c>
      <c r="B1452" t="inlineStr">
        <is>
          <t>DH687 .A82</t>
        </is>
      </c>
      <c r="C1452" t="inlineStr">
        <is>
          <t>0                      DH 0687000A  82</t>
        </is>
      </c>
      <c r="D1452" t="inlineStr">
        <is>
          <t>Leopold III and the Belgian royal question.</t>
        </is>
      </c>
      <c r="F1452" t="inlineStr">
        <is>
          <t>No</t>
        </is>
      </c>
      <c r="G1452" t="inlineStr">
        <is>
          <t>1</t>
        </is>
      </c>
      <c r="H1452" t="inlineStr">
        <is>
          <t>No</t>
        </is>
      </c>
      <c r="I1452" t="inlineStr">
        <is>
          <t>No</t>
        </is>
      </c>
      <c r="J1452" t="inlineStr">
        <is>
          <t>0</t>
        </is>
      </c>
      <c r="K1452" t="inlineStr">
        <is>
          <t>Arango, E. Ramón (Ergasto Ramón)</t>
        </is>
      </c>
      <c r="L1452" t="inlineStr">
        <is>
          <t>Baltimore, Johns Hopkins Press [1963, c1961]</t>
        </is>
      </c>
      <c r="M1452" t="inlineStr">
        <is>
          <t>1963</t>
        </is>
      </c>
      <c r="O1452" t="inlineStr">
        <is>
          <t>eng</t>
        </is>
      </c>
      <c r="P1452" t="inlineStr">
        <is>
          <t>mdu</t>
        </is>
      </c>
      <c r="R1452" t="inlineStr">
        <is>
          <t xml:space="preserve">DH </t>
        </is>
      </c>
      <c r="S1452" t="n">
        <v>1</v>
      </c>
      <c r="T1452" t="n">
        <v>1</v>
      </c>
      <c r="U1452" t="inlineStr">
        <is>
          <t>2007-09-28</t>
        </is>
      </c>
      <c r="V1452" t="inlineStr">
        <is>
          <t>2007-09-28</t>
        </is>
      </c>
      <c r="W1452" t="inlineStr">
        <is>
          <t>1997-02-06</t>
        </is>
      </c>
      <c r="X1452" t="inlineStr">
        <is>
          <t>1997-02-06</t>
        </is>
      </c>
      <c r="Y1452" t="n">
        <v>298</v>
      </c>
      <c r="Z1452" t="n">
        <v>272</v>
      </c>
      <c r="AA1452" t="n">
        <v>543</v>
      </c>
      <c r="AB1452" t="n">
        <v>2</v>
      </c>
      <c r="AC1452" t="n">
        <v>7</v>
      </c>
      <c r="AD1452" t="n">
        <v>7</v>
      </c>
      <c r="AE1452" t="n">
        <v>21</v>
      </c>
      <c r="AF1452" t="n">
        <v>1</v>
      </c>
      <c r="AG1452" t="n">
        <v>6</v>
      </c>
      <c r="AH1452" t="n">
        <v>2</v>
      </c>
      <c r="AI1452" t="n">
        <v>5</v>
      </c>
      <c r="AJ1452" t="n">
        <v>4</v>
      </c>
      <c r="AK1452" t="n">
        <v>8</v>
      </c>
      <c r="AL1452" t="n">
        <v>1</v>
      </c>
      <c r="AM1452" t="n">
        <v>6</v>
      </c>
      <c r="AN1452" t="n">
        <v>0</v>
      </c>
      <c r="AO1452" t="n">
        <v>0</v>
      </c>
      <c r="AP1452" t="inlineStr">
        <is>
          <t>No</t>
        </is>
      </c>
      <c r="AQ1452" t="inlineStr">
        <is>
          <t>No</t>
        </is>
      </c>
      <c r="AR1452">
        <f>HYPERLINK("http://catalog.hathitrust.org/Record/000420554","HathiTrust Record")</f>
        <v/>
      </c>
      <c r="AS1452">
        <f>HYPERLINK("https://creighton-primo.hosted.exlibrisgroup.com/primo-explore/search?tab=default_tab&amp;search_scope=EVERYTHING&amp;vid=01CRU&amp;lang=en_US&amp;offset=0&amp;query=any,contains,991004826689702656","Catalog Record")</f>
        <v/>
      </c>
      <c r="AT1452">
        <f>HYPERLINK("http://www.worldcat.org/oclc/5357114","WorldCat Record")</f>
        <v/>
      </c>
      <c r="AU1452" t="inlineStr">
        <is>
          <t>1354284:eng</t>
        </is>
      </c>
      <c r="AV1452" t="inlineStr">
        <is>
          <t>5357114</t>
        </is>
      </c>
      <c r="AW1452" t="inlineStr">
        <is>
          <t>991004826689702656</t>
        </is>
      </c>
      <c r="AX1452" t="inlineStr">
        <is>
          <t>991004826689702656</t>
        </is>
      </c>
      <c r="AY1452" t="inlineStr">
        <is>
          <t>2256767700002656</t>
        </is>
      </c>
      <c r="AZ1452" t="inlineStr">
        <is>
          <t>BOOK</t>
        </is>
      </c>
      <c r="BC1452" t="inlineStr">
        <is>
          <t>32285002424447</t>
        </is>
      </c>
      <c r="BD1452" t="inlineStr">
        <is>
          <t>893882999</t>
        </is>
      </c>
    </row>
    <row r="1453">
      <c r="A1453" t="inlineStr">
        <is>
          <t>No</t>
        </is>
      </c>
      <c r="B1453" t="inlineStr">
        <is>
          <t>DH687 .K53</t>
        </is>
      </c>
      <c r="C1453" t="inlineStr">
        <is>
          <t>0                      DH 0687000K  53</t>
        </is>
      </c>
      <c r="D1453" t="inlineStr">
        <is>
          <t>Belgium's return to neutrality; an essay in the frustration of small power diplomacy.</t>
        </is>
      </c>
      <c r="F1453" t="inlineStr">
        <is>
          <t>No</t>
        </is>
      </c>
      <c r="G1453" t="inlineStr">
        <is>
          <t>1</t>
        </is>
      </c>
      <c r="H1453" t="inlineStr">
        <is>
          <t>No</t>
        </is>
      </c>
      <c r="I1453" t="inlineStr">
        <is>
          <t>No</t>
        </is>
      </c>
      <c r="J1453" t="inlineStr">
        <is>
          <t>0</t>
        </is>
      </c>
      <c r="K1453" t="inlineStr">
        <is>
          <t>Kieft, David Owen.</t>
        </is>
      </c>
      <c r="L1453" t="inlineStr">
        <is>
          <t>Oxford, Clarendon Press, 1972.</t>
        </is>
      </c>
      <c r="M1453" t="inlineStr">
        <is>
          <t>1972</t>
        </is>
      </c>
      <c r="O1453" t="inlineStr">
        <is>
          <t>eng</t>
        </is>
      </c>
      <c r="P1453" t="inlineStr">
        <is>
          <t>enk</t>
        </is>
      </c>
      <c r="R1453" t="inlineStr">
        <is>
          <t xml:space="preserve">DH </t>
        </is>
      </c>
      <c r="S1453" t="n">
        <v>1</v>
      </c>
      <c r="T1453" t="n">
        <v>1</v>
      </c>
      <c r="U1453" t="inlineStr">
        <is>
          <t>2007-09-28</t>
        </is>
      </c>
      <c r="V1453" t="inlineStr">
        <is>
          <t>2007-09-28</t>
        </is>
      </c>
      <c r="W1453" t="inlineStr">
        <is>
          <t>1997-02-06</t>
        </is>
      </c>
      <c r="X1453" t="inlineStr">
        <is>
          <t>1997-02-06</t>
        </is>
      </c>
      <c r="Y1453" t="n">
        <v>483</v>
      </c>
      <c r="Z1453" t="n">
        <v>377</v>
      </c>
      <c r="AA1453" t="n">
        <v>383</v>
      </c>
      <c r="AB1453" t="n">
        <v>3</v>
      </c>
      <c r="AC1453" t="n">
        <v>3</v>
      </c>
      <c r="AD1453" t="n">
        <v>18</v>
      </c>
      <c r="AE1453" t="n">
        <v>18</v>
      </c>
      <c r="AF1453" t="n">
        <v>4</v>
      </c>
      <c r="AG1453" t="n">
        <v>4</v>
      </c>
      <c r="AH1453" t="n">
        <v>5</v>
      </c>
      <c r="AI1453" t="n">
        <v>5</v>
      </c>
      <c r="AJ1453" t="n">
        <v>9</v>
      </c>
      <c r="AK1453" t="n">
        <v>9</v>
      </c>
      <c r="AL1453" t="n">
        <v>2</v>
      </c>
      <c r="AM1453" t="n">
        <v>2</v>
      </c>
      <c r="AN1453" t="n">
        <v>0</v>
      </c>
      <c r="AO1453" t="n">
        <v>0</v>
      </c>
      <c r="AP1453" t="inlineStr">
        <is>
          <t>No</t>
        </is>
      </c>
      <c r="AQ1453" t="inlineStr">
        <is>
          <t>Yes</t>
        </is>
      </c>
      <c r="AR1453">
        <f>HYPERLINK("http://catalog.hathitrust.org/Record/000420851","HathiTrust Record")</f>
        <v/>
      </c>
      <c r="AS1453">
        <f>HYPERLINK("https://creighton-primo.hosted.exlibrisgroup.com/primo-explore/search?tab=default_tab&amp;search_scope=EVERYTHING&amp;vid=01CRU&amp;lang=en_US&amp;offset=0&amp;query=any,contains,991002626739702656","Catalog Record")</f>
        <v/>
      </c>
      <c r="AT1453">
        <f>HYPERLINK("http://www.worldcat.org/oclc/382018","WorldCat Record")</f>
        <v/>
      </c>
      <c r="AU1453" t="inlineStr">
        <is>
          <t>291869892:eng</t>
        </is>
      </c>
      <c r="AV1453" t="inlineStr">
        <is>
          <t>382018</t>
        </is>
      </c>
      <c r="AW1453" t="inlineStr">
        <is>
          <t>991002626739702656</t>
        </is>
      </c>
      <c r="AX1453" t="inlineStr">
        <is>
          <t>991002626739702656</t>
        </is>
      </c>
      <c r="AY1453" t="inlineStr">
        <is>
          <t>2259944800002656</t>
        </is>
      </c>
      <c r="AZ1453" t="inlineStr">
        <is>
          <t>BOOK</t>
        </is>
      </c>
      <c r="BB1453" t="inlineStr">
        <is>
          <t>9780198214977</t>
        </is>
      </c>
      <c r="BC1453" t="inlineStr">
        <is>
          <t>32285002424454</t>
        </is>
      </c>
      <c r="BD1453" t="inlineStr">
        <is>
          <t>893798798</t>
        </is>
      </c>
    </row>
    <row r="1454">
      <c r="A1454" t="inlineStr">
        <is>
          <t>No</t>
        </is>
      </c>
      <c r="B1454" t="inlineStr">
        <is>
          <t>DH905 .C3</t>
        </is>
      </c>
      <c r="C1454" t="inlineStr">
        <is>
          <t>0                      DH 0905000C  3</t>
        </is>
      </c>
      <c r="D1454" t="inlineStr">
        <is>
          <t>The land of haunted castles, by Robert J. Casey; illustrated with many photographs...</t>
        </is>
      </c>
      <c r="F1454" t="inlineStr">
        <is>
          <t>No</t>
        </is>
      </c>
      <c r="G1454" t="inlineStr">
        <is>
          <t>1</t>
        </is>
      </c>
      <c r="H1454" t="inlineStr">
        <is>
          <t>No</t>
        </is>
      </c>
      <c r="I1454" t="inlineStr">
        <is>
          <t>No</t>
        </is>
      </c>
      <c r="J1454" t="inlineStr">
        <is>
          <t>0</t>
        </is>
      </c>
      <c r="K1454" t="inlineStr">
        <is>
          <t>Casey, Robert J. (Robert Joseph), 1890-1962.</t>
        </is>
      </c>
      <c r="L1454" t="inlineStr">
        <is>
          <t>New York, The Century co. 1921</t>
        </is>
      </c>
      <c r="M1454" t="inlineStr">
        <is>
          <t>1921</t>
        </is>
      </c>
      <c r="O1454" t="inlineStr">
        <is>
          <t>eng</t>
        </is>
      </c>
      <c r="P1454" t="inlineStr">
        <is>
          <t>nyu</t>
        </is>
      </c>
      <c r="R1454" t="inlineStr">
        <is>
          <t xml:space="preserve">DH </t>
        </is>
      </c>
      <c r="S1454" t="n">
        <v>3</v>
      </c>
      <c r="T1454" t="n">
        <v>3</v>
      </c>
      <c r="U1454" t="inlineStr">
        <is>
          <t>2000-08-25</t>
        </is>
      </c>
      <c r="V1454" t="inlineStr">
        <is>
          <t>2000-08-25</t>
        </is>
      </c>
      <c r="W1454" t="inlineStr">
        <is>
          <t>1997-02-06</t>
        </is>
      </c>
      <c r="X1454" t="inlineStr">
        <is>
          <t>1997-02-06</t>
        </is>
      </c>
      <c r="Y1454" t="n">
        <v>123</v>
      </c>
      <c r="Z1454" t="n">
        <v>118</v>
      </c>
      <c r="AA1454" t="n">
        <v>139</v>
      </c>
      <c r="AB1454" t="n">
        <v>4</v>
      </c>
      <c r="AC1454" t="n">
        <v>5</v>
      </c>
      <c r="AD1454" t="n">
        <v>9</v>
      </c>
      <c r="AE1454" t="n">
        <v>11</v>
      </c>
      <c r="AF1454" t="n">
        <v>2</v>
      </c>
      <c r="AG1454" t="n">
        <v>2</v>
      </c>
      <c r="AH1454" t="n">
        <v>0</v>
      </c>
      <c r="AI1454" t="n">
        <v>1</v>
      </c>
      <c r="AJ1454" t="n">
        <v>5</v>
      </c>
      <c r="AK1454" t="n">
        <v>5</v>
      </c>
      <c r="AL1454" t="n">
        <v>3</v>
      </c>
      <c r="AM1454" t="n">
        <v>4</v>
      </c>
      <c r="AN1454" t="n">
        <v>0</v>
      </c>
      <c r="AO1454" t="n">
        <v>0</v>
      </c>
      <c r="AP1454" t="inlineStr">
        <is>
          <t>Yes</t>
        </is>
      </c>
      <c r="AQ1454" t="inlineStr">
        <is>
          <t>No</t>
        </is>
      </c>
      <c r="AR1454">
        <f>HYPERLINK("http://catalog.hathitrust.org/Record/000419528","HathiTrust Record")</f>
        <v/>
      </c>
      <c r="AS1454">
        <f>HYPERLINK("https://creighton-primo.hosted.exlibrisgroup.com/primo-explore/search?tab=default_tab&amp;search_scope=EVERYTHING&amp;vid=01CRU&amp;lang=en_US&amp;offset=0&amp;query=any,contains,991005358189702656","Catalog Record")</f>
        <v/>
      </c>
      <c r="AT1454">
        <f>HYPERLINK("http://www.worldcat.org/oclc/1320372","WorldCat Record")</f>
        <v/>
      </c>
      <c r="AU1454" t="inlineStr">
        <is>
          <t>765157:eng</t>
        </is>
      </c>
      <c r="AV1454" t="inlineStr">
        <is>
          <t>1320372</t>
        </is>
      </c>
      <c r="AW1454" t="inlineStr">
        <is>
          <t>991005358189702656</t>
        </is>
      </c>
      <c r="AX1454" t="inlineStr">
        <is>
          <t>991005358189702656</t>
        </is>
      </c>
      <c r="AY1454" t="inlineStr">
        <is>
          <t>2257114490002656</t>
        </is>
      </c>
      <c r="AZ1454" t="inlineStr">
        <is>
          <t>BOOK</t>
        </is>
      </c>
      <c r="BC1454" t="inlineStr">
        <is>
          <t>32285002424520</t>
        </is>
      </c>
      <c r="BD1454" t="inlineStr">
        <is>
          <t>893431355</t>
        </is>
      </c>
    </row>
    <row r="1455">
      <c r="A1455" t="inlineStr">
        <is>
          <t>No</t>
        </is>
      </c>
      <c r="B1455" t="inlineStr">
        <is>
          <t>DH916 .O8 1932a</t>
        </is>
      </c>
      <c r="C1455" t="inlineStr">
        <is>
          <t>0                      DH 0916000O  8           1932a</t>
        </is>
      </c>
      <c r="D1455" t="inlineStr">
        <is>
          <t>Marie Adelaide, grand duchess of Luxemburg, duchess of Nassau [by] Edith O'Shaughnessy.</t>
        </is>
      </c>
      <c r="F1455" t="inlineStr">
        <is>
          <t>No</t>
        </is>
      </c>
      <c r="G1455" t="inlineStr">
        <is>
          <t>1</t>
        </is>
      </c>
      <c r="H1455" t="inlineStr">
        <is>
          <t>No</t>
        </is>
      </c>
      <c r="I1455" t="inlineStr">
        <is>
          <t>No</t>
        </is>
      </c>
      <c r="J1455" t="inlineStr">
        <is>
          <t>0</t>
        </is>
      </c>
      <c r="K1455" t="inlineStr">
        <is>
          <t>O'Shaughnessy, Edith, 1870-1939.</t>
        </is>
      </c>
      <c r="L1455" t="inlineStr">
        <is>
          <t>New York, Jonathan Cape, 1932.</t>
        </is>
      </c>
      <c r="M1455" t="inlineStr">
        <is>
          <t>1932</t>
        </is>
      </c>
      <c r="O1455" t="inlineStr">
        <is>
          <t>eng</t>
        </is>
      </c>
      <c r="P1455" t="inlineStr">
        <is>
          <t xml:space="preserve">xx </t>
        </is>
      </c>
      <c r="R1455" t="inlineStr">
        <is>
          <t xml:space="preserve">DH </t>
        </is>
      </c>
      <c r="S1455" t="n">
        <v>2</v>
      </c>
      <c r="T1455" t="n">
        <v>2</v>
      </c>
      <c r="U1455" t="inlineStr">
        <is>
          <t>2000-04-06</t>
        </is>
      </c>
      <c r="V1455" t="inlineStr">
        <is>
          <t>2000-04-06</t>
        </is>
      </c>
      <c r="W1455" t="inlineStr">
        <is>
          <t>1996-05-30</t>
        </is>
      </c>
      <c r="X1455" t="inlineStr">
        <is>
          <t>1996-05-30</t>
        </is>
      </c>
      <c r="Y1455" t="n">
        <v>151</v>
      </c>
      <c r="Z1455" t="n">
        <v>141</v>
      </c>
      <c r="AA1455" t="n">
        <v>151</v>
      </c>
      <c r="AB1455" t="n">
        <v>1</v>
      </c>
      <c r="AC1455" t="n">
        <v>1</v>
      </c>
      <c r="AD1455" t="n">
        <v>24</v>
      </c>
      <c r="AE1455" t="n">
        <v>25</v>
      </c>
      <c r="AF1455" t="n">
        <v>6</v>
      </c>
      <c r="AG1455" t="n">
        <v>6</v>
      </c>
      <c r="AH1455" t="n">
        <v>6</v>
      </c>
      <c r="AI1455" t="n">
        <v>7</v>
      </c>
      <c r="AJ1455" t="n">
        <v>20</v>
      </c>
      <c r="AK1455" t="n">
        <v>20</v>
      </c>
      <c r="AL1455" t="n">
        <v>0</v>
      </c>
      <c r="AM1455" t="n">
        <v>0</v>
      </c>
      <c r="AN1455" t="n">
        <v>0</v>
      </c>
      <c r="AO1455" t="n">
        <v>0</v>
      </c>
      <c r="AP1455" t="inlineStr">
        <is>
          <t>No</t>
        </is>
      </c>
      <c r="AQ1455" t="inlineStr">
        <is>
          <t>Yes</t>
        </is>
      </c>
      <c r="AR1455">
        <f>HYPERLINK("http://catalog.hathitrust.org/Record/102072626","HathiTrust Record")</f>
        <v/>
      </c>
      <c r="AS1455">
        <f>HYPERLINK("https://creighton-primo.hosted.exlibrisgroup.com/primo-explore/search?tab=default_tab&amp;search_scope=EVERYTHING&amp;vid=01CRU&amp;lang=en_US&amp;offset=0&amp;query=any,contains,991002975549702656","Catalog Record")</f>
        <v/>
      </c>
      <c r="AT1455">
        <f>HYPERLINK("http://www.worldcat.org/oclc/551606","WorldCat Record")</f>
        <v/>
      </c>
      <c r="AU1455" t="inlineStr">
        <is>
          <t>1598069:eng</t>
        </is>
      </c>
      <c r="AV1455" t="inlineStr">
        <is>
          <t>551606</t>
        </is>
      </c>
      <c r="AW1455" t="inlineStr">
        <is>
          <t>991002975549702656</t>
        </is>
      </c>
      <c r="AX1455" t="inlineStr">
        <is>
          <t>991002975549702656</t>
        </is>
      </c>
      <c r="AY1455" t="inlineStr">
        <is>
          <t>2257629850002656</t>
        </is>
      </c>
      <c r="AZ1455" t="inlineStr">
        <is>
          <t>BOOK</t>
        </is>
      </c>
      <c r="BC1455" t="inlineStr">
        <is>
          <t>32285002164795</t>
        </is>
      </c>
      <c r="BD1455" t="inlineStr">
        <is>
          <t>893245886</t>
        </is>
      </c>
    </row>
    <row r="1456">
      <c r="A1456" t="inlineStr">
        <is>
          <t>No</t>
        </is>
      </c>
      <c r="B1456" t="inlineStr">
        <is>
          <t>DJ136.R8 B52 1975</t>
        </is>
      </c>
      <c r="C1456" t="inlineStr">
        <is>
          <t>0                      DJ 0136000R  8                  B  52          1975</t>
        </is>
      </c>
      <c r="D1456" t="inlineStr">
        <is>
          <t>The life of Admiral de Ruyter / by P. Blok ; translated from the Dutch by G. J. Renier.</t>
        </is>
      </c>
      <c r="F1456" t="inlineStr">
        <is>
          <t>No</t>
        </is>
      </c>
      <c r="G1456" t="inlineStr">
        <is>
          <t>1</t>
        </is>
      </c>
      <c r="H1456" t="inlineStr">
        <is>
          <t>No</t>
        </is>
      </c>
      <c r="I1456" t="inlineStr">
        <is>
          <t>No</t>
        </is>
      </c>
      <c r="J1456" t="inlineStr">
        <is>
          <t>0</t>
        </is>
      </c>
      <c r="K1456" t="inlineStr">
        <is>
          <t>Blok, P. J. (Petrus Johannes), 1855-1929.</t>
        </is>
      </c>
      <c r="L1456" t="inlineStr">
        <is>
          <t>Westport, Conn. : Greenwood Press, 1975.</t>
        </is>
      </c>
      <c r="M1456" t="inlineStr">
        <is>
          <t>1975</t>
        </is>
      </c>
      <c r="O1456" t="inlineStr">
        <is>
          <t>eng</t>
        </is>
      </c>
      <c r="P1456" t="inlineStr">
        <is>
          <t>ctu</t>
        </is>
      </c>
      <c r="R1456" t="inlineStr">
        <is>
          <t xml:space="preserve">DJ </t>
        </is>
      </c>
      <c r="S1456" t="n">
        <v>1</v>
      </c>
      <c r="T1456" t="n">
        <v>1</v>
      </c>
      <c r="U1456" t="inlineStr">
        <is>
          <t>2008-04-07</t>
        </is>
      </c>
      <c r="V1456" t="inlineStr">
        <is>
          <t>2008-04-07</t>
        </is>
      </c>
      <c r="W1456" t="inlineStr">
        <is>
          <t>1997-02-06</t>
        </is>
      </c>
      <c r="X1456" t="inlineStr">
        <is>
          <t>1997-02-06</t>
        </is>
      </c>
      <c r="Y1456" t="n">
        <v>71</v>
      </c>
      <c r="Z1456" t="n">
        <v>60</v>
      </c>
      <c r="AA1456" t="n">
        <v>96</v>
      </c>
      <c r="AB1456" t="n">
        <v>2</v>
      </c>
      <c r="AC1456" t="n">
        <v>2</v>
      </c>
      <c r="AD1456" t="n">
        <v>3</v>
      </c>
      <c r="AE1456" t="n">
        <v>3</v>
      </c>
      <c r="AF1456" t="n">
        <v>0</v>
      </c>
      <c r="AG1456" t="n">
        <v>0</v>
      </c>
      <c r="AH1456" t="n">
        <v>1</v>
      </c>
      <c r="AI1456" t="n">
        <v>1</v>
      </c>
      <c r="AJ1456" t="n">
        <v>2</v>
      </c>
      <c r="AK1456" t="n">
        <v>2</v>
      </c>
      <c r="AL1456" t="n">
        <v>1</v>
      </c>
      <c r="AM1456" t="n">
        <v>1</v>
      </c>
      <c r="AN1456" t="n">
        <v>0</v>
      </c>
      <c r="AO1456" t="n">
        <v>0</v>
      </c>
      <c r="AP1456" t="inlineStr">
        <is>
          <t>No</t>
        </is>
      </c>
      <c r="AQ1456" t="inlineStr">
        <is>
          <t>Yes</t>
        </is>
      </c>
      <c r="AR1456">
        <f>HYPERLINK("http://catalog.hathitrust.org/Record/009532401","HathiTrust Record")</f>
        <v/>
      </c>
      <c r="AS1456">
        <f>HYPERLINK("https://creighton-primo.hosted.exlibrisgroup.com/primo-explore/search?tab=default_tab&amp;search_scope=EVERYTHING&amp;vid=01CRU&amp;lang=en_US&amp;offset=0&amp;query=any,contains,991003720349702656","Catalog Record")</f>
        <v/>
      </c>
      <c r="AT1456">
        <f>HYPERLINK("http://www.worldcat.org/oclc/1365880","WorldCat Record")</f>
        <v/>
      </c>
      <c r="AU1456" t="inlineStr">
        <is>
          <t>2273699:eng</t>
        </is>
      </c>
      <c r="AV1456" t="inlineStr">
        <is>
          <t>1365880</t>
        </is>
      </c>
      <c r="AW1456" t="inlineStr">
        <is>
          <t>991003720349702656</t>
        </is>
      </c>
      <c r="AX1456" t="inlineStr">
        <is>
          <t>991003720349702656</t>
        </is>
      </c>
      <c r="AY1456" t="inlineStr">
        <is>
          <t>2256044120002656</t>
        </is>
      </c>
      <c r="AZ1456" t="inlineStr">
        <is>
          <t>BOOK</t>
        </is>
      </c>
      <c r="BB1456" t="inlineStr">
        <is>
          <t>9780837176666</t>
        </is>
      </c>
      <c r="BC1456" t="inlineStr">
        <is>
          <t>32285002424645</t>
        </is>
      </c>
      <c r="BD1456" t="inlineStr">
        <is>
          <t>893505912</t>
        </is>
      </c>
    </row>
    <row r="1457">
      <c r="A1457" t="inlineStr">
        <is>
          <t>No</t>
        </is>
      </c>
      <c r="B1457" t="inlineStr">
        <is>
          <t>DJ156 .G482 1961b</t>
        </is>
      </c>
      <c r="C1457" t="inlineStr">
        <is>
          <t>0                      DJ 0156000G  482         1961b</t>
        </is>
      </c>
      <c r="D1457" t="inlineStr">
        <is>
          <t>The Netherlands in the seventeenth century.</t>
        </is>
      </c>
      <c r="E1457" t="inlineStr">
        <is>
          <t>V.2</t>
        </is>
      </c>
      <c r="F1457" t="inlineStr">
        <is>
          <t>Yes</t>
        </is>
      </c>
      <c r="G1457" t="inlineStr">
        <is>
          <t>1</t>
        </is>
      </c>
      <c r="H1457" t="inlineStr">
        <is>
          <t>No</t>
        </is>
      </c>
      <c r="I1457" t="inlineStr">
        <is>
          <t>No</t>
        </is>
      </c>
      <c r="J1457" t="inlineStr">
        <is>
          <t>0</t>
        </is>
      </c>
      <c r="K1457" t="inlineStr">
        <is>
          <t>Geyl, Pieter, 1887-1966.</t>
        </is>
      </c>
      <c r="L1457" t="inlineStr">
        <is>
          <t>London, E. Benn; New York, Barnes &amp; Noble [c1961-1964]</t>
        </is>
      </c>
      <c r="M1457" t="inlineStr">
        <is>
          <t>1961</t>
        </is>
      </c>
      <c r="N1457" t="inlineStr">
        <is>
          <t>2d ed.</t>
        </is>
      </c>
      <c r="O1457" t="inlineStr">
        <is>
          <t>eng</t>
        </is>
      </c>
      <c r="P1457" t="inlineStr">
        <is>
          <t>enk</t>
        </is>
      </c>
      <c r="R1457" t="inlineStr">
        <is>
          <t xml:space="preserve">DJ </t>
        </is>
      </c>
      <c r="S1457" t="n">
        <v>4</v>
      </c>
      <c r="T1457" t="n">
        <v>8</v>
      </c>
      <c r="U1457" t="inlineStr">
        <is>
          <t>1998-01-22</t>
        </is>
      </c>
      <c r="V1457" t="inlineStr">
        <is>
          <t>1998-01-22</t>
        </is>
      </c>
      <c r="W1457" t="inlineStr">
        <is>
          <t>1996-05-30</t>
        </is>
      </c>
      <c r="X1457" t="inlineStr">
        <is>
          <t>1996-05-30</t>
        </is>
      </c>
      <c r="Y1457" t="n">
        <v>120</v>
      </c>
      <c r="Z1457" t="n">
        <v>101</v>
      </c>
      <c r="AA1457" t="n">
        <v>101</v>
      </c>
      <c r="AB1457" t="n">
        <v>2</v>
      </c>
      <c r="AC1457" t="n">
        <v>2</v>
      </c>
      <c r="AD1457" t="n">
        <v>4</v>
      </c>
      <c r="AE1457" t="n">
        <v>4</v>
      </c>
      <c r="AF1457" t="n">
        <v>0</v>
      </c>
      <c r="AG1457" t="n">
        <v>0</v>
      </c>
      <c r="AH1457" t="n">
        <v>1</v>
      </c>
      <c r="AI1457" t="n">
        <v>1</v>
      </c>
      <c r="AJ1457" t="n">
        <v>2</v>
      </c>
      <c r="AK1457" t="n">
        <v>2</v>
      </c>
      <c r="AL1457" t="n">
        <v>1</v>
      </c>
      <c r="AM1457" t="n">
        <v>1</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HYPERLINK("https://creighton-primo.hosted.exlibrisgroup.com/primo-explore/search?tab=default_tab&amp;search_scope=EVERYTHING&amp;vid=01CRU&amp;lang=en_US&amp;offset=0&amp;query=any,contains,991004570969702656","Catalog Record")</f>
        <v/>
      </c>
      <c r="AT1457">
        <f>HYPERLINK("http://www.worldcat.org/oclc/4028232","WorldCat Record")</f>
        <v/>
      </c>
      <c r="AU1457" t="inlineStr">
        <is>
          <t>5481472942:eng</t>
        </is>
      </c>
      <c r="AV1457" t="inlineStr">
        <is>
          <t>4028232</t>
        </is>
      </c>
      <c r="AW1457" t="inlineStr">
        <is>
          <t>991004570969702656</t>
        </is>
      </c>
      <c r="AX1457" t="inlineStr">
        <is>
          <t>991004570969702656</t>
        </is>
      </c>
      <c r="AY1457" t="inlineStr">
        <is>
          <t>2264794420002656</t>
        </is>
      </c>
      <c r="AZ1457" t="inlineStr">
        <is>
          <t>BOOK</t>
        </is>
      </c>
      <c r="BC1457" t="inlineStr">
        <is>
          <t>32285002164829</t>
        </is>
      </c>
      <c r="BD1457" t="inlineStr">
        <is>
          <t>893807227</t>
        </is>
      </c>
    </row>
    <row r="1458">
      <c r="A1458" t="inlineStr">
        <is>
          <t>No</t>
        </is>
      </c>
      <c r="B1458" t="inlineStr">
        <is>
          <t>DJ156 .G482 1961b</t>
        </is>
      </c>
      <c r="C1458" t="inlineStr">
        <is>
          <t>0                      DJ 0156000G  482         1961b</t>
        </is>
      </c>
      <c r="D1458" t="inlineStr">
        <is>
          <t>The Netherlands in the seventeenth century.</t>
        </is>
      </c>
      <c r="E1458" t="inlineStr">
        <is>
          <t>V.1</t>
        </is>
      </c>
      <c r="F1458" t="inlineStr">
        <is>
          <t>Yes</t>
        </is>
      </c>
      <c r="G1458" t="inlineStr">
        <is>
          <t>1</t>
        </is>
      </c>
      <c r="H1458" t="inlineStr">
        <is>
          <t>No</t>
        </is>
      </c>
      <c r="I1458" t="inlineStr">
        <is>
          <t>No</t>
        </is>
      </c>
      <c r="J1458" t="inlineStr">
        <is>
          <t>0</t>
        </is>
      </c>
      <c r="K1458" t="inlineStr">
        <is>
          <t>Geyl, Pieter, 1887-1966.</t>
        </is>
      </c>
      <c r="L1458" t="inlineStr">
        <is>
          <t>London, E. Benn; New York, Barnes &amp; Noble [c1961-1964]</t>
        </is>
      </c>
      <c r="M1458" t="inlineStr">
        <is>
          <t>1961</t>
        </is>
      </c>
      <c r="N1458" t="inlineStr">
        <is>
          <t>2d ed.</t>
        </is>
      </c>
      <c r="O1458" t="inlineStr">
        <is>
          <t>eng</t>
        </is>
      </c>
      <c r="P1458" t="inlineStr">
        <is>
          <t>enk</t>
        </is>
      </c>
      <c r="R1458" t="inlineStr">
        <is>
          <t xml:space="preserve">DJ </t>
        </is>
      </c>
      <c r="S1458" t="n">
        <v>4</v>
      </c>
      <c r="T1458" t="n">
        <v>8</v>
      </c>
      <c r="U1458" t="inlineStr">
        <is>
          <t>1998-01-22</t>
        </is>
      </c>
      <c r="V1458" t="inlineStr">
        <is>
          <t>1998-01-22</t>
        </is>
      </c>
      <c r="W1458" t="inlineStr">
        <is>
          <t>1996-05-30</t>
        </is>
      </c>
      <c r="X1458" t="inlineStr">
        <is>
          <t>1996-05-30</t>
        </is>
      </c>
      <c r="Y1458" t="n">
        <v>120</v>
      </c>
      <c r="Z1458" t="n">
        <v>101</v>
      </c>
      <c r="AA1458" t="n">
        <v>101</v>
      </c>
      <c r="AB1458" t="n">
        <v>2</v>
      </c>
      <c r="AC1458" t="n">
        <v>2</v>
      </c>
      <c r="AD1458" t="n">
        <v>4</v>
      </c>
      <c r="AE1458" t="n">
        <v>4</v>
      </c>
      <c r="AF1458" t="n">
        <v>0</v>
      </c>
      <c r="AG1458" t="n">
        <v>0</v>
      </c>
      <c r="AH1458" t="n">
        <v>1</v>
      </c>
      <c r="AI1458" t="n">
        <v>1</v>
      </c>
      <c r="AJ1458" t="n">
        <v>2</v>
      </c>
      <c r="AK1458" t="n">
        <v>2</v>
      </c>
      <c r="AL1458" t="n">
        <v>1</v>
      </c>
      <c r="AM1458" t="n">
        <v>1</v>
      </c>
      <c r="AN1458" t="n">
        <v>0</v>
      </c>
      <c r="AO1458" t="n">
        <v>0</v>
      </c>
      <c r="AP1458" t="inlineStr">
        <is>
          <t>No</t>
        </is>
      </c>
      <c r="AQ1458" t="inlineStr">
        <is>
          <t>No</t>
        </is>
      </c>
      <c r="AS1458">
        <f>HYPERLINK("https://creighton-primo.hosted.exlibrisgroup.com/primo-explore/search?tab=default_tab&amp;search_scope=EVERYTHING&amp;vid=01CRU&amp;lang=en_US&amp;offset=0&amp;query=any,contains,991004570969702656","Catalog Record")</f>
        <v/>
      </c>
      <c r="AT1458">
        <f>HYPERLINK("http://www.worldcat.org/oclc/4028232","WorldCat Record")</f>
        <v/>
      </c>
      <c r="AU1458" t="inlineStr">
        <is>
          <t>5481472942:eng</t>
        </is>
      </c>
      <c r="AV1458" t="inlineStr">
        <is>
          <t>4028232</t>
        </is>
      </c>
      <c r="AW1458" t="inlineStr">
        <is>
          <t>991004570969702656</t>
        </is>
      </c>
      <c r="AX1458" t="inlineStr">
        <is>
          <t>991004570969702656</t>
        </is>
      </c>
      <c r="AY1458" t="inlineStr">
        <is>
          <t>2264794420002656</t>
        </is>
      </c>
      <c r="AZ1458" t="inlineStr">
        <is>
          <t>BOOK</t>
        </is>
      </c>
      <c r="BC1458" t="inlineStr">
        <is>
          <t>32285002164811</t>
        </is>
      </c>
      <c r="BD1458" t="inlineStr">
        <is>
          <t>893788877</t>
        </is>
      </c>
    </row>
    <row r="1459">
      <c r="A1459" t="inlineStr">
        <is>
          <t>No</t>
        </is>
      </c>
      <c r="B1459" t="inlineStr">
        <is>
          <t>DJ156.9 .G49</t>
        </is>
      </c>
      <c r="C1459" t="inlineStr">
        <is>
          <t>0                      DJ 0156900G  49</t>
        </is>
      </c>
      <c r="D1459" t="inlineStr">
        <is>
          <t>The revolt of the Netherlands (1555-1609)</t>
        </is>
      </c>
      <c r="F1459" t="inlineStr">
        <is>
          <t>No</t>
        </is>
      </c>
      <c r="G1459" t="inlineStr">
        <is>
          <t>1</t>
        </is>
      </c>
      <c r="H1459" t="inlineStr">
        <is>
          <t>No</t>
        </is>
      </c>
      <c r="I1459" t="inlineStr">
        <is>
          <t>No</t>
        </is>
      </c>
      <c r="J1459" t="inlineStr">
        <is>
          <t>0</t>
        </is>
      </c>
      <c r="K1459" t="inlineStr">
        <is>
          <t>Geyl, Pieter, 1887-1966.</t>
        </is>
      </c>
      <c r="L1459" t="inlineStr">
        <is>
          <t>New York, Barnes &amp; Noble [c1958]</t>
        </is>
      </c>
      <c r="M1459" t="inlineStr">
        <is>
          <t>1958</t>
        </is>
      </c>
      <c r="N1459" t="inlineStr">
        <is>
          <t>[2d ed.]</t>
        </is>
      </c>
      <c r="O1459" t="inlineStr">
        <is>
          <t>eng</t>
        </is>
      </c>
      <c r="P1459" t="inlineStr">
        <is>
          <t>nyu</t>
        </is>
      </c>
      <c r="R1459" t="inlineStr">
        <is>
          <t xml:space="preserve">DJ </t>
        </is>
      </c>
      <c r="S1459" t="n">
        <v>4</v>
      </c>
      <c r="T1459" t="n">
        <v>4</v>
      </c>
      <c r="U1459" t="inlineStr">
        <is>
          <t>2007-04-17</t>
        </is>
      </c>
      <c r="V1459" t="inlineStr">
        <is>
          <t>2007-04-17</t>
        </is>
      </c>
      <c r="W1459" t="inlineStr">
        <is>
          <t>1997-02-06</t>
        </is>
      </c>
      <c r="X1459" t="inlineStr">
        <is>
          <t>1997-02-06</t>
        </is>
      </c>
      <c r="Y1459" t="n">
        <v>406</v>
      </c>
      <c r="Z1459" t="n">
        <v>400</v>
      </c>
      <c r="AA1459" t="n">
        <v>1347</v>
      </c>
      <c r="AB1459" t="n">
        <v>6</v>
      </c>
      <c r="AC1459" t="n">
        <v>16</v>
      </c>
      <c r="AD1459" t="n">
        <v>24</v>
      </c>
      <c r="AE1459" t="n">
        <v>67</v>
      </c>
      <c r="AF1459" t="n">
        <v>11</v>
      </c>
      <c r="AG1459" t="n">
        <v>26</v>
      </c>
      <c r="AH1459" t="n">
        <v>5</v>
      </c>
      <c r="AI1459" t="n">
        <v>11</v>
      </c>
      <c r="AJ1459" t="n">
        <v>8</v>
      </c>
      <c r="AK1459" t="n">
        <v>23</v>
      </c>
      <c r="AL1459" t="n">
        <v>5</v>
      </c>
      <c r="AM1459" t="n">
        <v>14</v>
      </c>
      <c r="AN1459" t="n">
        <v>0</v>
      </c>
      <c r="AO1459" t="n">
        <v>6</v>
      </c>
      <c r="AP1459" t="inlineStr">
        <is>
          <t>No</t>
        </is>
      </c>
      <c r="AQ1459" t="inlineStr">
        <is>
          <t>No</t>
        </is>
      </c>
      <c r="AS1459">
        <f>HYPERLINK("https://creighton-primo.hosted.exlibrisgroup.com/primo-explore/search?tab=default_tab&amp;search_scope=EVERYTHING&amp;vid=01CRU&amp;lang=en_US&amp;offset=0&amp;query=any,contains,991002708909702656","Catalog Record")</f>
        <v/>
      </c>
      <c r="AT1459">
        <f>HYPERLINK("http://www.worldcat.org/oclc/408389","WorldCat Record")</f>
        <v/>
      </c>
      <c r="AU1459" t="inlineStr">
        <is>
          <t>1442895:eng</t>
        </is>
      </c>
      <c r="AV1459" t="inlineStr">
        <is>
          <t>408389</t>
        </is>
      </c>
      <c r="AW1459" t="inlineStr">
        <is>
          <t>991002708909702656</t>
        </is>
      </c>
      <c r="AX1459" t="inlineStr">
        <is>
          <t>991002708909702656</t>
        </is>
      </c>
      <c r="AY1459" t="inlineStr">
        <is>
          <t>2264244680002656</t>
        </is>
      </c>
      <c r="AZ1459" t="inlineStr">
        <is>
          <t>BOOK</t>
        </is>
      </c>
      <c r="BC1459" t="inlineStr">
        <is>
          <t>32285002424686</t>
        </is>
      </c>
      <c r="BD1459" t="inlineStr">
        <is>
          <t>893616466</t>
        </is>
      </c>
    </row>
    <row r="1460">
      <c r="A1460" t="inlineStr">
        <is>
          <t>No</t>
        </is>
      </c>
      <c r="B1460" t="inlineStr">
        <is>
          <t>DJ193 .H3 1975</t>
        </is>
      </c>
      <c r="C1460" t="inlineStr">
        <is>
          <t>0                      DJ 0193000H  3           1975</t>
        </is>
      </c>
      <c r="D1460" t="inlineStr">
        <is>
          <t>William of Orange and the English opposition, 1672-4 / by K. H. D. Haley.</t>
        </is>
      </c>
      <c r="F1460" t="inlineStr">
        <is>
          <t>No</t>
        </is>
      </c>
      <c r="G1460" t="inlineStr">
        <is>
          <t>1</t>
        </is>
      </c>
      <c r="H1460" t="inlineStr">
        <is>
          <t>No</t>
        </is>
      </c>
      <c r="I1460" t="inlineStr">
        <is>
          <t>No</t>
        </is>
      </c>
      <c r="J1460" t="inlineStr">
        <is>
          <t>0</t>
        </is>
      </c>
      <c r="K1460" t="inlineStr">
        <is>
          <t>Haley, Kenneth Harold Dobson.</t>
        </is>
      </c>
      <c r="L1460" t="inlineStr">
        <is>
          <t>Westport, Conn. : Greenwood Press, 1975.</t>
        </is>
      </c>
      <c r="M1460" t="inlineStr">
        <is>
          <t>1975</t>
        </is>
      </c>
      <c r="O1460" t="inlineStr">
        <is>
          <t>eng</t>
        </is>
      </c>
      <c r="P1460" t="inlineStr">
        <is>
          <t>ctu</t>
        </is>
      </c>
      <c r="R1460" t="inlineStr">
        <is>
          <t xml:space="preserve">DJ </t>
        </is>
      </c>
      <c r="S1460" t="n">
        <v>1</v>
      </c>
      <c r="T1460" t="n">
        <v>1</v>
      </c>
      <c r="U1460" t="inlineStr">
        <is>
          <t>2001-12-10</t>
        </is>
      </c>
      <c r="V1460" t="inlineStr">
        <is>
          <t>2001-12-10</t>
        </is>
      </c>
      <c r="W1460" t="inlineStr">
        <is>
          <t>1997-02-07</t>
        </is>
      </c>
      <c r="X1460" t="inlineStr">
        <is>
          <t>1997-02-07</t>
        </is>
      </c>
      <c r="Y1460" t="n">
        <v>82</v>
      </c>
      <c r="Z1460" t="n">
        <v>74</v>
      </c>
      <c r="AA1460" t="n">
        <v>351</v>
      </c>
      <c r="AB1460" t="n">
        <v>1</v>
      </c>
      <c r="AC1460" t="n">
        <v>3</v>
      </c>
      <c r="AD1460" t="n">
        <v>5</v>
      </c>
      <c r="AE1460" t="n">
        <v>23</v>
      </c>
      <c r="AF1460" t="n">
        <v>5</v>
      </c>
      <c r="AG1460" t="n">
        <v>11</v>
      </c>
      <c r="AH1460" t="n">
        <v>1</v>
      </c>
      <c r="AI1460" t="n">
        <v>7</v>
      </c>
      <c r="AJ1460" t="n">
        <v>1</v>
      </c>
      <c r="AK1460" t="n">
        <v>11</v>
      </c>
      <c r="AL1460" t="n">
        <v>0</v>
      </c>
      <c r="AM1460" t="n">
        <v>2</v>
      </c>
      <c r="AN1460" t="n">
        <v>0</v>
      </c>
      <c r="AO1460" t="n">
        <v>0</v>
      </c>
      <c r="AP1460" t="inlineStr">
        <is>
          <t>No</t>
        </is>
      </c>
      <c r="AQ1460" t="inlineStr">
        <is>
          <t>Yes</t>
        </is>
      </c>
      <c r="AR1460">
        <f>HYPERLINK("http://catalog.hathitrust.org/Record/004407915","HathiTrust Record")</f>
        <v/>
      </c>
      <c r="AS1460">
        <f>HYPERLINK("https://creighton-primo.hosted.exlibrisgroup.com/primo-explore/search?tab=default_tab&amp;search_scope=EVERYTHING&amp;vid=01CRU&amp;lang=en_US&amp;offset=0&amp;query=any,contains,991003853569702656","Catalog Record")</f>
        <v/>
      </c>
      <c r="AT1460">
        <f>HYPERLINK("http://www.worldcat.org/oclc/1650195","WorldCat Record")</f>
        <v/>
      </c>
      <c r="AU1460" t="inlineStr">
        <is>
          <t>1438967:eng</t>
        </is>
      </c>
      <c r="AV1460" t="inlineStr">
        <is>
          <t>1650195</t>
        </is>
      </c>
      <c r="AW1460" t="inlineStr">
        <is>
          <t>991003853569702656</t>
        </is>
      </c>
      <c r="AX1460" t="inlineStr">
        <is>
          <t>991003853569702656</t>
        </is>
      </c>
      <c r="AY1460" t="inlineStr">
        <is>
          <t>2271947120002656</t>
        </is>
      </c>
      <c r="AZ1460" t="inlineStr">
        <is>
          <t>BOOK</t>
        </is>
      </c>
      <c r="BB1460" t="inlineStr">
        <is>
          <t>9780837179346</t>
        </is>
      </c>
      <c r="BC1460" t="inlineStr">
        <is>
          <t>32285002424926</t>
        </is>
      </c>
      <c r="BD1460" t="inlineStr">
        <is>
          <t>893429300</t>
        </is>
      </c>
    </row>
    <row r="1461">
      <c r="A1461" t="inlineStr">
        <is>
          <t>No</t>
        </is>
      </c>
      <c r="B1461" t="inlineStr">
        <is>
          <t>DJ287 .W3</t>
        </is>
      </c>
      <c r="C1461" t="inlineStr">
        <is>
          <t>0                      DJ 0287000W  3</t>
        </is>
      </c>
      <c r="D1461" t="inlineStr">
        <is>
          <t>The Dutch under German occupation, 1940-1945.</t>
        </is>
      </c>
      <c r="F1461" t="inlineStr">
        <is>
          <t>No</t>
        </is>
      </c>
      <c r="G1461" t="inlineStr">
        <is>
          <t>1</t>
        </is>
      </c>
      <c r="H1461" t="inlineStr">
        <is>
          <t>No</t>
        </is>
      </c>
      <c r="I1461" t="inlineStr">
        <is>
          <t>No</t>
        </is>
      </c>
      <c r="J1461" t="inlineStr">
        <is>
          <t>0</t>
        </is>
      </c>
      <c r="K1461" t="inlineStr">
        <is>
          <t>Warmbrunn, Werner, 1920-</t>
        </is>
      </c>
      <c r="L1461" t="inlineStr">
        <is>
          <t>Stanford, Calif., Stanford University Press, 1963.</t>
        </is>
      </c>
      <c r="M1461" t="inlineStr">
        <is>
          <t>1963</t>
        </is>
      </c>
      <c r="O1461" t="inlineStr">
        <is>
          <t>eng</t>
        </is>
      </c>
      <c r="P1461" t="inlineStr">
        <is>
          <t>cau</t>
        </is>
      </c>
      <c r="R1461" t="inlineStr">
        <is>
          <t xml:space="preserve">DJ </t>
        </is>
      </c>
      <c r="S1461" t="n">
        <v>1</v>
      </c>
      <c r="T1461" t="n">
        <v>1</v>
      </c>
      <c r="U1461" t="inlineStr">
        <is>
          <t>2009-11-23</t>
        </is>
      </c>
      <c r="V1461" t="inlineStr">
        <is>
          <t>2009-11-23</t>
        </is>
      </c>
      <c r="W1461" t="inlineStr">
        <is>
          <t>1997-02-07</t>
        </is>
      </c>
      <c r="X1461" t="inlineStr">
        <is>
          <t>1997-02-07</t>
        </is>
      </c>
      <c r="Y1461" t="n">
        <v>697</v>
      </c>
      <c r="Z1461" t="n">
        <v>548</v>
      </c>
      <c r="AA1461" t="n">
        <v>568</v>
      </c>
      <c r="AB1461" t="n">
        <v>4</v>
      </c>
      <c r="AC1461" t="n">
        <v>4</v>
      </c>
      <c r="AD1461" t="n">
        <v>27</v>
      </c>
      <c r="AE1461" t="n">
        <v>27</v>
      </c>
      <c r="AF1461" t="n">
        <v>8</v>
      </c>
      <c r="AG1461" t="n">
        <v>8</v>
      </c>
      <c r="AH1461" t="n">
        <v>6</v>
      </c>
      <c r="AI1461" t="n">
        <v>6</v>
      </c>
      <c r="AJ1461" t="n">
        <v>14</v>
      </c>
      <c r="AK1461" t="n">
        <v>14</v>
      </c>
      <c r="AL1461" t="n">
        <v>3</v>
      </c>
      <c r="AM1461" t="n">
        <v>3</v>
      </c>
      <c r="AN1461" t="n">
        <v>0</v>
      </c>
      <c r="AO1461" t="n">
        <v>0</v>
      </c>
      <c r="AP1461" t="inlineStr">
        <is>
          <t>No</t>
        </is>
      </c>
      <c r="AQ1461" t="inlineStr">
        <is>
          <t>Yes</t>
        </is>
      </c>
      <c r="AR1461">
        <f>HYPERLINK("http://catalog.hathitrust.org/Record/000423734","HathiTrust Record")</f>
        <v/>
      </c>
      <c r="AS1461">
        <f>HYPERLINK("https://creighton-primo.hosted.exlibrisgroup.com/primo-explore/search?tab=default_tab&amp;search_scope=EVERYTHING&amp;vid=01CRU&amp;lang=en_US&amp;offset=0&amp;query=any,contains,991002960639702656","Catalog Record")</f>
        <v/>
      </c>
      <c r="AT1461">
        <f>HYPERLINK("http://www.worldcat.org/oclc/543779","WorldCat Record")</f>
        <v/>
      </c>
      <c r="AU1461" t="inlineStr">
        <is>
          <t>1574288:eng</t>
        </is>
      </c>
      <c r="AV1461" t="inlineStr">
        <is>
          <t>543779</t>
        </is>
      </c>
      <c r="AW1461" t="inlineStr">
        <is>
          <t>991002960639702656</t>
        </is>
      </c>
      <c r="AX1461" t="inlineStr">
        <is>
          <t>991002960639702656</t>
        </is>
      </c>
      <c r="AY1461" t="inlineStr">
        <is>
          <t>2265398180002656</t>
        </is>
      </c>
      <c r="AZ1461" t="inlineStr">
        <is>
          <t>BOOK</t>
        </is>
      </c>
      <c r="BC1461" t="inlineStr">
        <is>
          <t>32285002424959</t>
        </is>
      </c>
      <c r="BD1461" t="inlineStr">
        <is>
          <t>893498771</t>
        </is>
      </c>
    </row>
    <row r="1462">
      <c r="A1462" t="inlineStr">
        <is>
          <t>No</t>
        </is>
      </c>
      <c r="B1462" t="inlineStr">
        <is>
          <t>DJ411.R8 C38 2002</t>
        </is>
      </c>
      <c r="C1462" t="inlineStr">
        <is>
          <t>0                      DJ 0411000R  8                  C  38          2002</t>
        </is>
      </c>
      <c r="D1462" t="inlineStr">
        <is>
          <t>Community without borders : Scots migrants and the changing face of power in the Dutch Republic, c. 1600-1700 / by Douglas Catterall.</t>
        </is>
      </c>
      <c r="F1462" t="inlineStr">
        <is>
          <t>No</t>
        </is>
      </c>
      <c r="G1462" t="inlineStr">
        <is>
          <t>1</t>
        </is>
      </c>
      <c r="H1462" t="inlineStr">
        <is>
          <t>No</t>
        </is>
      </c>
      <c r="I1462" t="inlineStr">
        <is>
          <t>No</t>
        </is>
      </c>
      <c r="J1462" t="inlineStr">
        <is>
          <t>0</t>
        </is>
      </c>
      <c r="K1462" t="inlineStr">
        <is>
          <t>Catterall, Douglas.</t>
        </is>
      </c>
      <c r="L1462" t="inlineStr">
        <is>
          <t>Leiden ; Boston : Brill, 2002.</t>
        </is>
      </c>
      <c r="M1462" t="inlineStr">
        <is>
          <t>2002</t>
        </is>
      </c>
      <c r="O1462" t="inlineStr">
        <is>
          <t>eng</t>
        </is>
      </c>
      <c r="P1462" t="inlineStr">
        <is>
          <t xml:space="preserve">ne </t>
        </is>
      </c>
      <c r="Q1462" t="inlineStr">
        <is>
          <t>Studies in medieval and Reformation thought, 0585-6914 ; v. 86</t>
        </is>
      </c>
      <c r="R1462" t="inlineStr">
        <is>
          <t xml:space="preserve">DJ </t>
        </is>
      </c>
      <c r="S1462" t="n">
        <v>1</v>
      </c>
      <c r="T1462" t="n">
        <v>1</v>
      </c>
      <c r="U1462" t="inlineStr">
        <is>
          <t>2002-06-03</t>
        </is>
      </c>
      <c r="V1462" t="inlineStr">
        <is>
          <t>2002-06-03</t>
        </is>
      </c>
      <c r="W1462" t="inlineStr">
        <is>
          <t>2002-05-23</t>
        </is>
      </c>
      <c r="X1462" t="inlineStr">
        <is>
          <t>2002-05-23</t>
        </is>
      </c>
      <c r="Y1462" t="n">
        <v>167</v>
      </c>
      <c r="Z1462" t="n">
        <v>138</v>
      </c>
      <c r="AA1462" t="n">
        <v>153</v>
      </c>
      <c r="AB1462" t="n">
        <v>2</v>
      </c>
      <c r="AC1462" t="n">
        <v>2</v>
      </c>
      <c r="AD1462" t="n">
        <v>9</v>
      </c>
      <c r="AE1462" t="n">
        <v>10</v>
      </c>
      <c r="AF1462" t="n">
        <v>1</v>
      </c>
      <c r="AG1462" t="n">
        <v>1</v>
      </c>
      <c r="AH1462" t="n">
        <v>3</v>
      </c>
      <c r="AI1462" t="n">
        <v>3</v>
      </c>
      <c r="AJ1462" t="n">
        <v>6</v>
      </c>
      <c r="AK1462" t="n">
        <v>7</v>
      </c>
      <c r="AL1462" t="n">
        <v>1</v>
      </c>
      <c r="AM1462" t="n">
        <v>1</v>
      </c>
      <c r="AN1462" t="n">
        <v>0</v>
      </c>
      <c r="AO1462" t="n">
        <v>0</v>
      </c>
      <c r="AP1462" t="inlineStr">
        <is>
          <t>No</t>
        </is>
      </c>
      <c r="AQ1462" t="inlineStr">
        <is>
          <t>Yes</t>
        </is>
      </c>
      <c r="AR1462">
        <f>HYPERLINK("http://catalog.hathitrust.org/Record/003600155","HathiTrust Record")</f>
        <v/>
      </c>
      <c r="AS1462">
        <f>HYPERLINK("https://creighton-primo.hosted.exlibrisgroup.com/primo-explore/search?tab=default_tab&amp;search_scope=EVERYTHING&amp;vid=01CRU&amp;lang=en_US&amp;offset=0&amp;query=any,contains,991003812279702656","Catalog Record")</f>
        <v/>
      </c>
      <c r="AT1462">
        <f>HYPERLINK("http://www.worldcat.org/oclc/48397787","WorldCat Record")</f>
        <v/>
      </c>
      <c r="AU1462" t="inlineStr">
        <is>
          <t>6369249:eng</t>
        </is>
      </c>
      <c r="AV1462" t="inlineStr">
        <is>
          <t>48397787</t>
        </is>
      </c>
      <c r="AW1462" t="inlineStr">
        <is>
          <t>991003812279702656</t>
        </is>
      </c>
      <c r="AX1462" t="inlineStr">
        <is>
          <t>991003812279702656</t>
        </is>
      </c>
      <c r="AY1462" t="inlineStr">
        <is>
          <t>2271201940002656</t>
        </is>
      </c>
      <c r="AZ1462" t="inlineStr">
        <is>
          <t>BOOK</t>
        </is>
      </c>
      <c r="BB1462" t="inlineStr">
        <is>
          <t>9789004120778</t>
        </is>
      </c>
      <c r="BC1462" t="inlineStr">
        <is>
          <t>32285004490321</t>
        </is>
      </c>
      <c r="BD1462" t="inlineStr">
        <is>
          <t>893900406</t>
        </is>
      </c>
    </row>
    <row r="1463">
      <c r="A1463" t="inlineStr">
        <is>
          <t>No</t>
        </is>
      </c>
      <c r="B1463" t="inlineStr">
        <is>
          <t>DJ71 .A5 1996</t>
        </is>
      </c>
      <c r="C1463" t="inlineStr">
        <is>
          <t>0                      DJ 0071000A  5           1996</t>
        </is>
      </c>
      <c r="D1463" t="inlineStr">
        <is>
          <t>American culture in the Netherlands / edited by Doeko Bosscher, Marja Roholl, Mel van Elteren ; with contributions by Wiljan van den Akker ... [et al.].</t>
        </is>
      </c>
      <c r="F1463" t="inlineStr">
        <is>
          <t>No</t>
        </is>
      </c>
      <c r="G1463" t="inlineStr">
        <is>
          <t>1</t>
        </is>
      </c>
      <c r="H1463" t="inlineStr">
        <is>
          <t>No</t>
        </is>
      </c>
      <c r="I1463" t="inlineStr">
        <is>
          <t>No</t>
        </is>
      </c>
      <c r="J1463" t="inlineStr">
        <is>
          <t>0</t>
        </is>
      </c>
      <c r="L1463" t="inlineStr">
        <is>
          <t>Amsterdam : VU University Press, c1996.</t>
        </is>
      </c>
      <c r="M1463" t="inlineStr">
        <is>
          <t>1996</t>
        </is>
      </c>
      <c r="O1463" t="inlineStr">
        <is>
          <t>eng</t>
        </is>
      </c>
      <c r="P1463" t="inlineStr">
        <is>
          <t xml:space="preserve">ne </t>
        </is>
      </c>
      <c r="Q1463" t="inlineStr">
        <is>
          <t>European contributions to American studies ; 30</t>
        </is>
      </c>
      <c r="R1463" t="inlineStr">
        <is>
          <t xml:space="preserve">DJ </t>
        </is>
      </c>
      <c r="S1463" t="n">
        <v>3</v>
      </c>
      <c r="T1463" t="n">
        <v>3</v>
      </c>
      <c r="U1463" t="inlineStr">
        <is>
          <t>2001-02-05</t>
        </is>
      </c>
      <c r="V1463" t="inlineStr">
        <is>
          <t>2001-02-05</t>
        </is>
      </c>
      <c r="W1463" t="inlineStr">
        <is>
          <t>1996-11-11</t>
        </is>
      </c>
      <c r="X1463" t="inlineStr">
        <is>
          <t>1996-11-11</t>
        </is>
      </c>
      <c r="Y1463" t="n">
        <v>105</v>
      </c>
      <c r="Z1463" t="n">
        <v>84</v>
      </c>
      <c r="AA1463" t="n">
        <v>85</v>
      </c>
      <c r="AB1463" t="n">
        <v>1</v>
      </c>
      <c r="AC1463" t="n">
        <v>1</v>
      </c>
      <c r="AD1463" t="n">
        <v>4</v>
      </c>
      <c r="AE1463" t="n">
        <v>4</v>
      </c>
      <c r="AF1463" t="n">
        <v>0</v>
      </c>
      <c r="AG1463" t="n">
        <v>0</v>
      </c>
      <c r="AH1463" t="n">
        <v>2</v>
      </c>
      <c r="AI1463" t="n">
        <v>2</v>
      </c>
      <c r="AJ1463" t="n">
        <v>4</v>
      </c>
      <c r="AK1463" t="n">
        <v>4</v>
      </c>
      <c r="AL1463" t="n">
        <v>0</v>
      </c>
      <c r="AM1463" t="n">
        <v>0</v>
      </c>
      <c r="AN1463" t="n">
        <v>0</v>
      </c>
      <c r="AO1463" t="n">
        <v>0</v>
      </c>
      <c r="AP1463" t="inlineStr">
        <is>
          <t>No</t>
        </is>
      </c>
      <c r="AQ1463" t="inlineStr">
        <is>
          <t>Yes</t>
        </is>
      </c>
      <c r="AR1463">
        <f>HYPERLINK("http://catalog.hathitrust.org/Record/003115900","HathiTrust Record")</f>
        <v/>
      </c>
      <c r="AS1463">
        <f>HYPERLINK("https://creighton-primo.hosted.exlibrisgroup.com/primo-explore/search?tab=default_tab&amp;search_scope=EVERYTHING&amp;vid=01CRU&amp;lang=en_US&amp;offset=0&amp;query=any,contains,991002695639702656","Catalog Record")</f>
        <v/>
      </c>
      <c r="AT1463">
        <f>HYPERLINK("http://www.worldcat.org/oclc/35197324","WorldCat Record")</f>
        <v/>
      </c>
      <c r="AU1463" t="inlineStr">
        <is>
          <t>41074260:eng</t>
        </is>
      </c>
      <c r="AV1463" t="inlineStr">
        <is>
          <t>35197324</t>
        </is>
      </c>
      <c r="AW1463" t="inlineStr">
        <is>
          <t>991002695639702656</t>
        </is>
      </c>
      <c r="AX1463" t="inlineStr">
        <is>
          <t>991002695639702656</t>
        </is>
      </c>
      <c r="AY1463" t="inlineStr">
        <is>
          <t>2258426930002656</t>
        </is>
      </c>
      <c r="AZ1463" t="inlineStr">
        <is>
          <t>BOOK</t>
        </is>
      </c>
      <c r="BB1463" t="inlineStr">
        <is>
          <t>9789053833056</t>
        </is>
      </c>
      <c r="BC1463" t="inlineStr">
        <is>
          <t>32285002371416</t>
        </is>
      </c>
      <c r="BD1463" t="inlineStr">
        <is>
          <t>893329417</t>
        </is>
      </c>
    </row>
    <row r="1464">
      <c r="A1464" t="inlineStr">
        <is>
          <t>No</t>
        </is>
      </c>
      <c r="B1464" t="inlineStr">
        <is>
          <t>DJ71 .P68 1974b</t>
        </is>
      </c>
      <c r="C1464" t="inlineStr">
        <is>
          <t>0                      DJ 0071000P  68          1974b</t>
        </is>
      </c>
      <c r="D1464" t="inlineStr">
        <is>
          <t>Culture and society in the Dutch Republic during the 17th century [by] J. L. Price.</t>
        </is>
      </c>
      <c r="F1464" t="inlineStr">
        <is>
          <t>No</t>
        </is>
      </c>
      <c r="G1464" t="inlineStr">
        <is>
          <t>1</t>
        </is>
      </c>
      <c r="H1464" t="inlineStr">
        <is>
          <t>No</t>
        </is>
      </c>
      <c r="I1464" t="inlineStr">
        <is>
          <t>No</t>
        </is>
      </c>
      <c r="J1464" t="inlineStr">
        <is>
          <t>0</t>
        </is>
      </c>
      <c r="K1464" t="inlineStr">
        <is>
          <t>Price, J. L.</t>
        </is>
      </c>
      <c r="L1464" t="inlineStr">
        <is>
          <t>New York, Scribner [1974]</t>
        </is>
      </c>
      <c r="M1464" t="inlineStr">
        <is>
          <t>1974</t>
        </is>
      </c>
      <c r="O1464" t="inlineStr">
        <is>
          <t>eng</t>
        </is>
      </c>
      <c r="P1464" t="inlineStr">
        <is>
          <t>nyu</t>
        </is>
      </c>
      <c r="R1464" t="inlineStr">
        <is>
          <t xml:space="preserve">DJ </t>
        </is>
      </c>
      <c r="S1464" t="n">
        <v>0</v>
      </c>
      <c r="T1464" t="n">
        <v>0</v>
      </c>
      <c r="U1464" t="inlineStr">
        <is>
          <t>2009-07-13</t>
        </is>
      </c>
      <c r="V1464" t="inlineStr">
        <is>
          <t>2009-07-13</t>
        </is>
      </c>
      <c r="W1464" t="inlineStr">
        <is>
          <t>1997-02-06</t>
        </is>
      </c>
      <c r="X1464" t="inlineStr">
        <is>
          <t>1997-02-06</t>
        </is>
      </c>
      <c r="Y1464" t="n">
        <v>362</v>
      </c>
      <c r="Z1464" t="n">
        <v>344</v>
      </c>
      <c r="AA1464" t="n">
        <v>461</v>
      </c>
      <c r="AB1464" t="n">
        <v>2</v>
      </c>
      <c r="AC1464" t="n">
        <v>3</v>
      </c>
      <c r="AD1464" t="n">
        <v>12</v>
      </c>
      <c r="AE1464" t="n">
        <v>17</v>
      </c>
      <c r="AF1464" t="n">
        <v>7</v>
      </c>
      <c r="AG1464" t="n">
        <v>7</v>
      </c>
      <c r="AH1464" t="n">
        <v>4</v>
      </c>
      <c r="AI1464" t="n">
        <v>6</v>
      </c>
      <c r="AJ1464" t="n">
        <v>6</v>
      </c>
      <c r="AK1464" t="n">
        <v>9</v>
      </c>
      <c r="AL1464" t="n">
        <v>0</v>
      </c>
      <c r="AM1464" t="n">
        <v>1</v>
      </c>
      <c r="AN1464" t="n">
        <v>0</v>
      </c>
      <c r="AO1464" t="n">
        <v>0</v>
      </c>
      <c r="AP1464" t="inlineStr">
        <is>
          <t>No</t>
        </is>
      </c>
      <c r="AQ1464" t="inlineStr">
        <is>
          <t>Yes</t>
        </is>
      </c>
      <c r="AR1464">
        <f>HYPERLINK("http://catalog.hathitrust.org/Record/004407905","HathiTrust Record")</f>
        <v/>
      </c>
      <c r="AS1464">
        <f>HYPERLINK("https://creighton-primo.hosted.exlibrisgroup.com/primo-explore/search?tab=default_tab&amp;search_scope=EVERYTHING&amp;vid=01CRU&amp;lang=en_US&amp;offset=0&amp;query=any,contains,991004210869702656","Catalog Record")</f>
        <v/>
      </c>
      <c r="AT1464">
        <f>HYPERLINK("http://www.worldcat.org/oclc/2681642","WorldCat Record")</f>
        <v/>
      </c>
      <c r="AU1464" t="inlineStr">
        <is>
          <t>1911283:eng</t>
        </is>
      </c>
      <c r="AV1464" t="inlineStr">
        <is>
          <t>2681642</t>
        </is>
      </c>
      <c r="AW1464" t="inlineStr">
        <is>
          <t>991004210869702656</t>
        </is>
      </c>
      <c r="AX1464" t="inlineStr">
        <is>
          <t>991004210869702656</t>
        </is>
      </c>
      <c r="AY1464" t="inlineStr">
        <is>
          <t>2268606140002656</t>
        </is>
      </c>
      <c r="AZ1464" t="inlineStr">
        <is>
          <t>BOOK</t>
        </is>
      </c>
      <c r="BB1464" t="inlineStr">
        <is>
          <t>9780684135892</t>
        </is>
      </c>
      <c r="BC1464" t="inlineStr">
        <is>
          <t>32285002424561</t>
        </is>
      </c>
      <c r="BD1464" t="inlineStr">
        <is>
          <t>893794609</t>
        </is>
      </c>
    </row>
    <row r="1465">
      <c r="A1465" t="inlineStr">
        <is>
          <t>No</t>
        </is>
      </c>
      <c r="B1465" t="inlineStr">
        <is>
          <t>DJ91 .B87 2006</t>
        </is>
      </c>
      <c r="C1465" t="inlineStr">
        <is>
          <t>0                      DJ 0091000B  87          2006</t>
        </is>
      </c>
      <c r="D1465" t="inlineStr">
        <is>
          <t>Murder in Amsterdam : the death of Theo van Gogh and the limits of tolerance / Ian Buruma.</t>
        </is>
      </c>
      <c r="F1465" t="inlineStr">
        <is>
          <t>No</t>
        </is>
      </c>
      <c r="G1465" t="inlineStr">
        <is>
          <t>1</t>
        </is>
      </c>
      <c r="H1465" t="inlineStr">
        <is>
          <t>No</t>
        </is>
      </c>
      <c r="I1465" t="inlineStr">
        <is>
          <t>No</t>
        </is>
      </c>
      <c r="J1465" t="inlineStr">
        <is>
          <t>0</t>
        </is>
      </c>
      <c r="K1465" t="inlineStr">
        <is>
          <t>Buruma, Ian.</t>
        </is>
      </c>
      <c r="L1465" t="inlineStr">
        <is>
          <t>New York : Penguin Press, 2006.</t>
        </is>
      </c>
      <c r="M1465" t="inlineStr">
        <is>
          <t>2006</t>
        </is>
      </c>
      <c r="O1465" t="inlineStr">
        <is>
          <t>eng</t>
        </is>
      </c>
      <c r="P1465" t="inlineStr">
        <is>
          <t>nyu</t>
        </is>
      </c>
      <c r="R1465" t="inlineStr">
        <is>
          <t xml:space="preserve">DJ </t>
        </is>
      </c>
      <c r="S1465" t="n">
        <v>2</v>
      </c>
      <c r="T1465" t="n">
        <v>2</v>
      </c>
      <c r="U1465" t="inlineStr">
        <is>
          <t>2007-10-04</t>
        </is>
      </c>
      <c r="V1465" t="inlineStr">
        <is>
          <t>2007-10-04</t>
        </is>
      </c>
      <c r="W1465" t="inlineStr">
        <is>
          <t>2006-10-09</t>
        </is>
      </c>
      <c r="X1465" t="inlineStr">
        <is>
          <t>2006-10-09</t>
        </is>
      </c>
      <c r="Y1465" t="n">
        <v>989</v>
      </c>
      <c r="Z1465" t="n">
        <v>865</v>
      </c>
      <c r="AA1465" t="n">
        <v>876</v>
      </c>
      <c r="AB1465" t="n">
        <v>6</v>
      </c>
      <c r="AC1465" t="n">
        <v>6</v>
      </c>
      <c r="AD1465" t="n">
        <v>31</v>
      </c>
      <c r="AE1465" t="n">
        <v>31</v>
      </c>
      <c r="AF1465" t="n">
        <v>9</v>
      </c>
      <c r="AG1465" t="n">
        <v>9</v>
      </c>
      <c r="AH1465" t="n">
        <v>7</v>
      </c>
      <c r="AI1465" t="n">
        <v>7</v>
      </c>
      <c r="AJ1465" t="n">
        <v>14</v>
      </c>
      <c r="AK1465" t="n">
        <v>14</v>
      </c>
      <c r="AL1465" t="n">
        <v>5</v>
      </c>
      <c r="AM1465" t="n">
        <v>5</v>
      </c>
      <c r="AN1465" t="n">
        <v>1</v>
      </c>
      <c r="AO1465" t="n">
        <v>1</v>
      </c>
      <c r="AP1465" t="inlineStr">
        <is>
          <t>No</t>
        </is>
      </c>
      <c r="AQ1465" t="inlineStr">
        <is>
          <t>Yes</t>
        </is>
      </c>
      <c r="AR1465">
        <f>HYPERLINK("http://catalog.hathitrust.org/Record/005288047","HathiTrust Record")</f>
        <v/>
      </c>
      <c r="AS1465">
        <f>HYPERLINK("https://creighton-primo.hosted.exlibrisgroup.com/primo-explore/search?tab=default_tab&amp;search_scope=EVERYTHING&amp;vid=01CRU&amp;lang=en_US&amp;offset=0&amp;query=any,contains,991004925639702656","Catalog Record")</f>
        <v/>
      </c>
      <c r="AT1465">
        <f>HYPERLINK("http://www.worldcat.org/oclc/69021054","WorldCat Record")</f>
        <v/>
      </c>
      <c r="AU1465" t="inlineStr">
        <is>
          <t>864043378:eng</t>
        </is>
      </c>
      <c r="AV1465" t="inlineStr">
        <is>
          <t>69021054</t>
        </is>
      </c>
      <c r="AW1465" t="inlineStr">
        <is>
          <t>991004925639702656</t>
        </is>
      </c>
      <c r="AX1465" t="inlineStr">
        <is>
          <t>991004925639702656</t>
        </is>
      </c>
      <c r="AY1465" t="inlineStr">
        <is>
          <t>2263969410002656</t>
        </is>
      </c>
      <c r="AZ1465" t="inlineStr">
        <is>
          <t>BOOK</t>
        </is>
      </c>
      <c r="BB1465" t="inlineStr">
        <is>
          <t>9781594201080</t>
        </is>
      </c>
      <c r="BC1465" t="inlineStr">
        <is>
          <t>32285005227946</t>
        </is>
      </c>
      <c r="BD1465" t="inlineStr">
        <is>
          <t>893332182</t>
        </is>
      </c>
    </row>
    <row r="1466">
      <c r="A1466" t="inlineStr">
        <is>
          <t>No</t>
        </is>
      </c>
      <c r="B1466" t="inlineStr">
        <is>
          <t>DJK18 .C37 1993</t>
        </is>
      </c>
      <c r="C1466" t="inlineStr">
        <is>
          <t>0                      DJK0018000C  37          1993</t>
        </is>
      </c>
      <c r="D1466" t="inlineStr">
        <is>
          <t>Eastern Europe / written by Rowlinson Carter ; editorial director, Brian Bell ; created and directed by Hans Höfer.</t>
        </is>
      </c>
      <c r="F1466" t="inlineStr">
        <is>
          <t>No</t>
        </is>
      </c>
      <c r="G1466" t="inlineStr">
        <is>
          <t>1</t>
        </is>
      </c>
      <c r="H1466" t="inlineStr">
        <is>
          <t>No</t>
        </is>
      </c>
      <c r="I1466" t="inlineStr">
        <is>
          <t>No</t>
        </is>
      </c>
      <c r="J1466" t="inlineStr">
        <is>
          <t>0</t>
        </is>
      </c>
      <c r="K1466" t="inlineStr">
        <is>
          <t>Carter, Rowlinson.</t>
        </is>
      </c>
      <c r="L1466" t="inlineStr">
        <is>
          <t>[Hong Kong] : APA Publications ; Boston : Distributed in the U.S. by Houghton Mifflin, c1993.</t>
        </is>
      </c>
      <c r="M1466" t="inlineStr">
        <is>
          <t>1993</t>
        </is>
      </c>
      <c r="N1466" t="inlineStr">
        <is>
          <t>1st ed.</t>
        </is>
      </c>
      <c r="O1466" t="inlineStr">
        <is>
          <t>eng</t>
        </is>
      </c>
      <c r="P1466" t="inlineStr">
        <is>
          <t xml:space="preserve">hk </t>
        </is>
      </c>
      <c r="Q1466" t="inlineStr">
        <is>
          <t>Insight guides</t>
        </is>
      </c>
      <c r="R1466" t="inlineStr">
        <is>
          <t>DJK</t>
        </is>
      </c>
      <c r="S1466" t="n">
        <v>7</v>
      </c>
      <c r="T1466" t="n">
        <v>7</v>
      </c>
      <c r="U1466" t="inlineStr">
        <is>
          <t>2008-03-31</t>
        </is>
      </c>
      <c r="V1466" t="inlineStr">
        <is>
          <t>2008-03-31</t>
        </is>
      </c>
      <c r="W1466" t="inlineStr">
        <is>
          <t>1993-06-21</t>
        </is>
      </c>
      <c r="X1466" t="inlineStr">
        <is>
          <t>1993-06-21</t>
        </is>
      </c>
      <c r="Y1466" t="n">
        <v>88</v>
      </c>
      <c r="Z1466" t="n">
        <v>69</v>
      </c>
      <c r="AA1466" t="n">
        <v>80</v>
      </c>
      <c r="AB1466" t="n">
        <v>1</v>
      </c>
      <c r="AC1466" t="n">
        <v>1</v>
      </c>
      <c r="AD1466" t="n">
        <v>0</v>
      </c>
      <c r="AE1466" t="n">
        <v>0</v>
      </c>
      <c r="AF1466" t="n">
        <v>0</v>
      </c>
      <c r="AG1466" t="n">
        <v>0</v>
      </c>
      <c r="AH1466" t="n">
        <v>0</v>
      </c>
      <c r="AI1466" t="n">
        <v>0</v>
      </c>
      <c r="AJ1466" t="n">
        <v>0</v>
      </c>
      <c r="AK1466" t="n">
        <v>0</v>
      </c>
      <c r="AL1466" t="n">
        <v>0</v>
      </c>
      <c r="AM1466" t="n">
        <v>0</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HYPERLINK("https://creighton-primo.hosted.exlibrisgroup.com/primo-explore/search?tab=default_tab&amp;search_scope=EVERYTHING&amp;vid=01CRU&amp;lang=en_US&amp;offset=0&amp;query=any,contains,991002182209702656","Catalog Record")</f>
        <v/>
      </c>
      <c r="AT1466">
        <f>HYPERLINK("http://www.worldcat.org/oclc/28106314","WorldCat Record")</f>
        <v/>
      </c>
      <c r="AU1466" t="inlineStr">
        <is>
          <t>3943811064:eng</t>
        </is>
      </c>
      <c r="AV1466" t="inlineStr">
        <is>
          <t>28106314</t>
        </is>
      </c>
      <c r="AW1466" t="inlineStr">
        <is>
          <t>991002182209702656</t>
        </is>
      </c>
      <c r="AX1466" t="inlineStr">
        <is>
          <t>991002182209702656</t>
        </is>
      </c>
      <c r="AY1466" t="inlineStr">
        <is>
          <t>2260607250002656</t>
        </is>
      </c>
      <c r="AZ1466" t="inlineStr">
        <is>
          <t>BOOK</t>
        </is>
      </c>
      <c r="BB1466" t="inlineStr">
        <is>
          <t>9780395657706</t>
        </is>
      </c>
      <c r="BC1466" t="inlineStr">
        <is>
          <t>32285001694651</t>
        </is>
      </c>
      <c r="BD1466" t="inlineStr">
        <is>
          <t>893703757</t>
        </is>
      </c>
    </row>
    <row r="1467">
      <c r="A1467" t="inlineStr">
        <is>
          <t>No</t>
        </is>
      </c>
      <c r="B1467" t="inlineStr">
        <is>
          <t>DJK18 .G55 1990</t>
        </is>
      </c>
      <c r="C1467" t="inlineStr">
        <is>
          <t>0                      DJK0018000G  55          1990</t>
        </is>
      </c>
      <c r="D1467" t="inlineStr">
        <is>
          <t>Berlin to Bucharest : travels in Eastern Europe / Anton Gill.</t>
        </is>
      </c>
      <c r="F1467" t="inlineStr">
        <is>
          <t>No</t>
        </is>
      </c>
      <c r="G1467" t="inlineStr">
        <is>
          <t>1</t>
        </is>
      </c>
      <c r="H1467" t="inlineStr">
        <is>
          <t>No</t>
        </is>
      </c>
      <c r="I1467" t="inlineStr">
        <is>
          <t>No</t>
        </is>
      </c>
      <c r="J1467" t="inlineStr">
        <is>
          <t>0</t>
        </is>
      </c>
      <c r="K1467" t="inlineStr">
        <is>
          <t>Gill, Anton.</t>
        </is>
      </c>
      <c r="L1467" t="inlineStr">
        <is>
          <t>London : Grafton, 1990.</t>
        </is>
      </c>
      <c r="M1467" t="inlineStr">
        <is>
          <t>1990</t>
        </is>
      </c>
      <c r="O1467" t="inlineStr">
        <is>
          <t>eng</t>
        </is>
      </c>
      <c r="P1467" t="inlineStr">
        <is>
          <t>enk</t>
        </is>
      </c>
      <c r="R1467" t="inlineStr">
        <is>
          <t>DJK</t>
        </is>
      </c>
      <c r="S1467" t="n">
        <v>3</v>
      </c>
      <c r="T1467" t="n">
        <v>3</v>
      </c>
      <c r="U1467" t="inlineStr">
        <is>
          <t>1993-11-29</t>
        </is>
      </c>
      <c r="V1467" t="inlineStr">
        <is>
          <t>1993-11-29</t>
        </is>
      </c>
      <c r="W1467" t="inlineStr">
        <is>
          <t>1993-11-22</t>
        </is>
      </c>
      <c r="X1467" t="inlineStr">
        <is>
          <t>1993-11-22</t>
        </is>
      </c>
      <c r="Y1467" t="n">
        <v>159</v>
      </c>
      <c r="Z1467" t="n">
        <v>105</v>
      </c>
      <c r="AA1467" t="n">
        <v>106</v>
      </c>
      <c r="AB1467" t="n">
        <v>1</v>
      </c>
      <c r="AC1467" t="n">
        <v>1</v>
      </c>
      <c r="AD1467" t="n">
        <v>2</v>
      </c>
      <c r="AE1467" t="n">
        <v>2</v>
      </c>
      <c r="AF1467" t="n">
        <v>1</v>
      </c>
      <c r="AG1467" t="n">
        <v>1</v>
      </c>
      <c r="AH1467" t="n">
        <v>1</v>
      </c>
      <c r="AI1467" t="n">
        <v>1</v>
      </c>
      <c r="AJ1467" t="n">
        <v>1</v>
      </c>
      <c r="AK1467" t="n">
        <v>1</v>
      </c>
      <c r="AL1467" t="n">
        <v>0</v>
      </c>
      <c r="AM1467" t="n">
        <v>0</v>
      </c>
      <c r="AN1467" t="n">
        <v>0</v>
      </c>
      <c r="AO1467" t="n">
        <v>0</v>
      </c>
      <c r="AP1467" t="inlineStr">
        <is>
          <t>No</t>
        </is>
      </c>
      <c r="AQ1467" t="inlineStr">
        <is>
          <t>Yes</t>
        </is>
      </c>
      <c r="AR1467">
        <f>HYPERLINK("http://catalog.hathitrust.org/Record/002166349","HathiTrust Record")</f>
        <v/>
      </c>
      <c r="AS1467">
        <f>HYPERLINK("https://creighton-primo.hosted.exlibrisgroup.com/primo-explore/search?tab=default_tab&amp;search_scope=EVERYTHING&amp;vid=01CRU&amp;lang=en_US&amp;offset=0&amp;query=any,contains,991001618139702656","Catalog Record")</f>
        <v/>
      </c>
      <c r="AT1467">
        <f>HYPERLINK("http://www.worldcat.org/oclc/20799734","WorldCat Record")</f>
        <v/>
      </c>
      <c r="AU1467" t="inlineStr">
        <is>
          <t>836762910:eng</t>
        </is>
      </c>
      <c r="AV1467" t="inlineStr">
        <is>
          <t>20799734</t>
        </is>
      </c>
      <c r="AW1467" t="inlineStr">
        <is>
          <t>991001618139702656</t>
        </is>
      </c>
      <c r="AX1467" t="inlineStr">
        <is>
          <t>991001618139702656</t>
        </is>
      </c>
      <c r="AY1467" t="inlineStr">
        <is>
          <t>2263726910002656</t>
        </is>
      </c>
      <c r="AZ1467" t="inlineStr">
        <is>
          <t>BOOK</t>
        </is>
      </c>
      <c r="BB1467" t="inlineStr">
        <is>
          <t>9780246134851</t>
        </is>
      </c>
      <c r="BC1467" t="inlineStr">
        <is>
          <t>32285001811339</t>
        </is>
      </c>
      <c r="BD1467" t="inlineStr">
        <is>
          <t>893626753</t>
        </is>
      </c>
    </row>
    <row r="1468">
      <c r="A1468" t="inlineStr">
        <is>
          <t>No</t>
        </is>
      </c>
      <c r="B1468" t="inlineStr">
        <is>
          <t>DJK19 .R53 1995</t>
        </is>
      </c>
      <c r="C1468" t="inlineStr">
        <is>
          <t>0                      DJK0019000R  53          1995</t>
        </is>
      </c>
      <c r="D1468" t="inlineStr">
        <is>
          <t>From Da to Yes : understanding the East Europeans / Yale Richmond.</t>
        </is>
      </c>
      <c r="F1468" t="inlineStr">
        <is>
          <t>No</t>
        </is>
      </c>
      <c r="G1468" t="inlineStr">
        <is>
          <t>1</t>
        </is>
      </c>
      <c r="H1468" t="inlineStr">
        <is>
          <t>No</t>
        </is>
      </c>
      <c r="I1468" t="inlineStr">
        <is>
          <t>No</t>
        </is>
      </c>
      <c r="J1468" t="inlineStr">
        <is>
          <t>0</t>
        </is>
      </c>
      <c r="K1468" t="inlineStr">
        <is>
          <t>Richmond, Yale.</t>
        </is>
      </c>
      <c r="L1468" t="inlineStr">
        <is>
          <t>Yarmouth, Me. : Intercultural Press, c1995.</t>
        </is>
      </c>
      <c r="M1468" t="inlineStr">
        <is>
          <t>1995</t>
        </is>
      </c>
      <c r="O1468" t="inlineStr">
        <is>
          <t>eng</t>
        </is>
      </c>
      <c r="P1468" t="inlineStr">
        <is>
          <t>meu</t>
        </is>
      </c>
      <c r="Q1468" t="inlineStr">
        <is>
          <t>InterAct</t>
        </is>
      </c>
      <c r="R1468" t="inlineStr">
        <is>
          <t>DJK</t>
        </is>
      </c>
      <c r="S1468" t="n">
        <v>2</v>
      </c>
      <c r="T1468" t="n">
        <v>2</v>
      </c>
      <c r="U1468" t="inlineStr">
        <is>
          <t>1997-11-19</t>
        </is>
      </c>
      <c r="V1468" t="inlineStr">
        <is>
          <t>1997-11-19</t>
        </is>
      </c>
      <c r="W1468" t="inlineStr">
        <is>
          <t>1996-02-12</t>
        </is>
      </c>
      <c r="X1468" t="inlineStr">
        <is>
          <t>1996-02-12</t>
        </is>
      </c>
      <c r="Y1468" t="n">
        <v>420</v>
      </c>
      <c r="Z1468" t="n">
        <v>369</v>
      </c>
      <c r="AA1468" t="n">
        <v>686</v>
      </c>
      <c r="AB1468" t="n">
        <v>3</v>
      </c>
      <c r="AC1468" t="n">
        <v>7</v>
      </c>
      <c r="AD1468" t="n">
        <v>20</v>
      </c>
      <c r="AE1468" t="n">
        <v>27</v>
      </c>
      <c r="AF1468" t="n">
        <v>9</v>
      </c>
      <c r="AG1468" t="n">
        <v>10</v>
      </c>
      <c r="AH1468" t="n">
        <v>4</v>
      </c>
      <c r="AI1468" t="n">
        <v>5</v>
      </c>
      <c r="AJ1468" t="n">
        <v>10</v>
      </c>
      <c r="AK1468" t="n">
        <v>12</v>
      </c>
      <c r="AL1468" t="n">
        <v>2</v>
      </c>
      <c r="AM1468" t="n">
        <v>6</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HYPERLINK("https://creighton-primo.hosted.exlibrisgroup.com/primo-explore/search?tab=default_tab&amp;search_scope=EVERYTHING&amp;vid=01CRU&amp;lang=en_US&amp;offset=0&amp;query=any,contains,991002459809702656","Catalog Record")</f>
        <v/>
      </c>
      <c r="AT1468">
        <f>HYPERLINK("http://www.worldcat.org/oclc/32051226","WorldCat Record")</f>
        <v/>
      </c>
      <c r="AU1468" t="inlineStr">
        <is>
          <t>800708674:eng</t>
        </is>
      </c>
      <c r="AV1468" t="inlineStr">
        <is>
          <t>32051226</t>
        </is>
      </c>
      <c r="AW1468" t="inlineStr">
        <is>
          <t>991002459809702656</t>
        </is>
      </c>
      <c r="AX1468" t="inlineStr">
        <is>
          <t>991002459809702656</t>
        </is>
      </c>
      <c r="AY1468" t="inlineStr">
        <is>
          <t>2270158570002656</t>
        </is>
      </c>
      <c r="AZ1468" t="inlineStr">
        <is>
          <t>BOOK</t>
        </is>
      </c>
      <c r="BB1468" t="inlineStr">
        <is>
          <t>9781877864308</t>
        </is>
      </c>
      <c r="BC1468" t="inlineStr">
        <is>
          <t>32285002129251</t>
        </is>
      </c>
      <c r="BD1468" t="inlineStr">
        <is>
          <t>893779839</t>
        </is>
      </c>
    </row>
    <row r="1469">
      <c r="A1469" t="inlineStr">
        <is>
          <t>No</t>
        </is>
      </c>
      <c r="B1469" t="inlineStr">
        <is>
          <t>DJK26 .E84 2005</t>
        </is>
      </c>
      <c r="C1469" t="inlineStr">
        <is>
          <t>0                      DJK0026000E  84          2005</t>
        </is>
      </c>
      <c r="D1469" t="inlineStr">
        <is>
          <t>Ethnic politics after communism / edited by Zoltan Barany and Robert G. Moser.</t>
        </is>
      </c>
      <c r="F1469" t="inlineStr">
        <is>
          <t>No</t>
        </is>
      </c>
      <c r="G1469" t="inlineStr">
        <is>
          <t>1</t>
        </is>
      </c>
      <c r="H1469" t="inlineStr">
        <is>
          <t>No</t>
        </is>
      </c>
      <c r="I1469" t="inlineStr">
        <is>
          <t>No</t>
        </is>
      </c>
      <c r="J1469" t="inlineStr">
        <is>
          <t>0</t>
        </is>
      </c>
      <c r="L1469" t="inlineStr">
        <is>
          <t>Ithaca, N.Y. : Cornell University Press, 2005.</t>
        </is>
      </c>
      <c r="M1469" t="inlineStr">
        <is>
          <t>2005</t>
        </is>
      </c>
      <c r="O1469" t="inlineStr">
        <is>
          <t>eng</t>
        </is>
      </c>
      <c r="P1469" t="inlineStr">
        <is>
          <t>nyu</t>
        </is>
      </c>
      <c r="R1469" t="inlineStr">
        <is>
          <t>DJK</t>
        </is>
      </c>
      <c r="S1469" t="n">
        <v>2</v>
      </c>
      <c r="T1469" t="n">
        <v>2</v>
      </c>
      <c r="U1469" t="inlineStr">
        <is>
          <t>2007-11-28</t>
        </is>
      </c>
      <c r="V1469" t="inlineStr">
        <is>
          <t>2007-11-28</t>
        </is>
      </c>
      <c r="W1469" t="inlineStr">
        <is>
          <t>2005-11-07</t>
        </is>
      </c>
      <c r="X1469" t="inlineStr">
        <is>
          <t>2005-11-07</t>
        </is>
      </c>
      <c r="Y1469" t="n">
        <v>394</v>
      </c>
      <c r="Z1469" t="n">
        <v>311</v>
      </c>
      <c r="AA1469" t="n">
        <v>506</v>
      </c>
      <c r="AB1469" t="n">
        <v>3</v>
      </c>
      <c r="AC1469" t="n">
        <v>3</v>
      </c>
      <c r="AD1469" t="n">
        <v>19</v>
      </c>
      <c r="AE1469" t="n">
        <v>28</v>
      </c>
      <c r="AF1469" t="n">
        <v>11</v>
      </c>
      <c r="AG1469" t="n">
        <v>15</v>
      </c>
      <c r="AH1469" t="n">
        <v>6</v>
      </c>
      <c r="AI1469" t="n">
        <v>8</v>
      </c>
      <c r="AJ1469" t="n">
        <v>7</v>
      </c>
      <c r="AK1469" t="n">
        <v>13</v>
      </c>
      <c r="AL1469" t="n">
        <v>2</v>
      </c>
      <c r="AM1469" t="n">
        <v>2</v>
      </c>
      <c r="AN1469" t="n">
        <v>0</v>
      </c>
      <c r="AO1469" t="n">
        <v>0</v>
      </c>
      <c r="AP1469" t="inlineStr">
        <is>
          <t>No</t>
        </is>
      </c>
      <c r="AQ1469" t="inlineStr">
        <is>
          <t>Yes</t>
        </is>
      </c>
      <c r="AR1469">
        <f>HYPERLINK("http://catalog.hathitrust.org/Record/005093266","HathiTrust Record")</f>
        <v/>
      </c>
      <c r="AS1469">
        <f>HYPERLINK("https://creighton-primo.hosted.exlibrisgroup.com/primo-explore/search?tab=default_tab&amp;search_scope=EVERYTHING&amp;vid=01CRU&amp;lang=en_US&amp;offset=0&amp;query=any,contains,991004683409702656","Catalog Record")</f>
        <v/>
      </c>
      <c r="AT1469">
        <f>HYPERLINK("http://www.worldcat.org/oclc/60188474","WorldCat Record")</f>
        <v/>
      </c>
      <c r="AU1469" t="inlineStr">
        <is>
          <t>349916248:eng</t>
        </is>
      </c>
      <c r="AV1469" t="inlineStr">
        <is>
          <t>60188474</t>
        </is>
      </c>
      <c r="AW1469" t="inlineStr">
        <is>
          <t>991004683409702656</t>
        </is>
      </c>
      <c r="AX1469" t="inlineStr">
        <is>
          <t>991004683409702656</t>
        </is>
      </c>
      <c r="AY1469" t="inlineStr">
        <is>
          <t>2270355090002656</t>
        </is>
      </c>
      <c r="AZ1469" t="inlineStr">
        <is>
          <t>BOOK</t>
        </is>
      </c>
      <c r="BB1469" t="inlineStr">
        <is>
          <t>9780801443770</t>
        </is>
      </c>
      <c r="BC1469" t="inlineStr">
        <is>
          <t>32285005144703</t>
        </is>
      </c>
      <c r="BD1469" t="inlineStr">
        <is>
          <t>893532685</t>
        </is>
      </c>
    </row>
    <row r="1470">
      <c r="A1470" t="inlineStr">
        <is>
          <t>No</t>
        </is>
      </c>
      <c r="B1470" t="inlineStr">
        <is>
          <t>DJK26 .F69 2002</t>
        </is>
      </c>
      <c r="C1470" t="inlineStr">
        <is>
          <t>0                      DJK0026000F  69          2002</t>
        </is>
      </c>
      <c r="D1470" t="inlineStr">
        <is>
          <t>Ethnicity and ethnic conflict in the post-communist world / Ben Fowkes.</t>
        </is>
      </c>
      <c r="F1470" t="inlineStr">
        <is>
          <t>No</t>
        </is>
      </c>
      <c r="G1470" t="inlineStr">
        <is>
          <t>1</t>
        </is>
      </c>
      <c r="H1470" t="inlineStr">
        <is>
          <t>No</t>
        </is>
      </c>
      <c r="I1470" t="inlineStr">
        <is>
          <t>No</t>
        </is>
      </c>
      <c r="J1470" t="inlineStr">
        <is>
          <t>0</t>
        </is>
      </c>
      <c r="K1470" t="inlineStr">
        <is>
          <t>Fowkes, Ben.</t>
        </is>
      </c>
      <c r="L1470" t="inlineStr">
        <is>
          <t>New York : Palgrave, 2002.</t>
        </is>
      </c>
      <c r="M1470" t="inlineStr">
        <is>
          <t>2002</t>
        </is>
      </c>
      <c r="O1470" t="inlineStr">
        <is>
          <t>eng</t>
        </is>
      </c>
      <c r="P1470" t="inlineStr">
        <is>
          <t>nyu</t>
        </is>
      </c>
      <c r="R1470" t="inlineStr">
        <is>
          <t>DJK</t>
        </is>
      </c>
      <c r="S1470" t="n">
        <v>3</v>
      </c>
      <c r="T1470" t="n">
        <v>3</v>
      </c>
      <c r="U1470" t="inlineStr">
        <is>
          <t>2004-04-06</t>
        </is>
      </c>
      <c r="V1470" t="inlineStr">
        <is>
          <t>2004-04-06</t>
        </is>
      </c>
      <c r="W1470" t="inlineStr">
        <is>
          <t>2004-01-08</t>
        </is>
      </c>
      <c r="X1470" t="inlineStr">
        <is>
          <t>2004-01-08</t>
        </is>
      </c>
      <c r="Y1470" t="n">
        <v>273</v>
      </c>
      <c r="Z1470" t="n">
        <v>205</v>
      </c>
      <c r="AA1470" t="n">
        <v>316</v>
      </c>
      <c r="AB1470" t="n">
        <v>4</v>
      </c>
      <c r="AC1470" t="n">
        <v>4</v>
      </c>
      <c r="AD1470" t="n">
        <v>10</v>
      </c>
      <c r="AE1470" t="n">
        <v>13</v>
      </c>
      <c r="AF1470" t="n">
        <v>1</v>
      </c>
      <c r="AG1470" t="n">
        <v>3</v>
      </c>
      <c r="AH1470" t="n">
        <v>3</v>
      </c>
      <c r="AI1470" t="n">
        <v>4</v>
      </c>
      <c r="AJ1470" t="n">
        <v>5</v>
      </c>
      <c r="AK1470" t="n">
        <v>6</v>
      </c>
      <c r="AL1470" t="n">
        <v>3</v>
      </c>
      <c r="AM1470" t="n">
        <v>3</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HYPERLINK("https://creighton-primo.hosted.exlibrisgroup.com/primo-explore/search?tab=default_tab&amp;search_scope=EVERYTHING&amp;vid=01CRU&amp;lang=en_US&amp;offset=0&amp;query=any,contains,991004193129702656","Catalog Record")</f>
        <v/>
      </c>
      <c r="AT1470">
        <f>HYPERLINK("http://www.worldcat.org/oclc/48397689","WorldCat Record")</f>
        <v/>
      </c>
      <c r="AU1470" t="inlineStr">
        <is>
          <t>9872173:eng</t>
        </is>
      </c>
      <c r="AV1470" t="inlineStr">
        <is>
          <t>48397689</t>
        </is>
      </c>
      <c r="AW1470" t="inlineStr">
        <is>
          <t>991004193129702656</t>
        </is>
      </c>
      <c r="AX1470" t="inlineStr">
        <is>
          <t>991004193129702656</t>
        </is>
      </c>
      <c r="AY1470" t="inlineStr">
        <is>
          <t>2271153390002656</t>
        </is>
      </c>
      <c r="AZ1470" t="inlineStr">
        <is>
          <t>BOOK</t>
        </is>
      </c>
      <c r="BB1470" t="inlineStr">
        <is>
          <t>9780333792568</t>
        </is>
      </c>
      <c r="BC1470" t="inlineStr">
        <is>
          <t>32285004633300</t>
        </is>
      </c>
      <c r="BD1470" t="inlineStr">
        <is>
          <t>893525772</t>
        </is>
      </c>
    </row>
    <row r="1471">
      <c r="A1471" t="inlineStr">
        <is>
          <t>No</t>
        </is>
      </c>
      <c r="B1471" t="inlineStr">
        <is>
          <t>DJK26 .J46 2007</t>
        </is>
      </c>
      <c r="C1471" t="inlineStr">
        <is>
          <t>0                      DJK0026000J  46          2007</t>
        </is>
      </c>
      <c r="D1471" t="inlineStr">
        <is>
          <t>Ethnic bargaining : the paradox of minority empowerment / Erin K. Jenne.</t>
        </is>
      </c>
      <c r="F1471" t="inlineStr">
        <is>
          <t>No</t>
        </is>
      </c>
      <c r="G1471" t="inlineStr">
        <is>
          <t>1</t>
        </is>
      </c>
      <c r="H1471" t="inlineStr">
        <is>
          <t>No</t>
        </is>
      </c>
      <c r="I1471" t="inlineStr">
        <is>
          <t>No</t>
        </is>
      </c>
      <c r="J1471" t="inlineStr">
        <is>
          <t>0</t>
        </is>
      </c>
      <c r="K1471" t="inlineStr">
        <is>
          <t>Jenne, Erin K.</t>
        </is>
      </c>
      <c r="L1471" t="inlineStr">
        <is>
          <t>Ithaca : Cornell University Press, 2007.</t>
        </is>
      </c>
      <c r="M1471" t="inlineStr">
        <is>
          <t>2007</t>
        </is>
      </c>
      <c r="O1471" t="inlineStr">
        <is>
          <t>eng</t>
        </is>
      </c>
      <c r="P1471" t="inlineStr">
        <is>
          <t>nyu</t>
        </is>
      </c>
      <c r="R1471" t="inlineStr">
        <is>
          <t>DJK</t>
        </is>
      </c>
      <c r="S1471" t="n">
        <v>1</v>
      </c>
      <c r="T1471" t="n">
        <v>1</v>
      </c>
      <c r="U1471" t="inlineStr">
        <is>
          <t>2008-02-05</t>
        </is>
      </c>
      <c r="V1471" t="inlineStr">
        <is>
          <t>2008-02-05</t>
        </is>
      </c>
      <c r="W1471" t="inlineStr">
        <is>
          <t>2008-02-05</t>
        </is>
      </c>
      <c r="X1471" t="inlineStr">
        <is>
          <t>2008-02-05</t>
        </is>
      </c>
      <c r="Y1471" t="n">
        <v>454</v>
      </c>
      <c r="Z1471" t="n">
        <v>356</v>
      </c>
      <c r="AA1471" t="n">
        <v>582</v>
      </c>
      <c r="AB1471" t="n">
        <v>3</v>
      </c>
      <c r="AC1471" t="n">
        <v>4</v>
      </c>
      <c r="AD1471" t="n">
        <v>25</v>
      </c>
      <c r="AE1471" t="n">
        <v>32</v>
      </c>
      <c r="AF1471" t="n">
        <v>11</v>
      </c>
      <c r="AG1471" t="n">
        <v>15</v>
      </c>
      <c r="AH1471" t="n">
        <v>7</v>
      </c>
      <c r="AI1471" t="n">
        <v>8</v>
      </c>
      <c r="AJ1471" t="n">
        <v>11</v>
      </c>
      <c r="AK1471" t="n">
        <v>15</v>
      </c>
      <c r="AL1471" t="n">
        <v>2</v>
      </c>
      <c r="AM1471" t="n">
        <v>3</v>
      </c>
      <c r="AN1471" t="n">
        <v>0</v>
      </c>
      <c r="AO1471" t="n">
        <v>0</v>
      </c>
      <c r="AP1471" t="inlineStr">
        <is>
          <t>No</t>
        </is>
      </c>
      <c r="AQ1471" t="inlineStr">
        <is>
          <t>Yes</t>
        </is>
      </c>
      <c r="AR1471">
        <f>HYPERLINK("http://catalog.hathitrust.org/Record/005422475","HathiTrust Record")</f>
        <v/>
      </c>
      <c r="AS1471">
        <f>HYPERLINK("https://creighton-primo.hosted.exlibrisgroup.com/primo-explore/search?tab=default_tab&amp;search_scope=EVERYTHING&amp;vid=01CRU&amp;lang=en_US&amp;offset=0&amp;query=any,contains,991005166449702656","Catalog Record")</f>
        <v/>
      </c>
      <c r="AT1471">
        <f>HYPERLINK("http://www.worldcat.org/oclc/70673196","WorldCat Record")</f>
        <v/>
      </c>
      <c r="AU1471" t="inlineStr">
        <is>
          <t>891119425:eng</t>
        </is>
      </c>
      <c r="AV1471" t="inlineStr">
        <is>
          <t>70673196</t>
        </is>
      </c>
      <c r="AW1471" t="inlineStr">
        <is>
          <t>991005166449702656</t>
        </is>
      </c>
      <c r="AX1471" t="inlineStr">
        <is>
          <t>991005166449702656</t>
        </is>
      </c>
      <c r="AY1471" t="inlineStr">
        <is>
          <t>2272531440002656</t>
        </is>
      </c>
      <c r="AZ1471" t="inlineStr">
        <is>
          <t>BOOK</t>
        </is>
      </c>
      <c r="BB1471" t="inlineStr">
        <is>
          <t>9780801444982</t>
        </is>
      </c>
      <c r="BC1471" t="inlineStr">
        <is>
          <t>32285005392195</t>
        </is>
      </c>
      <c r="BD1471" t="inlineStr">
        <is>
          <t>893701123</t>
        </is>
      </c>
    </row>
    <row r="1472">
      <c r="A1472" t="inlineStr">
        <is>
          <t>No</t>
        </is>
      </c>
      <c r="B1472" t="inlineStr">
        <is>
          <t>DJK27 .B365 2001</t>
        </is>
      </c>
      <c r="C1472" t="inlineStr">
        <is>
          <t>0                      DJK0027000B  365         2001</t>
        </is>
      </c>
      <c r="D1472" t="inlineStr">
        <is>
          <t>The early Slavs : culture and society in early medieval Eastern Europe / P.M. Barford.</t>
        </is>
      </c>
      <c r="F1472" t="inlineStr">
        <is>
          <t>No</t>
        </is>
      </c>
      <c r="G1472" t="inlineStr">
        <is>
          <t>1</t>
        </is>
      </c>
      <c r="H1472" t="inlineStr">
        <is>
          <t>No</t>
        </is>
      </c>
      <c r="I1472" t="inlineStr">
        <is>
          <t>No</t>
        </is>
      </c>
      <c r="J1472" t="inlineStr">
        <is>
          <t>0</t>
        </is>
      </c>
      <c r="K1472" t="inlineStr">
        <is>
          <t>Barford, P. M. (Paul M.)</t>
        </is>
      </c>
      <c r="L1472" t="inlineStr">
        <is>
          <t>Ithaca, NY : Cornell University Press, 2001.</t>
        </is>
      </c>
      <c r="M1472" t="inlineStr">
        <is>
          <t>2001</t>
        </is>
      </c>
      <c r="O1472" t="inlineStr">
        <is>
          <t>eng</t>
        </is>
      </c>
      <c r="P1472" t="inlineStr">
        <is>
          <t>nyu</t>
        </is>
      </c>
      <c r="R1472" t="inlineStr">
        <is>
          <t>DJK</t>
        </is>
      </c>
      <c r="S1472" t="n">
        <v>3</v>
      </c>
      <c r="T1472" t="n">
        <v>3</v>
      </c>
      <c r="U1472" t="inlineStr">
        <is>
          <t>2002-01-15</t>
        </is>
      </c>
      <c r="V1472" t="inlineStr">
        <is>
          <t>2002-01-15</t>
        </is>
      </c>
      <c r="W1472" t="inlineStr">
        <is>
          <t>2001-12-06</t>
        </is>
      </c>
      <c r="X1472" t="inlineStr">
        <is>
          <t>2001-12-06</t>
        </is>
      </c>
      <c r="Y1472" t="n">
        <v>459</v>
      </c>
      <c r="Z1472" t="n">
        <v>408</v>
      </c>
      <c r="AA1472" t="n">
        <v>472</v>
      </c>
      <c r="AB1472" t="n">
        <v>3</v>
      </c>
      <c r="AC1472" t="n">
        <v>3</v>
      </c>
      <c r="AD1472" t="n">
        <v>25</v>
      </c>
      <c r="AE1472" t="n">
        <v>29</v>
      </c>
      <c r="AF1472" t="n">
        <v>13</v>
      </c>
      <c r="AG1472" t="n">
        <v>14</v>
      </c>
      <c r="AH1472" t="n">
        <v>6</v>
      </c>
      <c r="AI1472" t="n">
        <v>8</v>
      </c>
      <c r="AJ1472" t="n">
        <v>13</v>
      </c>
      <c r="AK1472" t="n">
        <v>16</v>
      </c>
      <c r="AL1472" t="n">
        <v>2</v>
      </c>
      <c r="AM1472" t="n">
        <v>2</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HYPERLINK("https://creighton-primo.hosted.exlibrisgroup.com/primo-explore/search?tab=default_tab&amp;search_scope=EVERYTHING&amp;vid=01CRU&amp;lang=en_US&amp;offset=0&amp;query=any,contains,991003638649702656","Catalog Record")</f>
        <v/>
      </c>
      <c r="AT1472">
        <f>HYPERLINK("http://www.worldcat.org/oclc/47054689","WorldCat Record")</f>
        <v/>
      </c>
      <c r="AU1472" t="inlineStr">
        <is>
          <t>784443565:eng</t>
        </is>
      </c>
      <c r="AV1472" t="inlineStr">
        <is>
          <t>47054689</t>
        </is>
      </c>
      <c r="AW1472" t="inlineStr">
        <is>
          <t>991003638649702656</t>
        </is>
      </c>
      <c r="AX1472" t="inlineStr">
        <is>
          <t>991003638649702656</t>
        </is>
      </c>
      <c r="AY1472" t="inlineStr">
        <is>
          <t>2269098450002656</t>
        </is>
      </c>
      <c r="AZ1472" t="inlineStr">
        <is>
          <t>BOOK</t>
        </is>
      </c>
      <c r="BB1472" t="inlineStr">
        <is>
          <t>9780801439773</t>
        </is>
      </c>
      <c r="BC1472" t="inlineStr">
        <is>
          <t>32285004426747</t>
        </is>
      </c>
      <c r="BD1472" t="inlineStr">
        <is>
          <t>893881380</t>
        </is>
      </c>
    </row>
    <row r="1473">
      <c r="A1473" t="inlineStr">
        <is>
          <t>No</t>
        </is>
      </c>
      <c r="B1473" t="inlineStr">
        <is>
          <t>DJK28.G4 K65 1980</t>
        </is>
      </c>
      <c r="C1473" t="inlineStr">
        <is>
          <t>0                      DJK0028000G  4                  K  65          1980</t>
        </is>
      </c>
      <c r="D1473" t="inlineStr">
        <is>
          <t>German minorities and the Third Reich : ethnic Germans of East Central Europe between the wars / by Anthony Komjathy and Rebecca Stockwell.</t>
        </is>
      </c>
      <c r="F1473" t="inlineStr">
        <is>
          <t>No</t>
        </is>
      </c>
      <c r="G1473" t="inlineStr">
        <is>
          <t>1</t>
        </is>
      </c>
      <c r="H1473" t="inlineStr">
        <is>
          <t>No</t>
        </is>
      </c>
      <c r="I1473" t="inlineStr">
        <is>
          <t>No</t>
        </is>
      </c>
      <c r="J1473" t="inlineStr">
        <is>
          <t>0</t>
        </is>
      </c>
      <c r="K1473" t="inlineStr">
        <is>
          <t>Komjathy, Anthony Tihamer.</t>
        </is>
      </c>
      <c r="L1473" t="inlineStr">
        <is>
          <t>New York : Holmes &amp; Meier, 1980.</t>
        </is>
      </c>
      <c r="M1473" t="inlineStr">
        <is>
          <t>1980</t>
        </is>
      </c>
      <c r="O1473" t="inlineStr">
        <is>
          <t>eng</t>
        </is>
      </c>
      <c r="P1473" t="inlineStr">
        <is>
          <t>nyu</t>
        </is>
      </c>
      <c r="R1473" t="inlineStr">
        <is>
          <t>DJK</t>
        </is>
      </c>
      <c r="S1473" t="n">
        <v>5</v>
      </c>
      <c r="T1473" t="n">
        <v>5</v>
      </c>
      <c r="U1473" t="inlineStr">
        <is>
          <t>2007-03-30</t>
        </is>
      </c>
      <c r="V1473" t="inlineStr">
        <is>
          <t>2007-03-30</t>
        </is>
      </c>
      <c r="W1473" t="inlineStr">
        <is>
          <t>1993-09-28</t>
        </is>
      </c>
      <c r="X1473" t="inlineStr">
        <is>
          <t>1993-09-28</t>
        </is>
      </c>
      <c r="Y1473" t="n">
        <v>396</v>
      </c>
      <c r="Z1473" t="n">
        <v>303</v>
      </c>
      <c r="AA1473" t="n">
        <v>312</v>
      </c>
      <c r="AB1473" t="n">
        <v>3</v>
      </c>
      <c r="AC1473" t="n">
        <v>3</v>
      </c>
      <c r="AD1473" t="n">
        <v>18</v>
      </c>
      <c r="AE1473" t="n">
        <v>18</v>
      </c>
      <c r="AF1473" t="n">
        <v>3</v>
      </c>
      <c r="AG1473" t="n">
        <v>3</v>
      </c>
      <c r="AH1473" t="n">
        <v>7</v>
      </c>
      <c r="AI1473" t="n">
        <v>7</v>
      </c>
      <c r="AJ1473" t="n">
        <v>11</v>
      </c>
      <c r="AK1473" t="n">
        <v>11</v>
      </c>
      <c r="AL1473" t="n">
        <v>2</v>
      </c>
      <c r="AM1473" t="n">
        <v>2</v>
      </c>
      <c r="AN1473" t="n">
        <v>1</v>
      </c>
      <c r="AO1473" t="n">
        <v>1</v>
      </c>
      <c r="AP1473" t="inlineStr">
        <is>
          <t>No</t>
        </is>
      </c>
      <c r="AQ1473" t="inlineStr">
        <is>
          <t>Yes</t>
        </is>
      </c>
      <c r="AR1473">
        <f>HYPERLINK("http://catalog.hathitrust.org/Record/000683294","HathiTrust Record")</f>
        <v/>
      </c>
      <c r="AS1473">
        <f>HYPERLINK("https://creighton-primo.hosted.exlibrisgroup.com/primo-explore/search?tab=default_tab&amp;search_scope=EVERYTHING&amp;vid=01CRU&amp;lang=en_US&amp;offset=0&amp;query=any,contains,991004858779702656","Catalog Record")</f>
        <v/>
      </c>
      <c r="AT1473">
        <f>HYPERLINK("http://www.worldcat.org/oclc/5677893","WorldCat Record")</f>
        <v/>
      </c>
      <c r="AU1473" t="inlineStr">
        <is>
          <t>197352058:eng</t>
        </is>
      </c>
      <c r="AV1473" t="inlineStr">
        <is>
          <t>5677893</t>
        </is>
      </c>
      <c r="AW1473" t="inlineStr">
        <is>
          <t>991004858779702656</t>
        </is>
      </c>
      <c r="AX1473" t="inlineStr">
        <is>
          <t>991004858779702656</t>
        </is>
      </c>
      <c r="AY1473" t="inlineStr">
        <is>
          <t>2261659210002656</t>
        </is>
      </c>
      <c r="AZ1473" t="inlineStr">
        <is>
          <t>BOOK</t>
        </is>
      </c>
      <c r="BB1473" t="inlineStr">
        <is>
          <t>9780841905405</t>
        </is>
      </c>
      <c r="BC1473" t="inlineStr">
        <is>
          <t>32285001768760</t>
        </is>
      </c>
      <c r="BD1473" t="inlineStr">
        <is>
          <t>893513751</t>
        </is>
      </c>
    </row>
    <row r="1474">
      <c r="A1474" t="inlineStr">
        <is>
          <t>No</t>
        </is>
      </c>
      <c r="B1474" t="inlineStr">
        <is>
          <t>DJK36 .S85 1997</t>
        </is>
      </c>
      <c r="C1474" t="inlineStr">
        <is>
          <t>0                      DJK0036000S  85          1997</t>
        </is>
      </c>
      <c r="D1474" t="inlineStr">
        <is>
          <t>Three eras of political change in Eastern Europe / Gale Stokes.</t>
        </is>
      </c>
      <c r="F1474" t="inlineStr">
        <is>
          <t>No</t>
        </is>
      </c>
      <c r="G1474" t="inlineStr">
        <is>
          <t>1</t>
        </is>
      </c>
      <c r="H1474" t="inlineStr">
        <is>
          <t>No</t>
        </is>
      </c>
      <c r="I1474" t="inlineStr">
        <is>
          <t>No</t>
        </is>
      </c>
      <c r="J1474" t="inlineStr">
        <is>
          <t>0</t>
        </is>
      </c>
      <c r="K1474" t="inlineStr">
        <is>
          <t>Stokes, Gale, 1933-2012.</t>
        </is>
      </c>
      <c r="L1474" t="inlineStr">
        <is>
          <t>New York : Oxford University Press, 1997.</t>
        </is>
      </c>
      <c r="M1474" t="inlineStr">
        <is>
          <t>1997</t>
        </is>
      </c>
      <c r="O1474" t="inlineStr">
        <is>
          <t>eng</t>
        </is>
      </c>
      <c r="P1474" t="inlineStr">
        <is>
          <t>nyu</t>
        </is>
      </c>
      <c r="R1474" t="inlineStr">
        <is>
          <t>DJK</t>
        </is>
      </c>
      <c r="S1474" t="n">
        <v>4</v>
      </c>
      <c r="T1474" t="n">
        <v>4</v>
      </c>
      <c r="U1474" t="inlineStr">
        <is>
          <t>1998-09-10</t>
        </is>
      </c>
      <c r="V1474" t="inlineStr">
        <is>
          <t>1998-09-10</t>
        </is>
      </c>
      <c r="W1474" t="inlineStr">
        <is>
          <t>1997-01-17</t>
        </is>
      </c>
      <c r="X1474" t="inlineStr">
        <is>
          <t>1997-01-17</t>
        </is>
      </c>
      <c r="Y1474" t="n">
        <v>468</v>
      </c>
      <c r="Z1474" t="n">
        <v>367</v>
      </c>
      <c r="AA1474" t="n">
        <v>375</v>
      </c>
      <c r="AB1474" t="n">
        <v>6</v>
      </c>
      <c r="AC1474" t="n">
        <v>6</v>
      </c>
      <c r="AD1474" t="n">
        <v>27</v>
      </c>
      <c r="AE1474" t="n">
        <v>27</v>
      </c>
      <c r="AF1474" t="n">
        <v>9</v>
      </c>
      <c r="AG1474" t="n">
        <v>9</v>
      </c>
      <c r="AH1474" t="n">
        <v>7</v>
      </c>
      <c r="AI1474" t="n">
        <v>7</v>
      </c>
      <c r="AJ1474" t="n">
        <v>14</v>
      </c>
      <c r="AK1474" t="n">
        <v>14</v>
      </c>
      <c r="AL1474" t="n">
        <v>5</v>
      </c>
      <c r="AM1474" t="n">
        <v>5</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HYPERLINK("https://creighton-primo.hosted.exlibrisgroup.com/primo-explore/search?tab=default_tab&amp;search_scope=EVERYTHING&amp;vid=01CRU&amp;lang=en_US&amp;offset=0&amp;query=any,contains,991002612719702656","Catalog Record")</f>
        <v/>
      </c>
      <c r="AT1474">
        <f>HYPERLINK("http://www.worldcat.org/oclc/34244460","WorldCat Record")</f>
        <v/>
      </c>
      <c r="AU1474" t="inlineStr">
        <is>
          <t>39836439:eng</t>
        </is>
      </c>
      <c r="AV1474" t="inlineStr">
        <is>
          <t>34244460</t>
        </is>
      </c>
      <c r="AW1474" t="inlineStr">
        <is>
          <t>991002612719702656</t>
        </is>
      </c>
      <c r="AX1474" t="inlineStr">
        <is>
          <t>991002612719702656</t>
        </is>
      </c>
      <c r="AY1474" t="inlineStr">
        <is>
          <t>2272099640002656</t>
        </is>
      </c>
      <c r="AZ1474" t="inlineStr">
        <is>
          <t>BOOK</t>
        </is>
      </c>
      <c r="BB1474" t="inlineStr">
        <is>
          <t>9780195104813</t>
        </is>
      </c>
      <c r="BC1474" t="inlineStr">
        <is>
          <t>32285002409455</t>
        </is>
      </c>
      <c r="BD1474" t="inlineStr">
        <is>
          <t>893335502</t>
        </is>
      </c>
    </row>
    <row r="1475">
      <c r="A1475" t="inlineStr">
        <is>
          <t>No</t>
        </is>
      </c>
      <c r="B1475" t="inlineStr">
        <is>
          <t>DJK36.U6 B96 1994</t>
        </is>
      </c>
      <c r="C1475" t="inlineStr">
        <is>
          <t>0                      DJK0036000U  6                  B  96          1994</t>
        </is>
      </c>
      <c r="D1475" t="inlineStr">
        <is>
          <t>A history of Russian and East European studies in the United States : selected essays / Robert F. Byrnes.</t>
        </is>
      </c>
      <c r="F1475" t="inlineStr">
        <is>
          <t>No</t>
        </is>
      </c>
      <c r="G1475" t="inlineStr">
        <is>
          <t>1</t>
        </is>
      </c>
      <c r="H1475" t="inlineStr">
        <is>
          <t>No</t>
        </is>
      </c>
      <c r="I1475" t="inlineStr">
        <is>
          <t>No</t>
        </is>
      </c>
      <c r="J1475" t="inlineStr">
        <is>
          <t>0</t>
        </is>
      </c>
      <c r="K1475" t="inlineStr">
        <is>
          <t>Byrnes, Robert Francis.</t>
        </is>
      </c>
      <c r="L1475" t="inlineStr">
        <is>
          <t>Lanham, Md. : University Press of America, 1994.</t>
        </is>
      </c>
      <c r="M1475" t="inlineStr">
        <is>
          <t>1994</t>
        </is>
      </c>
      <c r="O1475" t="inlineStr">
        <is>
          <t>eng</t>
        </is>
      </c>
      <c r="P1475" t="inlineStr">
        <is>
          <t>mdu</t>
        </is>
      </c>
      <c r="R1475" t="inlineStr">
        <is>
          <t>DJK</t>
        </is>
      </c>
      <c r="S1475" t="n">
        <v>2</v>
      </c>
      <c r="T1475" t="n">
        <v>2</v>
      </c>
      <c r="U1475" t="inlineStr">
        <is>
          <t>1994-11-30</t>
        </is>
      </c>
      <c r="V1475" t="inlineStr">
        <is>
          <t>1994-11-30</t>
        </is>
      </c>
      <c r="W1475" t="inlineStr">
        <is>
          <t>1994-11-14</t>
        </is>
      </c>
      <c r="X1475" t="inlineStr">
        <is>
          <t>1994-11-14</t>
        </is>
      </c>
      <c r="Y1475" t="n">
        <v>152</v>
      </c>
      <c r="Z1475" t="n">
        <v>131</v>
      </c>
      <c r="AA1475" t="n">
        <v>132</v>
      </c>
      <c r="AB1475" t="n">
        <v>2</v>
      </c>
      <c r="AC1475" t="n">
        <v>2</v>
      </c>
      <c r="AD1475" t="n">
        <v>9</v>
      </c>
      <c r="AE1475" t="n">
        <v>9</v>
      </c>
      <c r="AF1475" t="n">
        <v>1</v>
      </c>
      <c r="AG1475" t="n">
        <v>1</v>
      </c>
      <c r="AH1475" t="n">
        <v>4</v>
      </c>
      <c r="AI1475" t="n">
        <v>4</v>
      </c>
      <c r="AJ1475" t="n">
        <v>6</v>
      </c>
      <c r="AK1475" t="n">
        <v>6</v>
      </c>
      <c r="AL1475" t="n">
        <v>1</v>
      </c>
      <c r="AM1475" t="n">
        <v>1</v>
      </c>
      <c r="AN1475" t="n">
        <v>0</v>
      </c>
      <c r="AO1475" t="n">
        <v>0</v>
      </c>
      <c r="AP1475" t="inlineStr">
        <is>
          <t>No</t>
        </is>
      </c>
      <c r="AQ1475" t="inlineStr">
        <is>
          <t>Yes</t>
        </is>
      </c>
      <c r="AR1475">
        <f>HYPERLINK("http://catalog.hathitrust.org/Record/002900443","HathiTrust Record")</f>
        <v/>
      </c>
      <c r="AS1475">
        <f>HYPERLINK("https://creighton-primo.hosted.exlibrisgroup.com/primo-explore/search?tab=default_tab&amp;search_scope=EVERYTHING&amp;vid=01CRU&amp;lang=en_US&amp;offset=0&amp;query=any,contains,991002338409702656","Catalog Record")</f>
        <v/>
      </c>
      <c r="AT1475">
        <f>HYPERLINK("http://www.worldcat.org/oclc/30437638","WorldCat Record")</f>
        <v/>
      </c>
      <c r="AU1475" t="inlineStr">
        <is>
          <t>32631695:eng</t>
        </is>
      </c>
      <c r="AV1475" t="inlineStr">
        <is>
          <t>30437638</t>
        </is>
      </c>
      <c r="AW1475" t="inlineStr">
        <is>
          <t>991002338409702656</t>
        </is>
      </c>
      <c r="AX1475" t="inlineStr">
        <is>
          <t>991002338409702656</t>
        </is>
      </c>
      <c r="AY1475" t="inlineStr">
        <is>
          <t>2256355800002656</t>
        </is>
      </c>
      <c r="AZ1475" t="inlineStr">
        <is>
          <t>BOOK</t>
        </is>
      </c>
      <c r="BB1475" t="inlineStr">
        <is>
          <t>9780819195661</t>
        </is>
      </c>
      <c r="BC1475" t="inlineStr">
        <is>
          <t>32285001958247</t>
        </is>
      </c>
      <c r="BD1475" t="inlineStr">
        <is>
          <t>893867087</t>
        </is>
      </c>
    </row>
    <row r="1476">
      <c r="A1476" t="inlineStr">
        <is>
          <t>No</t>
        </is>
      </c>
      <c r="B1476" t="inlineStr">
        <is>
          <t>DJK38 .B53 1998</t>
        </is>
      </c>
      <c r="C1476" t="inlineStr">
        <is>
          <t>0                      DJK0038000B  53          1998</t>
        </is>
      </c>
      <c r="D1476" t="inlineStr">
        <is>
          <t>A history of Eastern Europe : crisis and change / Robert Bideleux and Ian Jeffries.</t>
        </is>
      </c>
      <c r="F1476" t="inlineStr">
        <is>
          <t>No</t>
        </is>
      </c>
      <c r="G1476" t="inlineStr">
        <is>
          <t>1</t>
        </is>
      </c>
      <c r="H1476" t="inlineStr">
        <is>
          <t>No</t>
        </is>
      </c>
      <c r="I1476" t="inlineStr">
        <is>
          <t>No</t>
        </is>
      </c>
      <c r="J1476" t="inlineStr">
        <is>
          <t>0</t>
        </is>
      </c>
      <c r="K1476" t="inlineStr">
        <is>
          <t>Bideleux, Robert.</t>
        </is>
      </c>
      <c r="L1476" t="inlineStr">
        <is>
          <t>London : New York : Routledge, 1998.</t>
        </is>
      </c>
      <c r="M1476" t="inlineStr">
        <is>
          <t>1998</t>
        </is>
      </c>
      <c r="O1476" t="inlineStr">
        <is>
          <t>eng</t>
        </is>
      </c>
      <c r="P1476" t="inlineStr">
        <is>
          <t>enk</t>
        </is>
      </c>
      <c r="R1476" t="inlineStr">
        <is>
          <t>DJK</t>
        </is>
      </c>
      <c r="S1476" t="n">
        <v>5</v>
      </c>
      <c r="T1476" t="n">
        <v>5</v>
      </c>
      <c r="U1476" t="inlineStr">
        <is>
          <t>2009-06-09</t>
        </is>
      </c>
      <c r="V1476" t="inlineStr">
        <is>
          <t>2009-06-09</t>
        </is>
      </c>
      <c r="W1476" t="inlineStr">
        <is>
          <t>1998-03-20</t>
        </is>
      </c>
      <c r="X1476" t="inlineStr">
        <is>
          <t>1998-03-20</t>
        </is>
      </c>
      <c r="Y1476" t="n">
        <v>438</v>
      </c>
      <c r="Z1476" t="n">
        <v>243</v>
      </c>
      <c r="AA1476" t="n">
        <v>449</v>
      </c>
      <c r="AB1476" t="n">
        <v>2</v>
      </c>
      <c r="AC1476" t="n">
        <v>2</v>
      </c>
      <c r="AD1476" t="n">
        <v>12</v>
      </c>
      <c r="AE1476" t="n">
        <v>15</v>
      </c>
      <c r="AF1476" t="n">
        <v>3</v>
      </c>
      <c r="AG1476" t="n">
        <v>4</v>
      </c>
      <c r="AH1476" t="n">
        <v>5</v>
      </c>
      <c r="AI1476" t="n">
        <v>7</v>
      </c>
      <c r="AJ1476" t="n">
        <v>7</v>
      </c>
      <c r="AK1476" t="n">
        <v>9</v>
      </c>
      <c r="AL1476" t="n">
        <v>1</v>
      </c>
      <c r="AM1476" t="n">
        <v>1</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HYPERLINK("https://creighton-primo.hosted.exlibrisgroup.com/primo-explore/search?tab=default_tab&amp;search_scope=EVERYTHING&amp;vid=01CRU&amp;lang=en_US&amp;offset=0&amp;query=any,contains,991002786219702656","Catalog Record")</f>
        <v/>
      </c>
      <c r="AT1476">
        <f>HYPERLINK("http://www.worldcat.org/oclc/36582157","WorldCat Record")</f>
        <v/>
      </c>
      <c r="AU1476" t="inlineStr">
        <is>
          <t>795072526:eng</t>
        </is>
      </c>
      <c r="AV1476" t="inlineStr">
        <is>
          <t>36582157</t>
        </is>
      </c>
      <c r="AW1476" t="inlineStr">
        <is>
          <t>991002786219702656</t>
        </is>
      </c>
      <c r="AX1476" t="inlineStr">
        <is>
          <t>991002786219702656</t>
        </is>
      </c>
      <c r="AY1476" t="inlineStr">
        <is>
          <t>2263371220002656</t>
        </is>
      </c>
      <c r="AZ1476" t="inlineStr">
        <is>
          <t>BOOK</t>
        </is>
      </c>
      <c r="BB1476" t="inlineStr">
        <is>
          <t>9780415161114</t>
        </is>
      </c>
      <c r="BC1476" t="inlineStr">
        <is>
          <t>32285003359287</t>
        </is>
      </c>
      <c r="BD1476" t="inlineStr">
        <is>
          <t>893786549</t>
        </is>
      </c>
    </row>
    <row r="1477">
      <c r="A1477" t="inlineStr">
        <is>
          <t>No</t>
        </is>
      </c>
      <c r="B1477" t="inlineStr">
        <is>
          <t>DJK38 .C73 1994</t>
        </is>
      </c>
      <c r="C1477" t="inlineStr">
        <is>
          <t>0                      DJK0038000C  73          1994</t>
        </is>
      </c>
      <c r="D1477" t="inlineStr">
        <is>
          <t>Eastern Europe in the twentieth century / R.J. Crampton.</t>
        </is>
      </c>
      <c r="F1477" t="inlineStr">
        <is>
          <t>No</t>
        </is>
      </c>
      <c r="G1477" t="inlineStr">
        <is>
          <t>1</t>
        </is>
      </c>
      <c r="H1477" t="inlineStr">
        <is>
          <t>No</t>
        </is>
      </c>
      <c r="I1477" t="inlineStr">
        <is>
          <t>No</t>
        </is>
      </c>
      <c r="J1477" t="inlineStr">
        <is>
          <t>0</t>
        </is>
      </c>
      <c r="K1477" t="inlineStr">
        <is>
          <t>Crampton, R. J.</t>
        </is>
      </c>
      <c r="L1477" t="inlineStr">
        <is>
          <t>London ; New York : Routledge, 1994.</t>
        </is>
      </c>
      <c r="M1477" t="inlineStr">
        <is>
          <t>1994</t>
        </is>
      </c>
      <c r="O1477" t="inlineStr">
        <is>
          <t>eng</t>
        </is>
      </c>
      <c r="P1477" t="inlineStr">
        <is>
          <t>enk</t>
        </is>
      </c>
      <c r="R1477" t="inlineStr">
        <is>
          <t>DJK</t>
        </is>
      </c>
      <c r="S1477" t="n">
        <v>11</v>
      </c>
      <c r="T1477" t="n">
        <v>11</v>
      </c>
      <c r="U1477" t="inlineStr">
        <is>
          <t>1998-02-02</t>
        </is>
      </c>
      <c r="V1477" t="inlineStr">
        <is>
          <t>1998-02-02</t>
        </is>
      </c>
      <c r="W1477" t="inlineStr">
        <is>
          <t>1995-04-03</t>
        </is>
      </c>
      <c r="X1477" t="inlineStr">
        <is>
          <t>1995-04-03</t>
        </is>
      </c>
      <c r="Y1477" t="n">
        <v>428</v>
      </c>
      <c r="Z1477" t="n">
        <v>240</v>
      </c>
      <c r="AA1477" t="n">
        <v>419</v>
      </c>
      <c r="AB1477" t="n">
        <v>4</v>
      </c>
      <c r="AC1477" t="n">
        <v>4</v>
      </c>
      <c r="AD1477" t="n">
        <v>14</v>
      </c>
      <c r="AE1477" t="n">
        <v>19</v>
      </c>
      <c r="AF1477" t="n">
        <v>5</v>
      </c>
      <c r="AG1477" t="n">
        <v>7</v>
      </c>
      <c r="AH1477" t="n">
        <v>6</v>
      </c>
      <c r="AI1477" t="n">
        <v>8</v>
      </c>
      <c r="AJ1477" t="n">
        <v>8</v>
      </c>
      <c r="AK1477" t="n">
        <v>12</v>
      </c>
      <c r="AL1477" t="n">
        <v>3</v>
      </c>
      <c r="AM1477" t="n">
        <v>3</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HYPERLINK("https://creighton-primo.hosted.exlibrisgroup.com/primo-explore/search?tab=default_tab&amp;search_scope=EVERYTHING&amp;vid=01CRU&amp;lang=en_US&amp;offset=0&amp;query=any,contains,991002237719702656","Catalog Record")</f>
        <v/>
      </c>
      <c r="AT1477">
        <f>HYPERLINK("http://www.worldcat.org/oclc/28853958","WorldCat Record")</f>
        <v/>
      </c>
      <c r="AU1477" t="inlineStr">
        <is>
          <t>542332:eng</t>
        </is>
      </c>
      <c r="AV1477" t="inlineStr">
        <is>
          <t>28853958</t>
        </is>
      </c>
      <c r="AW1477" t="inlineStr">
        <is>
          <t>991002237719702656</t>
        </is>
      </c>
      <c r="AX1477" t="inlineStr">
        <is>
          <t>991002237719702656</t>
        </is>
      </c>
      <c r="AY1477" t="inlineStr">
        <is>
          <t>2263259070002656</t>
        </is>
      </c>
      <c r="AZ1477" t="inlineStr">
        <is>
          <t>BOOK</t>
        </is>
      </c>
      <c r="BB1477" t="inlineStr">
        <is>
          <t>9780415053464</t>
        </is>
      </c>
      <c r="BC1477" t="inlineStr">
        <is>
          <t>32285002015831</t>
        </is>
      </c>
      <c r="BD1477" t="inlineStr">
        <is>
          <t>893691367</t>
        </is>
      </c>
    </row>
    <row r="1478">
      <c r="A1478" t="inlineStr">
        <is>
          <t>No</t>
        </is>
      </c>
      <c r="B1478" t="inlineStr">
        <is>
          <t>DJK38 .R84 1985</t>
        </is>
      </c>
      <c r="C1478" t="inlineStr">
        <is>
          <t>0                      DJK0038000R  84          1985</t>
        </is>
      </c>
      <c r="D1478" t="inlineStr">
        <is>
          <t>Eastern Europe / Dean S. Rugg ; with a foreword by J.M. Houston.</t>
        </is>
      </c>
      <c r="F1478" t="inlineStr">
        <is>
          <t>No</t>
        </is>
      </c>
      <c r="G1478" t="inlineStr">
        <is>
          <t>1</t>
        </is>
      </c>
      <c r="H1478" t="inlineStr">
        <is>
          <t>No</t>
        </is>
      </c>
      <c r="I1478" t="inlineStr">
        <is>
          <t>No</t>
        </is>
      </c>
      <c r="J1478" t="inlineStr">
        <is>
          <t>0</t>
        </is>
      </c>
      <c r="K1478" t="inlineStr">
        <is>
          <t>Rugg, Dean S.</t>
        </is>
      </c>
      <c r="L1478" t="inlineStr">
        <is>
          <t>London ; New York : Longman, 1985.</t>
        </is>
      </c>
      <c r="M1478" t="inlineStr">
        <is>
          <t>1985</t>
        </is>
      </c>
      <c r="O1478" t="inlineStr">
        <is>
          <t>eng</t>
        </is>
      </c>
      <c r="P1478" t="inlineStr">
        <is>
          <t>enk</t>
        </is>
      </c>
      <c r="Q1478" t="inlineStr">
        <is>
          <t>The World's landscapes</t>
        </is>
      </c>
      <c r="R1478" t="inlineStr">
        <is>
          <t>DJK</t>
        </is>
      </c>
      <c r="S1478" t="n">
        <v>2</v>
      </c>
      <c r="T1478" t="n">
        <v>2</v>
      </c>
      <c r="U1478" t="inlineStr">
        <is>
          <t>1993-11-10</t>
        </is>
      </c>
      <c r="V1478" t="inlineStr">
        <is>
          <t>1993-11-10</t>
        </is>
      </c>
      <c r="W1478" t="inlineStr">
        <is>
          <t>1990-06-06</t>
        </is>
      </c>
      <c r="X1478" t="inlineStr">
        <is>
          <t>1990-06-06</t>
        </is>
      </c>
      <c r="Y1478" t="n">
        <v>353</v>
      </c>
      <c r="Z1478" t="n">
        <v>246</v>
      </c>
      <c r="AA1478" t="n">
        <v>248</v>
      </c>
      <c r="AB1478" t="n">
        <v>7</v>
      </c>
      <c r="AC1478" t="n">
        <v>7</v>
      </c>
      <c r="AD1478" t="n">
        <v>7</v>
      </c>
      <c r="AE1478" t="n">
        <v>7</v>
      </c>
      <c r="AF1478" t="n">
        <v>0</v>
      </c>
      <c r="AG1478" t="n">
        <v>0</v>
      </c>
      <c r="AH1478" t="n">
        <v>1</v>
      </c>
      <c r="AI1478" t="n">
        <v>1</v>
      </c>
      <c r="AJ1478" t="n">
        <v>0</v>
      </c>
      <c r="AK1478" t="n">
        <v>0</v>
      </c>
      <c r="AL1478" t="n">
        <v>6</v>
      </c>
      <c r="AM1478" t="n">
        <v>6</v>
      </c>
      <c r="AN1478" t="n">
        <v>0</v>
      </c>
      <c r="AO1478" t="n">
        <v>0</v>
      </c>
      <c r="AP1478" t="inlineStr">
        <is>
          <t>No</t>
        </is>
      </c>
      <c r="AQ1478" t="inlineStr">
        <is>
          <t>Yes</t>
        </is>
      </c>
      <c r="AR1478">
        <f>HYPERLINK("http://catalog.hathitrust.org/Record/000876306","HathiTrust Record")</f>
        <v/>
      </c>
      <c r="AS1478">
        <f>HYPERLINK("https://creighton-primo.hosted.exlibrisgroup.com/primo-explore/search?tab=default_tab&amp;search_scope=EVERYTHING&amp;vid=01CRU&amp;lang=en_US&amp;offset=0&amp;query=any,contains,991000498509702656","Catalog Record")</f>
        <v/>
      </c>
      <c r="AT1478">
        <f>HYPERLINK("http://www.worldcat.org/oclc/11158957","WorldCat Record")</f>
        <v/>
      </c>
      <c r="AU1478" t="inlineStr">
        <is>
          <t>3832691:eng</t>
        </is>
      </c>
      <c r="AV1478" t="inlineStr">
        <is>
          <t>11158957</t>
        </is>
      </c>
      <c r="AW1478" t="inlineStr">
        <is>
          <t>991000498509702656</t>
        </is>
      </c>
      <c r="AX1478" t="inlineStr">
        <is>
          <t>991000498509702656</t>
        </is>
      </c>
      <c r="AY1478" t="inlineStr">
        <is>
          <t>2254814090002656</t>
        </is>
      </c>
      <c r="AZ1478" t="inlineStr">
        <is>
          <t>BOOK</t>
        </is>
      </c>
      <c r="BB1478" t="inlineStr">
        <is>
          <t>9780582300194</t>
        </is>
      </c>
      <c r="BC1478" t="inlineStr">
        <is>
          <t>32285000182773</t>
        </is>
      </c>
      <c r="BD1478" t="inlineStr">
        <is>
          <t>893771684</t>
        </is>
      </c>
    </row>
    <row r="1479">
      <c r="A1479" t="inlineStr">
        <is>
          <t>No</t>
        </is>
      </c>
      <c r="B1479" t="inlineStr">
        <is>
          <t>DJK38 .W35 1990</t>
        </is>
      </c>
      <c r="C1479" t="inlineStr">
        <is>
          <t>0                      DJK0038000W  35          1990</t>
        </is>
      </c>
      <c r="D1479" t="inlineStr">
        <is>
          <t>The other Europe : Eastern Europe to 1945 / E. Garrison Walters.</t>
        </is>
      </c>
      <c r="F1479" t="inlineStr">
        <is>
          <t>No</t>
        </is>
      </c>
      <c r="G1479" t="inlineStr">
        <is>
          <t>1</t>
        </is>
      </c>
      <c r="H1479" t="inlineStr">
        <is>
          <t>No</t>
        </is>
      </c>
      <c r="I1479" t="inlineStr">
        <is>
          <t>No</t>
        </is>
      </c>
      <c r="J1479" t="inlineStr">
        <is>
          <t>0</t>
        </is>
      </c>
      <c r="K1479" t="inlineStr">
        <is>
          <t>Walters, E. Garrison.</t>
        </is>
      </c>
      <c r="L1479" t="inlineStr">
        <is>
          <t>New York : Dorset Press, 1990</t>
        </is>
      </c>
      <c r="M1479" t="inlineStr">
        <is>
          <t>1990</t>
        </is>
      </c>
      <c r="O1479" t="inlineStr">
        <is>
          <t>eng</t>
        </is>
      </c>
      <c r="P1479" t="inlineStr">
        <is>
          <t>nyu</t>
        </is>
      </c>
      <c r="R1479" t="inlineStr">
        <is>
          <t>DJK</t>
        </is>
      </c>
      <c r="S1479" t="n">
        <v>4</v>
      </c>
      <c r="T1479" t="n">
        <v>4</v>
      </c>
      <c r="U1479" t="inlineStr">
        <is>
          <t>1998-02-03</t>
        </is>
      </c>
      <c r="V1479" t="inlineStr">
        <is>
          <t>1998-02-03</t>
        </is>
      </c>
      <c r="W1479" t="inlineStr">
        <is>
          <t>1991-10-16</t>
        </is>
      </c>
      <c r="X1479" t="inlineStr">
        <is>
          <t>1991-10-16</t>
        </is>
      </c>
      <c r="Y1479" t="n">
        <v>177</v>
      </c>
      <c r="Z1479" t="n">
        <v>155</v>
      </c>
      <c r="AA1479" t="n">
        <v>731</v>
      </c>
      <c r="AB1479" t="n">
        <v>3</v>
      </c>
      <c r="AC1479" t="n">
        <v>7</v>
      </c>
      <c r="AD1479" t="n">
        <v>5</v>
      </c>
      <c r="AE1479" t="n">
        <v>30</v>
      </c>
      <c r="AF1479" t="n">
        <v>2</v>
      </c>
      <c r="AG1479" t="n">
        <v>10</v>
      </c>
      <c r="AH1479" t="n">
        <v>2</v>
      </c>
      <c r="AI1479" t="n">
        <v>8</v>
      </c>
      <c r="AJ1479" t="n">
        <v>1</v>
      </c>
      <c r="AK1479" t="n">
        <v>16</v>
      </c>
      <c r="AL1479" t="n">
        <v>1</v>
      </c>
      <c r="AM1479" t="n">
        <v>5</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HYPERLINK("https://creighton-primo.hosted.exlibrisgroup.com/primo-explore/search?tab=default_tab&amp;search_scope=EVERYTHING&amp;vid=01CRU&amp;lang=en_US&amp;offset=0&amp;query=any,contains,991001767669702656","Catalog Record")</f>
        <v/>
      </c>
      <c r="AT1479">
        <f>HYPERLINK("http://www.worldcat.org/oclc/21504911","WorldCat Record")</f>
        <v/>
      </c>
      <c r="AU1479" t="inlineStr">
        <is>
          <t>13603236:eng</t>
        </is>
      </c>
      <c r="AV1479" t="inlineStr">
        <is>
          <t>21504911</t>
        </is>
      </c>
      <c r="AW1479" t="inlineStr">
        <is>
          <t>991001767669702656</t>
        </is>
      </c>
      <c r="AX1479" t="inlineStr">
        <is>
          <t>991001767669702656</t>
        </is>
      </c>
      <c r="AY1479" t="inlineStr">
        <is>
          <t>2258242310002656</t>
        </is>
      </c>
      <c r="AZ1479" t="inlineStr">
        <is>
          <t>BOOK</t>
        </is>
      </c>
      <c r="BB1479" t="inlineStr">
        <is>
          <t>9780880294638</t>
        </is>
      </c>
      <c r="BC1479" t="inlineStr">
        <is>
          <t>32285000726579</t>
        </is>
      </c>
      <c r="BD1479" t="inlineStr">
        <is>
          <t>893715703</t>
        </is>
      </c>
    </row>
    <row r="1480">
      <c r="A1480" t="inlineStr">
        <is>
          <t>No</t>
        </is>
      </c>
      <c r="B1480" t="inlineStr">
        <is>
          <t>DJK42 .C65 1992</t>
        </is>
      </c>
      <c r="C1480" t="inlineStr">
        <is>
          <t>0                      DJK0042000C  65          1992</t>
        </is>
      </c>
      <c r="D1480" t="inlineStr">
        <is>
          <t>The Columbia history of Eastern Europe in the twentieth century / edited by Joseph Held.</t>
        </is>
      </c>
      <c r="F1480" t="inlineStr">
        <is>
          <t>No</t>
        </is>
      </c>
      <c r="G1480" t="inlineStr">
        <is>
          <t>1</t>
        </is>
      </c>
      <c r="H1480" t="inlineStr">
        <is>
          <t>No</t>
        </is>
      </c>
      <c r="I1480" t="inlineStr">
        <is>
          <t>No</t>
        </is>
      </c>
      <c r="J1480" t="inlineStr">
        <is>
          <t>0</t>
        </is>
      </c>
      <c r="L1480" t="inlineStr">
        <is>
          <t>New York : Columbia University Press, c1992.</t>
        </is>
      </c>
      <c r="M1480" t="inlineStr">
        <is>
          <t>1992</t>
        </is>
      </c>
      <c r="O1480" t="inlineStr">
        <is>
          <t>eng</t>
        </is>
      </c>
      <c r="P1480" t="inlineStr">
        <is>
          <t>nyu</t>
        </is>
      </c>
      <c r="R1480" t="inlineStr">
        <is>
          <t>DJK</t>
        </is>
      </c>
      <c r="S1480" t="n">
        <v>2</v>
      </c>
      <c r="T1480" t="n">
        <v>2</v>
      </c>
      <c r="U1480" t="inlineStr">
        <is>
          <t>1998-09-03</t>
        </is>
      </c>
      <c r="V1480" t="inlineStr">
        <is>
          <t>1998-09-03</t>
        </is>
      </c>
      <c r="W1480" t="inlineStr">
        <is>
          <t>1998-06-10</t>
        </is>
      </c>
      <c r="X1480" t="inlineStr">
        <is>
          <t>1998-06-10</t>
        </is>
      </c>
      <c r="Y1480" t="n">
        <v>1043</v>
      </c>
      <c r="Z1480" t="n">
        <v>867</v>
      </c>
      <c r="AA1480" t="n">
        <v>883</v>
      </c>
      <c r="AB1480" t="n">
        <v>6</v>
      </c>
      <c r="AC1480" t="n">
        <v>7</v>
      </c>
      <c r="AD1480" t="n">
        <v>43</v>
      </c>
      <c r="AE1480" t="n">
        <v>45</v>
      </c>
      <c r="AF1480" t="n">
        <v>18</v>
      </c>
      <c r="AG1480" t="n">
        <v>18</v>
      </c>
      <c r="AH1480" t="n">
        <v>10</v>
      </c>
      <c r="AI1480" t="n">
        <v>10</v>
      </c>
      <c r="AJ1480" t="n">
        <v>22</v>
      </c>
      <c r="AK1480" t="n">
        <v>22</v>
      </c>
      <c r="AL1480" t="n">
        <v>5</v>
      </c>
      <c r="AM1480" t="n">
        <v>6</v>
      </c>
      <c r="AN1480" t="n">
        <v>1</v>
      </c>
      <c r="AO1480" t="n">
        <v>2</v>
      </c>
      <c r="AP1480" t="inlineStr">
        <is>
          <t>No</t>
        </is>
      </c>
      <c r="AQ1480" t="inlineStr">
        <is>
          <t>No</t>
        </is>
      </c>
      <c r="AS1480">
        <f>HYPERLINK("https://creighton-primo.hosted.exlibrisgroup.com/primo-explore/search?tab=default_tab&amp;search_scope=EVERYTHING&amp;vid=01CRU&amp;lang=en_US&amp;offset=0&amp;query=any,contains,991001926819702656","Catalog Record")</f>
        <v/>
      </c>
      <c r="AT1480">
        <f>HYPERLINK("http://www.worldcat.org/oclc/24320546","WorldCat Record")</f>
        <v/>
      </c>
      <c r="AU1480" t="inlineStr">
        <is>
          <t>55497305:eng</t>
        </is>
      </c>
      <c r="AV1480" t="inlineStr">
        <is>
          <t>24320546</t>
        </is>
      </c>
      <c r="AW1480" t="inlineStr">
        <is>
          <t>991001926819702656</t>
        </is>
      </c>
      <c r="AX1480" t="inlineStr">
        <is>
          <t>991001926819702656</t>
        </is>
      </c>
      <c r="AY1480" t="inlineStr">
        <is>
          <t>2272679500002656</t>
        </is>
      </c>
      <c r="AZ1480" t="inlineStr">
        <is>
          <t>BOOK</t>
        </is>
      </c>
      <c r="BB1480" t="inlineStr">
        <is>
          <t>9780231076968</t>
        </is>
      </c>
      <c r="BC1480" t="inlineStr">
        <is>
          <t>32285003414553</t>
        </is>
      </c>
      <c r="BD1480" t="inlineStr">
        <is>
          <t>893797944</t>
        </is>
      </c>
    </row>
    <row r="1481">
      <c r="A1481" t="inlineStr">
        <is>
          <t>No</t>
        </is>
      </c>
      <c r="B1481" t="inlineStr">
        <is>
          <t>DJK42 .H86 1995</t>
        </is>
      </c>
      <c r="C1481" t="inlineStr">
        <is>
          <t>0                      DJK0042000H  86          1995</t>
        </is>
      </c>
      <c r="D1481" t="inlineStr">
        <is>
          <t>Conflict and chaos in Eastern Europe / Dennis P. Hupchick.</t>
        </is>
      </c>
      <c r="F1481" t="inlineStr">
        <is>
          <t>No</t>
        </is>
      </c>
      <c r="G1481" t="inlineStr">
        <is>
          <t>1</t>
        </is>
      </c>
      <c r="H1481" t="inlineStr">
        <is>
          <t>No</t>
        </is>
      </c>
      <c r="I1481" t="inlineStr">
        <is>
          <t>No</t>
        </is>
      </c>
      <c r="J1481" t="inlineStr">
        <is>
          <t>0</t>
        </is>
      </c>
      <c r="K1481" t="inlineStr">
        <is>
          <t>Hupchick, Dennis P.</t>
        </is>
      </c>
      <c r="L1481" t="inlineStr">
        <is>
          <t>New York : St. Martin's Press, 1995.</t>
        </is>
      </c>
      <c r="M1481" t="inlineStr">
        <is>
          <t>1995</t>
        </is>
      </c>
      <c r="O1481" t="inlineStr">
        <is>
          <t>eng</t>
        </is>
      </c>
      <c r="P1481" t="inlineStr">
        <is>
          <t>nyu</t>
        </is>
      </c>
      <c r="R1481" t="inlineStr">
        <is>
          <t>DJK</t>
        </is>
      </c>
      <c r="S1481" t="n">
        <v>6</v>
      </c>
      <c r="T1481" t="n">
        <v>6</v>
      </c>
      <c r="U1481" t="inlineStr">
        <is>
          <t>1996-11-04</t>
        </is>
      </c>
      <c r="V1481" t="inlineStr">
        <is>
          <t>1996-11-04</t>
        </is>
      </c>
      <c r="W1481" t="inlineStr">
        <is>
          <t>1996-01-08</t>
        </is>
      </c>
      <c r="X1481" t="inlineStr">
        <is>
          <t>1996-01-08</t>
        </is>
      </c>
      <c r="Y1481" t="n">
        <v>514</v>
      </c>
      <c r="Z1481" t="n">
        <v>437</v>
      </c>
      <c r="AA1481" t="n">
        <v>437</v>
      </c>
      <c r="AB1481" t="n">
        <v>4</v>
      </c>
      <c r="AC1481" t="n">
        <v>4</v>
      </c>
      <c r="AD1481" t="n">
        <v>24</v>
      </c>
      <c r="AE1481" t="n">
        <v>24</v>
      </c>
      <c r="AF1481" t="n">
        <v>10</v>
      </c>
      <c r="AG1481" t="n">
        <v>10</v>
      </c>
      <c r="AH1481" t="n">
        <v>6</v>
      </c>
      <c r="AI1481" t="n">
        <v>6</v>
      </c>
      <c r="AJ1481" t="n">
        <v>11</v>
      </c>
      <c r="AK1481" t="n">
        <v>11</v>
      </c>
      <c r="AL1481" t="n">
        <v>3</v>
      </c>
      <c r="AM1481" t="n">
        <v>3</v>
      </c>
      <c r="AN1481" t="n">
        <v>1</v>
      </c>
      <c r="AO1481" t="n">
        <v>1</v>
      </c>
      <c r="AP1481" t="inlineStr">
        <is>
          <t>No</t>
        </is>
      </c>
      <c r="AQ1481" t="inlineStr">
        <is>
          <t>No</t>
        </is>
      </c>
      <c r="AS1481">
        <f>HYPERLINK("https://creighton-primo.hosted.exlibrisgroup.com/primo-explore/search?tab=default_tab&amp;search_scope=EVERYTHING&amp;vid=01CRU&amp;lang=en_US&amp;offset=0&amp;query=any,contains,991002401099702656","Catalog Record")</f>
        <v/>
      </c>
      <c r="AT1481">
        <f>HYPERLINK("http://www.worldcat.org/oclc/31207018","WorldCat Record")</f>
        <v/>
      </c>
      <c r="AU1481" t="inlineStr">
        <is>
          <t>10568001102:eng</t>
        </is>
      </c>
      <c r="AV1481" t="inlineStr">
        <is>
          <t>31207018</t>
        </is>
      </c>
      <c r="AW1481" t="inlineStr">
        <is>
          <t>991002401099702656</t>
        </is>
      </c>
      <c r="AX1481" t="inlineStr">
        <is>
          <t>991002401099702656</t>
        </is>
      </c>
      <c r="AY1481" t="inlineStr">
        <is>
          <t>2257275090002656</t>
        </is>
      </c>
      <c r="AZ1481" t="inlineStr">
        <is>
          <t>BOOK</t>
        </is>
      </c>
      <c r="BB1481" t="inlineStr">
        <is>
          <t>9780312121167</t>
        </is>
      </c>
      <c r="BC1481" t="inlineStr">
        <is>
          <t>32285002115227</t>
        </is>
      </c>
      <c r="BD1481" t="inlineStr">
        <is>
          <t>893685323</t>
        </is>
      </c>
    </row>
    <row r="1482">
      <c r="A1482" t="inlineStr">
        <is>
          <t>No</t>
        </is>
      </c>
      <c r="B1482" t="inlineStr">
        <is>
          <t>DJK45.S65 C48 1993</t>
        </is>
      </c>
      <c r="C1482" t="inlineStr">
        <is>
          <t>0                      DJK0045000S  65                 C  48          1993</t>
        </is>
      </c>
      <c r="D1482" t="inlineStr">
        <is>
          <t>Gorbachev, reform, and the Brezhnev doctrine : Soviet policy toward Eastern Europe, 1985-1990 / Glenn R. Chafetz.</t>
        </is>
      </c>
      <c r="F1482" t="inlineStr">
        <is>
          <t>No</t>
        </is>
      </c>
      <c r="G1482" t="inlineStr">
        <is>
          <t>1</t>
        </is>
      </c>
      <c r="H1482" t="inlineStr">
        <is>
          <t>No</t>
        </is>
      </c>
      <c r="I1482" t="inlineStr">
        <is>
          <t>No</t>
        </is>
      </c>
      <c r="J1482" t="inlineStr">
        <is>
          <t>0</t>
        </is>
      </c>
      <c r="K1482" t="inlineStr">
        <is>
          <t>Chafetz, Glenn R.</t>
        </is>
      </c>
      <c r="L1482" t="inlineStr">
        <is>
          <t>Westport, Conn. : Praeger, 1993.</t>
        </is>
      </c>
      <c r="M1482" t="inlineStr">
        <is>
          <t>1993</t>
        </is>
      </c>
      <c r="O1482" t="inlineStr">
        <is>
          <t>eng</t>
        </is>
      </c>
      <c r="P1482" t="inlineStr">
        <is>
          <t>ctu</t>
        </is>
      </c>
      <c r="R1482" t="inlineStr">
        <is>
          <t>DJK</t>
        </is>
      </c>
      <c r="S1482" t="n">
        <v>4</v>
      </c>
      <c r="T1482" t="n">
        <v>4</v>
      </c>
      <c r="U1482" t="inlineStr">
        <is>
          <t>1996-09-10</t>
        </is>
      </c>
      <c r="V1482" t="inlineStr">
        <is>
          <t>1996-09-10</t>
        </is>
      </c>
      <c r="W1482" t="inlineStr">
        <is>
          <t>1993-07-06</t>
        </is>
      </c>
      <c r="X1482" t="inlineStr">
        <is>
          <t>1993-07-06</t>
        </is>
      </c>
      <c r="Y1482" t="n">
        <v>300</v>
      </c>
      <c r="Z1482" t="n">
        <v>233</v>
      </c>
      <c r="AA1482" t="n">
        <v>234</v>
      </c>
      <c r="AB1482" t="n">
        <v>2</v>
      </c>
      <c r="AC1482" t="n">
        <v>2</v>
      </c>
      <c r="AD1482" t="n">
        <v>13</v>
      </c>
      <c r="AE1482" t="n">
        <v>13</v>
      </c>
      <c r="AF1482" t="n">
        <v>3</v>
      </c>
      <c r="AG1482" t="n">
        <v>3</v>
      </c>
      <c r="AH1482" t="n">
        <v>5</v>
      </c>
      <c r="AI1482" t="n">
        <v>5</v>
      </c>
      <c r="AJ1482" t="n">
        <v>9</v>
      </c>
      <c r="AK1482" t="n">
        <v>9</v>
      </c>
      <c r="AL1482" t="n">
        <v>1</v>
      </c>
      <c r="AM1482" t="n">
        <v>1</v>
      </c>
      <c r="AN1482" t="n">
        <v>0</v>
      </c>
      <c r="AO1482" t="n">
        <v>0</v>
      </c>
      <c r="AP1482" t="inlineStr">
        <is>
          <t>No</t>
        </is>
      </c>
      <c r="AQ1482" t="inlineStr">
        <is>
          <t>Yes</t>
        </is>
      </c>
      <c r="AR1482">
        <f>HYPERLINK("http://catalog.hathitrust.org/Record/002652334","HathiTrust Record")</f>
        <v/>
      </c>
      <c r="AS1482">
        <f>HYPERLINK("https://creighton-primo.hosted.exlibrisgroup.com/primo-explore/search?tab=default_tab&amp;search_scope=EVERYTHING&amp;vid=01CRU&amp;lang=en_US&amp;offset=0&amp;query=any,contains,991002071589702656","Catalog Record")</f>
        <v/>
      </c>
      <c r="AT1482">
        <f>HYPERLINK("http://www.worldcat.org/oclc/26546105","WorldCat Record")</f>
        <v/>
      </c>
      <c r="AU1482" t="inlineStr">
        <is>
          <t>365189566:eng</t>
        </is>
      </c>
      <c r="AV1482" t="inlineStr">
        <is>
          <t>26546105</t>
        </is>
      </c>
      <c r="AW1482" t="inlineStr">
        <is>
          <t>991002071589702656</t>
        </is>
      </c>
      <c r="AX1482" t="inlineStr">
        <is>
          <t>991002071589702656</t>
        </is>
      </c>
      <c r="AY1482" t="inlineStr">
        <is>
          <t>2259783340002656</t>
        </is>
      </c>
      <c r="AZ1482" t="inlineStr">
        <is>
          <t>BOOK</t>
        </is>
      </c>
      <c r="BB1482" t="inlineStr">
        <is>
          <t>9780275944841</t>
        </is>
      </c>
      <c r="BC1482" t="inlineStr">
        <is>
          <t>32285001701670</t>
        </is>
      </c>
      <c r="BD1482" t="inlineStr">
        <is>
          <t>893621873</t>
        </is>
      </c>
    </row>
    <row r="1483">
      <c r="A1483" t="inlineStr">
        <is>
          <t>No</t>
        </is>
      </c>
      <c r="B1483" t="inlineStr">
        <is>
          <t>DJK45.S65 D38 1990</t>
        </is>
      </c>
      <c r="C1483" t="inlineStr">
        <is>
          <t>0                      DJK0045000S  65                 D  38          1990</t>
        </is>
      </c>
      <c r="D1483" t="inlineStr">
        <is>
          <t>Eastern Europe, Gorbachev, and reform : the great challenge / Karen Dawisha.</t>
        </is>
      </c>
      <c r="F1483" t="inlineStr">
        <is>
          <t>No</t>
        </is>
      </c>
      <c r="G1483" t="inlineStr">
        <is>
          <t>1</t>
        </is>
      </c>
      <c r="H1483" t="inlineStr">
        <is>
          <t>No</t>
        </is>
      </c>
      <c r="I1483" t="inlineStr">
        <is>
          <t>No</t>
        </is>
      </c>
      <c r="J1483" t="inlineStr">
        <is>
          <t>0</t>
        </is>
      </c>
      <c r="K1483" t="inlineStr">
        <is>
          <t>Dawisha, Karen.</t>
        </is>
      </c>
      <c r="L1483" t="inlineStr">
        <is>
          <t>Cambridge [England] ; New York : Cambridge University Press, 1990.</t>
        </is>
      </c>
      <c r="M1483" t="inlineStr">
        <is>
          <t>1990</t>
        </is>
      </c>
      <c r="N1483" t="inlineStr">
        <is>
          <t>2nd ed.</t>
        </is>
      </c>
      <c r="O1483" t="inlineStr">
        <is>
          <t>eng</t>
        </is>
      </c>
      <c r="P1483" t="inlineStr">
        <is>
          <t>enk</t>
        </is>
      </c>
      <c r="R1483" t="inlineStr">
        <is>
          <t>DJK</t>
        </is>
      </c>
      <c r="S1483" t="n">
        <v>4</v>
      </c>
      <c r="T1483" t="n">
        <v>4</v>
      </c>
      <c r="U1483" t="inlineStr">
        <is>
          <t>2010-04-19</t>
        </is>
      </c>
      <c r="V1483" t="inlineStr">
        <is>
          <t>2010-04-19</t>
        </is>
      </c>
      <c r="W1483" t="inlineStr">
        <is>
          <t>1991-04-03</t>
        </is>
      </c>
      <c r="X1483" t="inlineStr">
        <is>
          <t>1991-04-03</t>
        </is>
      </c>
      <c r="Y1483" t="n">
        <v>594</v>
      </c>
      <c r="Z1483" t="n">
        <v>422</v>
      </c>
      <c r="AA1483" t="n">
        <v>752</v>
      </c>
      <c r="AB1483" t="n">
        <v>4</v>
      </c>
      <c r="AC1483" t="n">
        <v>5</v>
      </c>
      <c r="AD1483" t="n">
        <v>17</v>
      </c>
      <c r="AE1483" t="n">
        <v>35</v>
      </c>
      <c r="AF1483" t="n">
        <v>5</v>
      </c>
      <c r="AG1483" t="n">
        <v>13</v>
      </c>
      <c r="AH1483" t="n">
        <v>3</v>
      </c>
      <c r="AI1483" t="n">
        <v>10</v>
      </c>
      <c r="AJ1483" t="n">
        <v>9</v>
      </c>
      <c r="AK1483" t="n">
        <v>16</v>
      </c>
      <c r="AL1483" t="n">
        <v>3</v>
      </c>
      <c r="AM1483" t="n">
        <v>4</v>
      </c>
      <c r="AN1483" t="n">
        <v>1</v>
      </c>
      <c r="AO1483" t="n">
        <v>2</v>
      </c>
      <c r="AP1483" t="inlineStr">
        <is>
          <t>No</t>
        </is>
      </c>
      <c r="AQ1483" t="inlineStr">
        <is>
          <t>No</t>
        </is>
      </c>
      <c r="AS1483">
        <f>HYPERLINK("https://creighton-primo.hosted.exlibrisgroup.com/primo-explore/search?tab=default_tab&amp;search_scope=EVERYTHING&amp;vid=01CRU&amp;lang=en_US&amp;offset=0&amp;query=any,contains,991001677619702656","Catalog Record")</f>
        <v/>
      </c>
      <c r="AT1483">
        <f>HYPERLINK("http://www.worldcat.org/oclc/21334208","WorldCat Record")</f>
        <v/>
      </c>
      <c r="AU1483" t="inlineStr">
        <is>
          <t>836754585:eng</t>
        </is>
      </c>
      <c r="AV1483" t="inlineStr">
        <is>
          <t>21334208</t>
        </is>
      </c>
      <c r="AW1483" t="inlineStr">
        <is>
          <t>991001677619702656</t>
        </is>
      </c>
      <c r="AX1483" t="inlineStr">
        <is>
          <t>991001677619702656</t>
        </is>
      </c>
      <c r="AY1483" t="inlineStr">
        <is>
          <t>2261945380002656</t>
        </is>
      </c>
      <c r="AZ1483" t="inlineStr">
        <is>
          <t>BOOK</t>
        </is>
      </c>
      <c r="BB1483" t="inlineStr">
        <is>
          <t>9780521386524</t>
        </is>
      </c>
      <c r="BC1483" t="inlineStr">
        <is>
          <t>32285000514298</t>
        </is>
      </c>
      <c r="BD1483" t="inlineStr">
        <is>
          <t>893872709</t>
        </is>
      </c>
    </row>
    <row r="1484">
      <c r="A1484" t="inlineStr">
        <is>
          <t>No</t>
        </is>
      </c>
      <c r="B1484" t="inlineStr">
        <is>
          <t>DJK45.S65 G47 1985</t>
        </is>
      </c>
      <c r="C1484" t="inlineStr">
        <is>
          <t>0                      DJK0045000S  65                 G  47          1985</t>
        </is>
      </c>
      <c r="D1484" t="inlineStr">
        <is>
          <t>The Soviet Union and Central Europe in the post-war era : a study in precarious security / Kristian Gerner.</t>
        </is>
      </c>
      <c r="F1484" t="inlineStr">
        <is>
          <t>No</t>
        </is>
      </c>
      <c r="G1484" t="inlineStr">
        <is>
          <t>1</t>
        </is>
      </c>
      <c r="H1484" t="inlineStr">
        <is>
          <t>No</t>
        </is>
      </c>
      <c r="I1484" t="inlineStr">
        <is>
          <t>No</t>
        </is>
      </c>
      <c r="J1484" t="inlineStr">
        <is>
          <t>0</t>
        </is>
      </c>
      <c r="K1484" t="inlineStr">
        <is>
          <t>Gerner, Kristian, 1942-</t>
        </is>
      </c>
      <c r="L1484" t="inlineStr">
        <is>
          <t>New York : St. Martin's Press, 1985.</t>
        </is>
      </c>
      <c r="M1484" t="inlineStr">
        <is>
          <t>1985</t>
        </is>
      </c>
      <c r="O1484" t="inlineStr">
        <is>
          <t>eng</t>
        </is>
      </c>
      <c r="P1484" t="inlineStr">
        <is>
          <t>nyu</t>
        </is>
      </c>
      <c r="R1484" t="inlineStr">
        <is>
          <t>DJK</t>
        </is>
      </c>
      <c r="S1484" t="n">
        <v>4</v>
      </c>
      <c r="T1484" t="n">
        <v>4</v>
      </c>
      <c r="U1484" t="inlineStr">
        <is>
          <t>1995-11-05</t>
        </is>
      </c>
      <c r="V1484" t="inlineStr">
        <is>
          <t>1995-11-05</t>
        </is>
      </c>
      <c r="W1484" t="inlineStr">
        <is>
          <t>1993-09-09</t>
        </is>
      </c>
      <c r="X1484" t="inlineStr">
        <is>
          <t>1993-09-09</t>
        </is>
      </c>
      <c r="Y1484" t="n">
        <v>222</v>
      </c>
      <c r="Z1484" t="n">
        <v>199</v>
      </c>
      <c r="AA1484" t="n">
        <v>240</v>
      </c>
      <c r="AB1484" t="n">
        <v>2</v>
      </c>
      <c r="AC1484" t="n">
        <v>4</v>
      </c>
      <c r="AD1484" t="n">
        <v>10</v>
      </c>
      <c r="AE1484" t="n">
        <v>12</v>
      </c>
      <c r="AF1484" t="n">
        <v>1</v>
      </c>
      <c r="AG1484" t="n">
        <v>1</v>
      </c>
      <c r="AH1484" t="n">
        <v>4</v>
      </c>
      <c r="AI1484" t="n">
        <v>4</v>
      </c>
      <c r="AJ1484" t="n">
        <v>5</v>
      </c>
      <c r="AK1484" t="n">
        <v>5</v>
      </c>
      <c r="AL1484" t="n">
        <v>1</v>
      </c>
      <c r="AM1484" t="n">
        <v>3</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HYPERLINK("https://creighton-primo.hosted.exlibrisgroup.com/primo-explore/search?tab=default_tab&amp;search_scope=EVERYTHING&amp;vid=01CRU&amp;lang=en_US&amp;offset=0&amp;query=any,contains,991000523479702656","Catalog Record")</f>
        <v/>
      </c>
      <c r="AT1484">
        <f>HYPERLINK("http://www.worldcat.org/oclc/11346483","WorldCat Record")</f>
        <v/>
      </c>
      <c r="AU1484" t="inlineStr">
        <is>
          <t>839916033:eng</t>
        </is>
      </c>
      <c r="AV1484" t="inlineStr">
        <is>
          <t>11346483</t>
        </is>
      </c>
      <c r="AW1484" t="inlineStr">
        <is>
          <t>991000523479702656</t>
        </is>
      </c>
      <c r="AX1484" t="inlineStr">
        <is>
          <t>991000523479702656</t>
        </is>
      </c>
      <c r="AY1484" t="inlineStr">
        <is>
          <t>2262933300002656</t>
        </is>
      </c>
      <c r="AZ1484" t="inlineStr">
        <is>
          <t>BOOK</t>
        </is>
      </c>
      <c r="BB1484" t="inlineStr">
        <is>
          <t>9780312749057</t>
        </is>
      </c>
      <c r="BC1484" t="inlineStr">
        <is>
          <t>32285001765386</t>
        </is>
      </c>
      <c r="BD1484" t="inlineStr">
        <is>
          <t>893702200</t>
        </is>
      </c>
    </row>
    <row r="1485">
      <c r="A1485" t="inlineStr">
        <is>
          <t>No</t>
        </is>
      </c>
      <c r="B1485" t="inlineStr">
        <is>
          <t>DJK45.S65 J66</t>
        </is>
      </c>
      <c r="C1485" t="inlineStr">
        <is>
          <t>0                      DJK0045000S  65                 J  66</t>
        </is>
      </c>
      <c r="D1485" t="inlineStr">
        <is>
          <t>Soviet influence in Eastern Europe : political autonomy and the Warsaw Pact / Christopher D. Jones.</t>
        </is>
      </c>
      <c r="F1485" t="inlineStr">
        <is>
          <t>No</t>
        </is>
      </c>
      <c r="G1485" t="inlineStr">
        <is>
          <t>1</t>
        </is>
      </c>
      <c r="H1485" t="inlineStr">
        <is>
          <t>No</t>
        </is>
      </c>
      <c r="I1485" t="inlineStr">
        <is>
          <t>No</t>
        </is>
      </c>
      <c r="J1485" t="inlineStr">
        <is>
          <t>0</t>
        </is>
      </c>
      <c r="K1485" t="inlineStr">
        <is>
          <t>Jones, Christopher D.</t>
        </is>
      </c>
      <c r="L1485" t="inlineStr">
        <is>
          <t>Brooklyn, N.Y. : Praeger, 1981.</t>
        </is>
      </c>
      <c r="M1485" t="inlineStr">
        <is>
          <t>1981</t>
        </is>
      </c>
      <c r="O1485" t="inlineStr">
        <is>
          <t>eng</t>
        </is>
      </c>
      <c r="P1485" t="inlineStr">
        <is>
          <t>nyu</t>
        </is>
      </c>
      <c r="Q1485" t="inlineStr">
        <is>
          <t>Studies of influence in international relations</t>
        </is>
      </c>
      <c r="R1485" t="inlineStr">
        <is>
          <t>DJK</t>
        </is>
      </c>
      <c r="S1485" t="n">
        <v>2</v>
      </c>
      <c r="T1485" t="n">
        <v>2</v>
      </c>
      <c r="U1485" t="inlineStr">
        <is>
          <t>2007-11-11</t>
        </is>
      </c>
      <c r="V1485" t="inlineStr">
        <is>
          <t>2007-11-11</t>
        </is>
      </c>
      <c r="W1485" t="inlineStr">
        <is>
          <t>1990-06-05</t>
        </is>
      </c>
      <c r="X1485" t="inlineStr">
        <is>
          <t>1990-06-05</t>
        </is>
      </c>
      <c r="Y1485" t="n">
        <v>615</v>
      </c>
      <c r="Z1485" t="n">
        <v>497</v>
      </c>
      <c r="AA1485" t="n">
        <v>504</v>
      </c>
      <c r="AB1485" t="n">
        <v>5</v>
      </c>
      <c r="AC1485" t="n">
        <v>5</v>
      </c>
      <c r="AD1485" t="n">
        <v>21</v>
      </c>
      <c r="AE1485" t="n">
        <v>21</v>
      </c>
      <c r="AF1485" t="n">
        <v>8</v>
      </c>
      <c r="AG1485" t="n">
        <v>8</v>
      </c>
      <c r="AH1485" t="n">
        <v>3</v>
      </c>
      <c r="AI1485" t="n">
        <v>3</v>
      </c>
      <c r="AJ1485" t="n">
        <v>10</v>
      </c>
      <c r="AK1485" t="n">
        <v>10</v>
      </c>
      <c r="AL1485" t="n">
        <v>4</v>
      </c>
      <c r="AM1485" t="n">
        <v>4</v>
      </c>
      <c r="AN1485" t="n">
        <v>0</v>
      </c>
      <c r="AO1485" t="n">
        <v>0</v>
      </c>
      <c r="AP1485" t="inlineStr">
        <is>
          <t>No</t>
        </is>
      </c>
      <c r="AQ1485" t="inlineStr">
        <is>
          <t>Yes</t>
        </is>
      </c>
      <c r="AR1485">
        <f>HYPERLINK("http://catalog.hathitrust.org/Record/000180861","HathiTrust Record")</f>
        <v/>
      </c>
      <c r="AS1485">
        <f>HYPERLINK("https://creighton-primo.hosted.exlibrisgroup.com/primo-explore/search?tab=default_tab&amp;search_scope=EVERYTHING&amp;vid=01CRU&amp;lang=en_US&amp;offset=0&amp;query=any,contains,991005116759702656","Catalog Record")</f>
        <v/>
      </c>
      <c r="AT1485">
        <f>HYPERLINK("http://www.worldcat.org/oclc/7463245","WorldCat Record")</f>
        <v/>
      </c>
      <c r="AU1485" t="inlineStr">
        <is>
          <t>889929810:eng</t>
        </is>
      </c>
      <c r="AV1485" t="inlineStr">
        <is>
          <t>7463245</t>
        </is>
      </c>
      <c r="AW1485" t="inlineStr">
        <is>
          <t>991005116759702656</t>
        </is>
      </c>
      <c r="AX1485" t="inlineStr">
        <is>
          <t>991005116759702656</t>
        </is>
      </c>
      <c r="AY1485" t="inlineStr">
        <is>
          <t>2264253370002656</t>
        </is>
      </c>
      <c r="AZ1485" t="inlineStr">
        <is>
          <t>BOOK</t>
        </is>
      </c>
      <c r="BB1485" t="inlineStr">
        <is>
          <t>9780030490767</t>
        </is>
      </c>
      <c r="BC1485" t="inlineStr">
        <is>
          <t>32285000181569</t>
        </is>
      </c>
      <c r="BD1485" t="inlineStr">
        <is>
          <t>893883356</t>
        </is>
      </c>
    </row>
    <row r="1486">
      <c r="A1486" t="inlineStr">
        <is>
          <t>No</t>
        </is>
      </c>
      <c r="B1486" t="inlineStr">
        <is>
          <t>DJK45.S65 S662 1990</t>
        </is>
      </c>
      <c r="C1486" t="inlineStr">
        <is>
          <t>0                      DJK0045000S  65                 S  662         1990</t>
        </is>
      </c>
      <c r="D1486" t="inlineStr">
        <is>
          <t>The Soviet-East European relationship in the Gorbachev era : the prospects for adaptation / edited by Aurel Braun.</t>
        </is>
      </c>
      <c r="F1486" t="inlineStr">
        <is>
          <t>No</t>
        </is>
      </c>
      <c r="G1486" t="inlineStr">
        <is>
          <t>1</t>
        </is>
      </c>
      <c r="H1486" t="inlineStr">
        <is>
          <t>No</t>
        </is>
      </c>
      <c r="I1486" t="inlineStr">
        <is>
          <t>No</t>
        </is>
      </c>
      <c r="J1486" t="inlineStr">
        <is>
          <t>0</t>
        </is>
      </c>
      <c r="L1486" t="inlineStr">
        <is>
          <t>Boulder : Westview Press, 1990.</t>
        </is>
      </c>
      <c r="M1486" t="inlineStr">
        <is>
          <t>1990</t>
        </is>
      </c>
      <c r="O1486" t="inlineStr">
        <is>
          <t>eng</t>
        </is>
      </c>
      <c r="P1486" t="inlineStr">
        <is>
          <t>cou</t>
        </is>
      </c>
      <c r="Q1486" t="inlineStr">
        <is>
          <t>Westview special studies on the Soviet Union and Eastern Europe</t>
        </is>
      </c>
      <c r="R1486" t="inlineStr">
        <is>
          <t>DJK</t>
        </is>
      </c>
      <c r="S1486" t="n">
        <v>1</v>
      </c>
      <c r="T1486" t="n">
        <v>1</v>
      </c>
      <c r="U1486" t="inlineStr">
        <is>
          <t>1993-04-25</t>
        </is>
      </c>
      <c r="V1486" t="inlineStr">
        <is>
          <t>1993-04-25</t>
        </is>
      </c>
      <c r="W1486" t="inlineStr">
        <is>
          <t>1990-05-24</t>
        </is>
      </c>
      <c r="X1486" t="inlineStr">
        <is>
          <t>1990-05-24</t>
        </is>
      </c>
      <c r="Y1486" t="n">
        <v>283</v>
      </c>
      <c r="Z1486" t="n">
        <v>217</v>
      </c>
      <c r="AA1486" t="n">
        <v>243</v>
      </c>
      <c r="AB1486" t="n">
        <v>3</v>
      </c>
      <c r="AC1486" t="n">
        <v>3</v>
      </c>
      <c r="AD1486" t="n">
        <v>11</v>
      </c>
      <c r="AE1486" t="n">
        <v>11</v>
      </c>
      <c r="AF1486" t="n">
        <v>2</v>
      </c>
      <c r="AG1486" t="n">
        <v>2</v>
      </c>
      <c r="AH1486" t="n">
        <v>4</v>
      </c>
      <c r="AI1486" t="n">
        <v>4</v>
      </c>
      <c r="AJ1486" t="n">
        <v>7</v>
      </c>
      <c r="AK1486" t="n">
        <v>7</v>
      </c>
      <c r="AL1486" t="n">
        <v>2</v>
      </c>
      <c r="AM1486" t="n">
        <v>2</v>
      </c>
      <c r="AN1486" t="n">
        <v>0</v>
      </c>
      <c r="AO1486" t="n">
        <v>0</v>
      </c>
      <c r="AP1486" t="inlineStr">
        <is>
          <t>No</t>
        </is>
      </c>
      <c r="AQ1486" t="inlineStr">
        <is>
          <t>Yes</t>
        </is>
      </c>
      <c r="AR1486">
        <f>HYPERLINK("http://catalog.hathitrust.org/Record/001950125","HathiTrust Record")</f>
        <v/>
      </c>
      <c r="AS1486">
        <f>HYPERLINK("https://creighton-primo.hosted.exlibrisgroup.com/primo-explore/search?tab=default_tab&amp;search_scope=EVERYTHING&amp;vid=01CRU&amp;lang=en_US&amp;offset=0&amp;query=any,contains,991001593989702656","Catalog Record")</f>
        <v/>
      </c>
      <c r="AT1486">
        <f>HYPERLINK("http://www.worldcat.org/oclc/20595756","WorldCat Record")</f>
        <v/>
      </c>
      <c r="AU1486" t="inlineStr">
        <is>
          <t>891543214:eng</t>
        </is>
      </c>
      <c r="AV1486" t="inlineStr">
        <is>
          <t>20595756</t>
        </is>
      </c>
      <c r="AW1486" t="inlineStr">
        <is>
          <t>991001593989702656</t>
        </is>
      </c>
      <c r="AX1486" t="inlineStr">
        <is>
          <t>991001593989702656</t>
        </is>
      </c>
      <c r="AY1486" t="inlineStr">
        <is>
          <t>2270585480002656</t>
        </is>
      </c>
      <c r="AZ1486" t="inlineStr">
        <is>
          <t>BOOK</t>
        </is>
      </c>
      <c r="BB1486" t="inlineStr">
        <is>
          <t>9780813377995</t>
        </is>
      </c>
      <c r="BC1486" t="inlineStr">
        <is>
          <t>32285000139690</t>
        </is>
      </c>
      <c r="BD1486" t="inlineStr">
        <is>
          <t>893684419</t>
        </is>
      </c>
    </row>
    <row r="1487">
      <c r="A1487" t="inlineStr">
        <is>
          <t>No</t>
        </is>
      </c>
      <c r="B1487" t="inlineStr">
        <is>
          <t>DJK45.S65 S67 1988</t>
        </is>
      </c>
      <c r="C1487" t="inlineStr">
        <is>
          <t>0                      DJK0045000S  65                 S  67          1988</t>
        </is>
      </c>
      <c r="D1487" t="inlineStr">
        <is>
          <t>Soviet-East European survey, 1986-1987 : selected research and analysis from Radio Free Europe/Radio Liberty / edited by Vojtech Mastny.</t>
        </is>
      </c>
      <c r="F1487" t="inlineStr">
        <is>
          <t>No</t>
        </is>
      </c>
      <c r="G1487" t="inlineStr">
        <is>
          <t>1</t>
        </is>
      </c>
      <c r="H1487" t="inlineStr">
        <is>
          <t>No</t>
        </is>
      </c>
      <c r="I1487" t="inlineStr">
        <is>
          <t>No</t>
        </is>
      </c>
      <c r="J1487" t="inlineStr">
        <is>
          <t>0</t>
        </is>
      </c>
      <c r="L1487" t="inlineStr">
        <is>
          <t>Boulder : Westview Press, 1988.</t>
        </is>
      </c>
      <c r="M1487" t="inlineStr">
        <is>
          <t>1988</t>
        </is>
      </c>
      <c r="O1487" t="inlineStr">
        <is>
          <t>eng</t>
        </is>
      </c>
      <c r="P1487" t="inlineStr">
        <is>
          <t>cou</t>
        </is>
      </c>
      <c r="R1487" t="inlineStr">
        <is>
          <t>DJK</t>
        </is>
      </c>
      <c r="S1487" t="n">
        <v>1</v>
      </c>
      <c r="T1487" t="n">
        <v>1</v>
      </c>
      <c r="U1487" t="inlineStr">
        <is>
          <t>2010-04-20</t>
        </is>
      </c>
      <c r="V1487" t="inlineStr">
        <is>
          <t>2010-04-20</t>
        </is>
      </c>
      <c r="W1487" t="inlineStr">
        <is>
          <t>1991-11-25</t>
        </is>
      </c>
      <c r="X1487" t="inlineStr">
        <is>
          <t>1991-11-25</t>
        </is>
      </c>
      <c r="Y1487" t="n">
        <v>167</v>
      </c>
      <c r="Z1487" t="n">
        <v>141</v>
      </c>
      <c r="AA1487" t="n">
        <v>162</v>
      </c>
      <c r="AB1487" t="n">
        <v>1</v>
      </c>
      <c r="AC1487" t="n">
        <v>1</v>
      </c>
      <c r="AD1487" t="n">
        <v>6</v>
      </c>
      <c r="AE1487" t="n">
        <v>6</v>
      </c>
      <c r="AF1487" t="n">
        <v>2</v>
      </c>
      <c r="AG1487" t="n">
        <v>2</v>
      </c>
      <c r="AH1487" t="n">
        <v>4</v>
      </c>
      <c r="AI1487" t="n">
        <v>4</v>
      </c>
      <c r="AJ1487" t="n">
        <v>3</v>
      </c>
      <c r="AK1487" t="n">
        <v>3</v>
      </c>
      <c r="AL1487" t="n">
        <v>0</v>
      </c>
      <c r="AM1487" t="n">
        <v>0</v>
      </c>
      <c r="AN1487" t="n">
        <v>0</v>
      </c>
      <c r="AO1487" t="n">
        <v>0</v>
      </c>
      <c r="AP1487" t="inlineStr">
        <is>
          <t>No</t>
        </is>
      </c>
      <c r="AQ1487" t="inlineStr">
        <is>
          <t>Yes</t>
        </is>
      </c>
      <c r="AR1487">
        <f>HYPERLINK("http://catalog.hathitrust.org/Record/101884540","HathiTrust Record")</f>
        <v/>
      </c>
      <c r="AS1487">
        <f>HYPERLINK("https://creighton-primo.hosted.exlibrisgroup.com/primo-explore/search?tab=default_tab&amp;search_scope=EVERYTHING&amp;vid=01CRU&amp;lang=en_US&amp;offset=0&amp;query=any,contains,991001173819702656","Catalog Record")</f>
        <v/>
      </c>
      <c r="AT1487">
        <f>HYPERLINK("http://www.worldcat.org/oclc/16984537","WorldCat Record")</f>
        <v/>
      </c>
      <c r="AU1487" t="inlineStr">
        <is>
          <t>13878371:eng</t>
        </is>
      </c>
      <c r="AV1487" t="inlineStr">
        <is>
          <t>16984537</t>
        </is>
      </c>
      <c r="AW1487" t="inlineStr">
        <is>
          <t>991001173819702656</t>
        </is>
      </c>
      <c r="AX1487" t="inlineStr">
        <is>
          <t>991001173819702656</t>
        </is>
      </c>
      <c r="AY1487" t="inlineStr">
        <is>
          <t>2269701350002656</t>
        </is>
      </c>
      <c r="AZ1487" t="inlineStr">
        <is>
          <t>BOOK</t>
        </is>
      </c>
      <c r="BB1487" t="inlineStr">
        <is>
          <t>9780813374772</t>
        </is>
      </c>
      <c r="BC1487" t="inlineStr">
        <is>
          <t>32285000654490</t>
        </is>
      </c>
      <c r="BD1487" t="inlineStr">
        <is>
          <t>893696531</t>
        </is>
      </c>
    </row>
    <row r="1488">
      <c r="A1488" t="inlineStr">
        <is>
          <t>No</t>
        </is>
      </c>
      <c r="B1488" t="inlineStr">
        <is>
          <t>DJK45.S65 S68 1984</t>
        </is>
      </c>
      <c r="C1488" t="inlineStr">
        <is>
          <t>0                      DJK0045000S  65                 S  68          1984</t>
        </is>
      </c>
      <c r="D1488" t="inlineStr">
        <is>
          <t>Soviet policy in Eastern Europe / edited by Sarah Meiklejohn Terry.</t>
        </is>
      </c>
      <c r="F1488" t="inlineStr">
        <is>
          <t>No</t>
        </is>
      </c>
      <c r="G1488" t="inlineStr">
        <is>
          <t>1</t>
        </is>
      </c>
      <c r="H1488" t="inlineStr">
        <is>
          <t>No</t>
        </is>
      </c>
      <c r="I1488" t="inlineStr">
        <is>
          <t>No</t>
        </is>
      </c>
      <c r="J1488" t="inlineStr">
        <is>
          <t>0</t>
        </is>
      </c>
      <c r="L1488" t="inlineStr">
        <is>
          <t>[New Haven, CT : Yale University Press], 1984.</t>
        </is>
      </c>
      <c r="M1488" t="inlineStr">
        <is>
          <t>1984</t>
        </is>
      </c>
      <c r="O1488" t="inlineStr">
        <is>
          <t>eng</t>
        </is>
      </c>
      <c r="P1488" t="inlineStr">
        <is>
          <t>ctu</t>
        </is>
      </c>
      <c r="R1488" t="inlineStr">
        <is>
          <t>DJK</t>
        </is>
      </c>
      <c r="S1488" t="n">
        <v>2</v>
      </c>
      <c r="T1488" t="n">
        <v>2</v>
      </c>
      <c r="U1488" t="inlineStr">
        <is>
          <t>1993-11-10</t>
        </is>
      </c>
      <c r="V1488" t="inlineStr">
        <is>
          <t>1993-11-10</t>
        </is>
      </c>
      <c r="W1488" t="inlineStr">
        <is>
          <t>1991-04-24</t>
        </is>
      </c>
      <c r="X1488" t="inlineStr">
        <is>
          <t>1991-04-24</t>
        </is>
      </c>
      <c r="Y1488" t="n">
        <v>730</v>
      </c>
      <c r="Z1488" t="n">
        <v>593</v>
      </c>
      <c r="AA1488" t="n">
        <v>750</v>
      </c>
      <c r="AB1488" t="n">
        <v>6</v>
      </c>
      <c r="AC1488" t="n">
        <v>6</v>
      </c>
      <c r="AD1488" t="n">
        <v>35</v>
      </c>
      <c r="AE1488" t="n">
        <v>42</v>
      </c>
      <c r="AF1488" t="n">
        <v>14</v>
      </c>
      <c r="AG1488" t="n">
        <v>17</v>
      </c>
      <c r="AH1488" t="n">
        <v>8</v>
      </c>
      <c r="AI1488" t="n">
        <v>10</v>
      </c>
      <c r="AJ1488" t="n">
        <v>18</v>
      </c>
      <c r="AK1488" t="n">
        <v>19</v>
      </c>
      <c r="AL1488" t="n">
        <v>5</v>
      </c>
      <c r="AM1488" t="n">
        <v>5</v>
      </c>
      <c r="AN1488" t="n">
        <v>0</v>
      </c>
      <c r="AO1488" t="n">
        <v>2</v>
      </c>
      <c r="AP1488" t="inlineStr">
        <is>
          <t>No</t>
        </is>
      </c>
      <c r="AQ1488" t="inlineStr">
        <is>
          <t>No</t>
        </is>
      </c>
      <c r="AS1488">
        <f>HYPERLINK("https://creighton-primo.hosted.exlibrisgroup.com/primo-explore/search?tab=default_tab&amp;search_scope=EVERYTHING&amp;vid=01CRU&amp;lang=en_US&amp;offset=0&amp;query=any,contains,991000313319702656","Catalog Record")</f>
        <v/>
      </c>
      <c r="AT1488">
        <f>HYPERLINK("http://www.worldcat.org/oclc/10100824","WorldCat Record")</f>
        <v/>
      </c>
      <c r="AU1488" t="inlineStr">
        <is>
          <t>54607338:eng</t>
        </is>
      </c>
      <c r="AV1488" t="inlineStr">
        <is>
          <t>10100824</t>
        </is>
      </c>
      <c r="AW1488" t="inlineStr">
        <is>
          <t>991000313319702656</t>
        </is>
      </c>
      <c r="AX1488" t="inlineStr">
        <is>
          <t>991000313319702656</t>
        </is>
      </c>
      <c r="AY1488" t="inlineStr">
        <is>
          <t>2256135770002656</t>
        </is>
      </c>
      <c r="AZ1488" t="inlineStr">
        <is>
          <t>BOOK</t>
        </is>
      </c>
      <c r="BB1488" t="inlineStr">
        <is>
          <t>9780300031317</t>
        </is>
      </c>
      <c r="BC1488" t="inlineStr">
        <is>
          <t>32285000522796</t>
        </is>
      </c>
      <c r="BD1488" t="inlineStr">
        <is>
          <t>893502389</t>
        </is>
      </c>
    </row>
    <row r="1489">
      <c r="A1489" t="inlineStr">
        <is>
          <t>No</t>
        </is>
      </c>
      <c r="B1489" t="inlineStr">
        <is>
          <t>DJK45.U5 U55 1989</t>
        </is>
      </c>
      <c r="C1489" t="inlineStr">
        <is>
          <t>0                      DJK0045000U  5                  U  55          1989</t>
        </is>
      </c>
      <c r="D1489" t="inlineStr">
        <is>
          <t>United States-East European relations in the 1990s / edited by Richard F. Staar.</t>
        </is>
      </c>
      <c r="F1489" t="inlineStr">
        <is>
          <t>No</t>
        </is>
      </c>
      <c r="G1489" t="inlineStr">
        <is>
          <t>1</t>
        </is>
      </c>
      <c r="H1489" t="inlineStr">
        <is>
          <t>No</t>
        </is>
      </c>
      <c r="I1489" t="inlineStr">
        <is>
          <t>No</t>
        </is>
      </c>
      <c r="J1489" t="inlineStr">
        <is>
          <t>0</t>
        </is>
      </c>
      <c r="L1489" t="inlineStr">
        <is>
          <t>New York : Crane Russak, 1989.</t>
        </is>
      </c>
      <c r="M1489" t="inlineStr">
        <is>
          <t>1989</t>
        </is>
      </c>
      <c r="O1489" t="inlineStr">
        <is>
          <t>eng</t>
        </is>
      </c>
      <c r="P1489" t="inlineStr">
        <is>
          <t>nyu</t>
        </is>
      </c>
      <c r="R1489" t="inlineStr">
        <is>
          <t>DJK</t>
        </is>
      </c>
      <c r="S1489" t="n">
        <v>2</v>
      </c>
      <c r="T1489" t="n">
        <v>2</v>
      </c>
      <c r="U1489" t="inlineStr">
        <is>
          <t>1993-11-09</t>
        </is>
      </c>
      <c r="V1489" t="inlineStr">
        <is>
          <t>1993-11-09</t>
        </is>
      </c>
      <c r="W1489" t="inlineStr">
        <is>
          <t>1991-01-25</t>
        </is>
      </c>
      <c r="X1489" t="inlineStr">
        <is>
          <t>1991-01-25</t>
        </is>
      </c>
      <c r="Y1489" t="n">
        <v>321</v>
      </c>
      <c r="Z1489" t="n">
        <v>251</v>
      </c>
      <c r="AA1489" t="n">
        <v>258</v>
      </c>
      <c r="AB1489" t="n">
        <v>3</v>
      </c>
      <c r="AC1489" t="n">
        <v>3</v>
      </c>
      <c r="AD1489" t="n">
        <v>13</v>
      </c>
      <c r="AE1489" t="n">
        <v>13</v>
      </c>
      <c r="AF1489" t="n">
        <v>4</v>
      </c>
      <c r="AG1489" t="n">
        <v>4</v>
      </c>
      <c r="AH1489" t="n">
        <v>5</v>
      </c>
      <c r="AI1489" t="n">
        <v>5</v>
      </c>
      <c r="AJ1489" t="n">
        <v>7</v>
      </c>
      <c r="AK1489" t="n">
        <v>7</v>
      </c>
      <c r="AL1489" t="n">
        <v>2</v>
      </c>
      <c r="AM1489" t="n">
        <v>2</v>
      </c>
      <c r="AN1489" t="n">
        <v>0</v>
      </c>
      <c r="AO1489" t="n">
        <v>0</v>
      </c>
      <c r="AP1489" t="inlineStr">
        <is>
          <t>No</t>
        </is>
      </c>
      <c r="AQ1489" t="inlineStr">
        <is>
          <t>Yes</t>
        </is>
      </c>
      <c r="AR1489">
        <f>HYPERLINK("http://catalog.hathitrust.org/Record/001543680","HathiTrust Record")</f>
        <v/>
      </c>
      <c r="AS1489">
        <f>HYPERLINK("https://creighton-primo.hosted.exlibrisgroup.com/primo-explore/search?tab=default_tab&amp;search_scope=EVERYTHING&amp;vid=01CRU&amp;lang=en_US&amp;offset=0&amp;query=any,contains,991001468329702656","Catalog Record")</f>
        <v/>
      </c>
      <c r="AT1489">
        <f>HYPERLINK("http://www.worldcat.org/oclc/19516386","WorldCat Record")</f>
        <v/>
      </c>
      <c r="AU1489" t="inlineStr">
        <is>
          <t>21387520:eng</t>
        </is>
      </c>
      <c r="AV1489" t="inlineStr">
        <is>
          <t>19516386</t>
        </is>
      </c>
      <c r="AW1489" t="inlineStr">
        <is>
          <t>991001468329702656</t>
        </is>
      </c>
      <c r="AX1489" t="inlineStr">
        <is>
          <t>991001468329702656</t>
        </is>
      </c>
      <c r="AY1489" t="inlineStr">
        <is>
          <t>2258368250002656</t>
        </is>
      </c>
      <c r="AZ1489" t="inlineStr">
        <is>
          <t>BOOK</t>
        </is>
      </c>
      <c r="BB1489" t="inlineStr">
        <is>
          <t>9780844816135</t>
        </is>
      </c>
      <c r="BC1489" t="inlineStr">
        <is>
          <t>32285000460757</t>
        </is>
      </c>
      <c r="BD1489" t="inlineStr">
        <is>
          <t>893866253</t>
        </is>
      </c>
    </row>
    <row r="1490">
      <c r="A1490" t="inlineStr">
        <is>
          <t>No</t>
        </is>
      </c>
      <c r="B1490" t="inlineStr">
        <is>
          <t>DJK46 .B99 1992</t>
        </is>
      </c>
      <c r="C1490" t="inlineStr">
        <is>
          <t>0                      DJK0046000B  99          1992</t>
        </is>
      </c>
      <c r="D1490" t="inlineStr">
        <is>
          <t>Byzantine studies : essays on the Slavic world and the eleventh century / edited by Speros Vryonis, Jr. ; with contributions by Henrik Birnbaum .. [et al.].</t>
        </is>
      </c>
      <c r="F1490" t="inlineStr">
        <is>
          <t>No</t>
        </is>
      </c>
      <c r="G1490" t="inlineStr">
        <is>
          <t>1</t>
        </is>
      </c>
      <c r="H1490" t="inlineStr">
        <is>
          <t>No</t>
        </is>
      </c>
      <c r="I1490" t="inlineStr">
        <is>
          <t>No</t>
        </is>
      </c>
      <c r="J1490" t="inlineStr">
        <is>
          <t>0</t>
        </is>
      </c>
      <c r="L1490" t="inlineStr">
        <is>
          <t>New Rochelle, N.Y. : Aristide D. Caratzas, c1992.</t>
        </is>
      </c>
      <c r="M1490" t="inlineStr">
        <is>
          <t>1992</t>
        </is>
      </c>
      <c r="O1490" t="inlineStr">
        <is>
          <t>eng</t>
        </is>
      </c>
      <c r="P1490" t="inlineStr">
        <is>
          <t>nyu</t>
        </is>
      </c>
      <c r="Q1490" t="inlineStr">
        <is>
          <t>Hellenism, ancient, mediæval, modern ; 9th v.</t>
        </is>
      </c>
      <c r="R1490" t="inlineStr">
        <is>
          <t>DJK</t>
        </is>
      </c>
      <c r="S1490" t="n">
        <v>1</v>
      </c>
      <c r="T1490" t="n">
        <v>1</v>
      </c>
      <c r="U1490" t="inlineStr">
        <is>
          <t>2009-01-14</t>
        </is>
      </c>
      <c r="V1490" t="inlineStr">
        <is>
          <t>2009-01-14</t>
        </is>
      </c>
      <c r="W1490" t="inlineStr">
        <is>
          <t>1993-09-02</t>
        </is>
      </c>
      <c r="X1490" t="inlineStr">
        <is>
          <t>1993-09-02</t>
        </is>
      </c>
      <c r="Y1490" t="n">
        <v>132</v>
      </c>
      <c r="Z1490" t="n">
        <v>112</v>
      </c>
      <c r="AA1490" t="n">
        <v>114</v>
      </c>
      <c r="AB1490" t="n">
        <v>2</v>
      </c>
      <c r="AC1490" t="n">
        <v>2</v>
      </c>
      <c r="AD1490" t="n">
        <v>10</v>
      </c>
      <c r="AE1490" t="n">
        <v>10</v>
      </c>
      <c r="AF1490" t="n">
        <v>2</v>
      </c>
      <c r="AG1490" t="n">
        <v>2</v>
      </c>
      <c r="AH1490" t="n">
        <v>4</v>
      </c>
      <c r="AI1490" t="n">
        <v>4</v>
      </c>
      <c r="AJ1490" t="n">
        <v>5</v>
      </c>
      <c r="AK1490" t="n">
        <v>5</v>
      </c>
      <c r="AL1490" t="n">
        <v>1</v>
      </c>
      <c r="AM1490" t="n">
        <v>1</v>
      </c>
      <c r="AN1490" t="n">
        <v>0</v>
      </c>
      <c r="AO1490" t="n">
        <v>0</v>
      </c>
      <c r="AP1490" t="inlineStr">
        <is>
          <t>No</t>
        </is>
      </c>
      <c r="AQ1490" t="inlineStr">
        <is>
          <t>Yes</t>
        </is>
      </c>
      <c r="AR1490">
        <f>HYPERLINK("http://catalog.hathitrust.org/Record/002627875","HathiTrust Record")</f>
        <v/>
      </c>
      <c r="AS1490">
        <f>HYPERLINK("https://creighton-primo.hosted.exlibrisgroup.com/primo-explore/search?tab=default_tab&amp;search_scope=EVERYTHING&amp;vid=01CRU&amp;lang=en_US&amp;offset=0&amp;query=any,contains,991002080919702656","Catalog Record")</f>
        <v/>
      </c>
      <c r="AT1490">
        <f>HYPERLINK("http://www.worldcat.org/oclc/26690876","WorldCat Record")</f>
        <v/>
      </c>
      <c r="AU1490" t="inlineStr">
        <is>
          <t>29806908:eng</t>
        </is>
      </c>
      <c r="AV1490" t="inlineStr">
        <is>
          <t>26690876</t>
        </is>
      </c>
      <c r="AW1490" t="inlineStr">
        <is>
          <t>991002080919702656</t>
        </is>
      </c>
      <c r="AX1490" t="inlineStr">
        <is>
          <t>991002080919702656</t>
        </is>
      </c>
      <c r="AY1490" t="inlineStr">
        <is>
          <t>2266306720002656</t>
        </is>
      </c>
      <c r="AZ1490" t="inlineStr">
        <is>
          <t>BOOK</t>
        </is>
      </c>
      <c r="BB1490" t="inlineStr">
        <is>
          <t>9780892415175</t>
        </is>
      </c>
      <c r="BC1490" t="inlineStr">
        <is>
          <t>32285001729713</t>
        </is>
      </c>
      <c r="BD1490" t="inlineStr">
        <is>
          <t>893334916</t>
        </is>
      </c>
    </row>
    <row r="1491">
      <c r="A1491" t="inlineStr">
        <is>
          <t>No</t>
        </is>
      </c>
      <c r="B1491" t="inlineStr">
        <is>
          <t>DJK46 .E23 2005</t>
        </is>
      </c>
      <c r="C1491" t="inlineStr">
        <is>
          <t>0                      DJK0046000E  23          2005</t>
        </is>
      </c>
      <c r="D1491" t="inlineStr">
        <is>
          <t>East Central &amp; Eastern Europe in the Early Middle Ages / Florin Curta, editor.</t>
        </is>
      </c>
      <c r="F1491" t="inlineStr">
        <is>
          <t>No</t>
        </is>
      </c>
      <c r="G1491" t="inlineStr">
        <is>
          <t>1</t>
        </is>
      </c>
      <c r="H1491" t="inlineStr">
        <is>
          <t>No</t>
        </is>
      </c>
      <c r="I1491" t="inlineStr">
        <is>
          <t>No</t>
        </is>
      </c>
      <c r="J1491" t="inlineStr">
        <is>
          <t>0</t>
        </is>
      </c>
      <c r="L1491" t="inlineStr">
        <is>
          <t>Ann Arbor : University of Michigan Press, c2005.</t>
        </is>
      </c>
      <c r="M1491" t="inlineStr">
        <is>
          <t>2005</t>
        </is>
      </c>
      <c r="O1491" t="inlineStr">
        <is>
          <t>eng</t>
        </is>
      </c>
      <c r="P1491" t="inlineStr">
        <is>
          <t>miu</t>
        </is>
      </c>
      <c r="R1491" t="inlineStr">
        <is>
          <t>DJK</t>
        </is>
      </c>
      <c r="S1491" t="n">
        <v>3</v>
      </c>
      <c r="T1491" t="n">
        <v>3</v>
      </c>
      <c r="U1491" t="inlineStr">
        <is>
          <t>2007-02-08</t>
        </is>
      </c>
      <c r="V1491" t="inlineStr">
        <is>
          <t>2007-02-08</t>
        </is>
      </c>
      <c r="W1491" t="inlineStr">
        <is>
          <t>2007-02-08</t>
        </is>
      </c>
      <c r="X1491" t="inlineStr">
        <is>
          <t>2007-02-08</t>
        </is>
      </c>
      <c r="Y1491" t="n">
        <v>425</v>
      </c>
      <c r="Z1491" t="n">
        <v>348</v>
      </c>
      <c r="AA1491" t="n">
        <v>482</v>
      </c>
      <c r="AB1491" t="n">
        <v>4</v>
      </c>
      <c r="AC1491" t="n">
        <v>5</v>
      </c>
      <c r="AD1491" t="n">
        <v>24</v>
      </c>
      <c r="AE1491" t="n">
        <v>30</v>
      </c>
      <c r="AF1491" t="n">
        <v>9</v>
      </c>
      <c r="AG1491" t="n">
        <v>11</v>
      </c>
      <c r="AH1491" t="n">
        <v>7</v>
      </c>
      <c r="AI1491" t="n">
        <v>9</v>
      </c>
      <c r="AJ1491" t="n">
        <v>13</v>
      </c>
      <c r="AK1491" t="n">
        <v>14</v>
      </c>
      <c r="AL1491" t="n">
        <v>3</v>
      </c>
      <c r="AM1491" t="n">
        <v>4</v>
      </c>
      <c r="AN1491" t="n">
        <v>0</v>
      </c>
      <c r="AO1491" t="n">
        <v>0</v>
      </c>
      <c r="AP1491" t="inlineStr">
        <is>
          <t>Yes</t>
        </is>
      </c>
      <c r="AQ1491" t="inlineStr">
        <is>
          <t>Yes</t>
        </is>
      </c>
      <c r="AR1491">
        <f>HYPERLINK("http://catalog.hathitrust.org/Record/005077390","HathiTrust Record")</f>
        <v/>
      </c>
      <c r="AS1491">
        <f>HYPERLINK("https://creighton-primo.hosted.exlibrisgroup.com/primo-explore/search?tab=default_tab&amp;search_scope=EVERYTHING&amp;vid=01CRU&amp;lang=en_US&amp;offset=0&amp;query=any,contains,991005027859702656","Catalog Record")</f>
        <v/>
      </c>
      <c r="AT1491">
        <f>HYPERLINK("http://www.worldcat.org/oclc/60323214","WorldCat Record")</f>
        <v/>
      </c>
      <c r="AU1491" t="inlineStr">
        <is>
          <t>34813322:eng</t>
        </is>
      </c>
      <c r="AV1491" t="inlineStr">
        <is>
          <t>60323214</t>
        </is>
      </c>
      <c r="AW1491" t="inlineStr">
        <is>
          <t>991005027859702656</t>
        </is>
      </c>
      <c r="AX1491" t="inlineStr">
        <is>
          <t>991005027859702656</t>
        </is>
      </c>
      <c r="AY1491" t="inlineStr">
        <is>
          <t>2258954760002656</t>
        </is>
      </c>
      <c r="AZ1491" t="inlineStr">
        <is>
          <t>BOOK</t>
        </is>
      </c>
      <c r="BB1491" t="inlineStr">
        <is>
          <t>9780472114986</t>
        </is>
      </c>
      <c r="BC1491" t="inlineStr">
        <is>
          <t>32285005275598</t>
        </is>
      </c>
      <c r="BD1491" t="inlineStr">
        <is>
          <t>893600508</t>
        </is>
      </c>
    </row>
    <row r="1492">
      <c r="A1492" t="inlineStr">
        <is>
          <t>No</t>
        </is>
      </c>
      <c r="B1492" t="inlineStr">
        <is>
          <t>DJK47 .S87 1986</t>
        </is>
      </c>
      <c r="C1492" t="inlineStr">
        <is>
          <t>0                      DJK0047000S  87          1986</t>
        </is>
      </c>
      <c r="D1492" t="inlineStr">
        <is>
          <t>Domination of Eastern Europe : native nobilities and foreign absolutism, 1500-1715 / Orest Subtelny.</t>
        </is>
      </c>
      <c r="F1492" t="inlineStr">
        <is>
          <t>No</t>
        </is>
      </c>
      <c r="G1492" t="inlineStr">
        <is>
          <t>1</t>
        </is>
      </c>
      <c r="H1492" t="inlineStr">
        <is>
          <t>No</t>
        </is>
      </c>
      <c r="I1492" t="inlineStr">
        <is>
          <t>No</t>
        </is>
      </c>
      <c r="J1492" t="inlineStr">
        <is>
          <t>0</t>
        </is>
      </c>
      <c r="K1492" t="inlineStr">
        <is>
          <t>Subtelny, Orest.</t>
        </is>
      </c>
      <c r="L1492" t="inlineStr">
        <is>
          <t>Kingston : McGill-Queen's University Press ; Gloucester [Eng.] : Alan Sutton, 1986.</t>
        </is>
      </c>
      <c r="M1492" t="inlineStr">
        <is>
          <t>1986</t>
        </is>
      </c>
      <c r="O1492" t="inlineStr">
        <is>
          <t>eng</t>
        </is>
      </c>
      <c r="P1492" t="inlineStr">
        <is>
          <t>xxc</t>
        </is>
      </c>
      <c r="R1492" t="inlineStr">
        <is>
          <t>DJK</t>
        </is>
      </c>
      <c r="S1492" t="n">
        <v>15</v>
      </c>
      <c r="T1492" t="n">
        <v>15</v>
      </c>
      <c r="U1492" t="inlineStr">
        <is>
          <t>2003-04-26</t>
        </is>
      </c>
      <c r="V1492" t="inlineStr">
        <is>
          <t>2003-04-26</t>
        </is>
      </c>
      <c r="W1492" t="inlineStr">
        <is>
          <t>1991-04-24</t>
        </is>
      </c>
      <c r="X1492" t="inlineStr">
        <is>
          <t>1991-04-24</t>
        </is>
      </c>
      <c r="Y1492" t="n">
        <v>423</v>
      </c>
      <c r="Z1492" t="n">
        <v>312</v>
      </c>
      <c r="AA1492" t="n">
        <v>556</v>
      </c>
      <c r="AB1492" t="n">
        <v>2</v>
      </c>
      <c r="AC1492" t="n">
        <v>5</v>
      </c>
      <c r="AD1492" t="n">
        <v>17</v>
      </c>
      <c r="AE1492" t="n">
        <v>28</v>
      </c>
      <c r="AF1492" t="n">
        <v>2</v>
      </c>
      <c r="AG1492" t="n">
        <v>8</v>
      </c>
      <c r="AH1492" t="n">
        <v>8</v>
      </c>
      <c r="AI1492" t="n">
        <v>11</v>
      </c>
      <c r="AJ1492" t="n">
        <v>9</v>
      </c>
      <c r="AK1492" t="n">
        <v>11</v>
      </c>
      <c r="AL1492" t="n">
        <v>1</v>
      </c>
      <c r="AM1492" t="n">
        <v>4</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HYPERLINK("https://creighton-primo.hosted.exlibrisgroup.com/primo-explore/search?tab=default_tab&amp;search_scope=EVERYTHING&amp;vid=01CRU&amp;lang=en_US&amp;offset=0&amp;query=any,contains,991000790239702656","Catalog Record")</f>
        <v/>
      </c>
      <c r="AT1492">
        <f>HYPERLINK("http://www.worldcat.org/oclc/13152739","WorldCat Record")</f>
        <v/>
      </c>
      <c r="AU1492" t="inlineStr">
        <is>
          <t>796687965:eng</t>
        </is>
      </c>
      <c r="AV1492" t="inlineStr">
        <is>
          <t>13152739</t>
        </is>
      </c>
      <c r="AW1492" t="inlineStr">
        <is>
          <t>991000790239702656</t>
        </is>
      </c>
      <c r="AX1492" t="inlineStr">
        <is>
          <t>991000790239702656</t>
        </is>
      </c>
      <c r="AY1492" t="inlineStr">
        <is>
          <t>2272404330002656</t>
        </is>
      </c>
      <c r="AZ1492" t="inlineStr">
        <is>
          <t>BOOK</t>
        </is>
      </c>
      <c r="BB1492" t="inlineStr">
        <is>
          <t>9780773504387</t>
        </is>
      </c>
      <c r="BC1492" t="inlineStr">
        <is>
          <t>32285000522804</t>
        </is>
      </c>
      <c r="BD1492" t="inlineStr">
        <is>
          <t>893333773</t>
        </is>
      </c>
    </row>
    <row r="1493">
      <c r="A1493" t="inlineStr">
        <is>
          <t>No</t>
        </is>
      </c>
      <c r="B1493" t="inlineStr">
        <is>
          <t>DJK48 .P4 1983b</t>
        </is>
      </c>
      <c r="C1493" t="inlineStr">
        <is>
          <t>0                      DJK0048000P  4           1983b</t>
        </is>
      </c>
      <c r="D1493" t="inlineStr">
        <is>
          <t>National minorities in Eastern Europe, 1848-1945 / Raymond Pearson.</t>
        </is>
      </c>
      <c r="F1493" t="inlineStr">
        <is>
          <t>No</t>
        </is>
      </c>
      <c r="G1493" t="inlineStr">
        <is>
          <t>1</t>
        </is>
      </c>
      <c r="H1493" t="inlineStr">
        <is>
          <t>No</t>
        </is>
      </c>
      <c r="I1493" t="inlineStr">
        <is>
          <t>No</t>
        </is>
      </c>
      <c r="J1493" t="inlineStr">
        <is>
          <t>0</t>
        </is>
      </c>
      <c r="K1493" t="inlineStr">
        <is>
          <t>Pearson, Raymond.</t>
        </is>
      </c>
      <c r="L1493" t="inlineStr">
        <is>
          <t>London : Macmillan, 1983.</t>
        </is>
      </c>
      <c r="M1493" t="inlineStr">
        <is>
          <t>1983</t>
        </is>
      </c>
      <c r="O1493" t="inlineStr">
        <is>
          <t>eng</t>
        </is>
      </c>
      <c r="P1493" t="inlineStr">
        <is>
          <t>enk</t>
        </is>
      </c>
      <c r="Q1493" t="inlineStr">
        <is>
          <t>Themes in comparative history</t>
        </is>
      </c>
      <c r="R1493" t="inlineStr">
        <is>
          <t>DJK</t>
        </is>
      </c>
      <c r="S1493" t="n">
        <v>12</v>
      </c>
      <c r="T1493" t="n">
        <v>12</v>
      </c>
      <c r="U1493" t="inlineStr">
        <is>
          <t>1996-11-04</t>
        </is>
      </c>
      <c r="V1493" t="inlineStr">
        <is>
          <t>1996-11-04</t>
        </is>
      </c>
      <c r="W1493" t="inlineStr">
        <is>
          <t>1990-06-05</t>
        </is>
      </c>
      <c r="X1493" t="inlineStr">
        <is>
          <t>1990-06-05</t>
        </is>
      </c>
      <c r="Y1493" t="n">
        <v>308</v>
      </c>
      <c r="Z1493" t="n">
        <v>161</v>
      </c>
      <c r="AA1493" t="n">
        <v>416</v>
      </c>
      <c r="AB1493" t="n">
        <v>1</v>
      </c>
      <c r="AC1493" t="n">
        <v>5</v>
      </c>
      <c r="AD1493" t="n">
        <v>7</v>
      </c>
      <c r="AE1493" t="n">
        <v>22</v>
      </c>
      <c r="AF1493" t="n">
        <v>2</v>
      </c>
      <c r="AG1493" t="n">
        <v>5</v>
      </c>
      <c r="AH1493" t="n">
        <v>4</v>
      </c>
      <c r="AI1493" t="n">
        <v>7</v>
      </c>
      <c r="AJ1493" t="n">
        <v>3</v>
      </c>
      <c r="AK1493" t="n">
        <v>12</v>
      </c>
      <c r="AL1493" t="n">
        <v>0</v>
      </c>
      <c r="AM1493" t="n">
        <v>4</v>
      </c>
      <c r="AN1493" t="n">
        <v>0</v>
      </c>
      <c r="AO1493" t="n">
        <v>0</v>
      </c>
      <c r="AP1493" t="inlineStr">
        <is>
          <t>No</t>
        </is>
      </c>
      <c r="AQ1493" t="inlineStr">
        <is>
          <t>Yes</t>
        </is>
      </c>
      <c r="AR1493">
        <f>HYPERLINK("http://catalog.hathitrust.org/Record/000411304","HathiTrust Record")</f>
        <v/>
      </c>
      <c r="AS1493">
        <f>HYPERLINK("https://creighton-primo.hosted.exlibrisgroup.com/primo-explore/search?tab=default_tab&amp;search_scope=EVERYTHING&amp;vid=01CRU&amp;lang=en_US&amp;offset=0&amp;query=any,contains,991000208239702656","Catalog Record")</f>
        <v/>
      </c>
      <c r="AT1493">
        <f>HYPERLINK("http://www.worldcat.org/oclc/9524743","WorldCat Record")</f>
        <v/>
      </c>
      <c r="AU1493" t="inlineStr">
        <is>
          <t>43499471:eng</t>
        </is>
      </c>
      <c r="AV1493" t="inlineStr">
        <is>
          <t>9524743</t>
        </is>
      </c>
      <c r="AW1493" t="inlineStr">
        <is>
          <t>991000208239702656</t>
        </is>
      </c>
      <c r="AX1493" t="inlineStr">
        <is>
          <t>991000208239702656</t>
        </is>
      </c>
      <c r="AY1493" t="inlineStr">
        <is>
          <t>2262648760002656</t>
        </is>
      </c>
      <c r="AZ1493" t="inlineStr">
        <is>
          <t>BOOK</t>
        </is>
      </c>
      <c r="BB1493" t="inlineStr">
        <is>
          <t>9780333288894</t>
        </is>
      </c>
      <c r="BC1493" t="inlineStr">
        <is>
          <t>32285000181577</t>
        </is>
      </c>
      <c r="BD1493" t="inlineStr">
        <is>
          <t>893902937</t>
        </is>
      </c>
    </row>
    <row r="1494">
      <c r="A1494" t="inlineStr">
        <is>
          <t>No</t>
        </is>
      </c>
      <c r="B1494" t="inlineStr">
        <is>
          <t>DJK49 .W96 1999</t>
        </is>
      </c>
      <c r="C1494" t="inlineStr">
        <is>
          <t>0                      DJK0049000W  96          1999</t>
        </is>
      </c>
      <c r="D1494" t="inlineStr">
        <is>
          <t>Caldron of conflict : Eastern Europe, 1918-1945 / Edward D. Wynot, Jr.</t>
        </is>
      </c>
      <c r="F1494" t="inlineStr">
        <is>
          <t>No</t>
        </is>
      </c>
      <c r="G1494" t="inlineStr">
        <is>
          <t>1</t>
        </is>
      </c>
      <c r="H1494" t="inlineStr">
        <is>
          <t>No</t>
        </is>
      </c>
      <c r="I1494" t="inlineStr">
        <is>
          <t>No</t>
        </is>
      </c>
      <c r="J1494" t="inlineStr">
        <is>
          <t>0</t>
        </is>
      </c>
      <c r="K1494" t="inlineStr">
        <is>
          <t>Wynot, Edward D.</t>
        </is>
      </c>
      <c r="L1494" t="inlineStr">
        <is>
          <t>Wheeling, Ill. : Harlan Davidson, c1999.</t>
        </is>
      </c>
      <c r="M1494" t="inlineStr">
        <is>
          <t>1999</t>
        </is>
      </c>
      <c r="O1494" t="inlineStr">
        <is>
          <t>eng</t>
        </is>
      </c>
      <c r="P1494" t="inlineStr">
        <is>
          <t>ilu</t>
        </is>
      </c>
      <c r="Q1494" t="inlineStr">
        <is>
          <t>European history series</t>
        </is>
      </c>
      <c r="R1494" t="inlineStr">
        <is>
          <t>DJK</t>
        </is>
      </c>
      <c r="S1494" t="n">
        <v>1</v>
      </c>
      <c r="T1494" t="n">
        <v>1</v>
      </c>
      <c r="U1494" t="inlineStr">
        <is>
          <t>2003-02-12</t>
        </is>
      </c>
      <c r="V1494" t="inlineStr">
        <is>
          <t>2003-02-12</t>
        </is>
      </c>
      <c r="W1494" t="inlineStr">
        <is>
          <t>2003-02-12</t>
        </is>
      </c>
      <c r="X1494" t="inlineStr">
        <is>
          <t>2003-02-12</t>
        </is>
      </c>
      <c r="Y1494" t="n">
        <v>96</v>
      </c>
      <c r="Z1494" t="n">
        <v>78</v>
      </c>
      <c r="AA1494" t="n">
        <v>85</v>
      </c>
      <c r="AB1494" t="n">
        <v>1</v>
      </c>
      <c r="AC1494" t="n">
        <v>1</v>
      </c>
      <c r="AD1494" t="n">
        <v>3</v>
      </c>
      <c r="AE1494" t="n">
        <v>3</v>
      </c>
      <c r="AF1494" t="n">
        <v>1</v>
      </c>
      <c r="AG1494" t="n">
        <v>1</v>
      </c>
      <c r="AH1494" t="n">
        <v>1</v>
      </c>
      <c r="AI1494" t="n">
        <v>1</v>
      </c>
      <c r="AJ1494" t="n">
        <v>1</v>
      </c>
      <c r="AK1494" t="n">
        <v>1</v>
      </c>
      <c r="AL1494" t="n">
        <v>0</v>
      </c>
      <c r="AM1494" t="n">
        <v>0</v>
      </c>
      <c r="AN1494" t="n">
        <v>0</v>
      </c>
      <c r="AO1494" t="n">
        <v>0</v>
      </c>
      <c r="AP1494" t="inlineStr">
        <is>
          <t>No</t>
        </is>
      </c>
      <c r="AQ1494" t="inlineStr">
        <is>
          <t>Yes</t>
        </is>
      </c>
      <c r="AR1494">
        <f>HYPERLINK("http://catalog.hathitrust.org/Record/009534062","HathiTrust Record")</f>
        <v/>
      </c>
      <c r="AS1494">
        <f>HYPERLINK("https://creighton-primo.hosted.exlibrisgroup.com/primo-explore/search?tab=default_tab&amp;search_scope=EVERYTHING&amp;vid=01CRU&amp;lang=en_US&amp;offset=0&amp;query=any,contains,991003994629702656","Catalog Record")</f>
        <v/>
      </c>
      <c r="AT1494">
        <f>HYPERLINK("http://www.worldcat.org/oclc/39539212","WorldCat Record")</f>
        <v/>
      </c>
      <c r="AU1494" t="inlineStr">
        <is>
          <t>836969867:eng</t>
        </is>
      </c>
      <c r="AV1494" t="inlineStr">
        <is>
          <t>39539212</t>
        </is>
      </c>
      <c r="AW1494" t="inlineStr">
        <is>
          <t>991003994629702656</t>
        </is>
      </c>
      <c r="AX1494" t="inlineStr">
        <is>
          <t>991003994629702656</t>
        </is>
      </c>
      <c r="AY1494" t="inlineStr">
        <is>
          <t>2260023080002656</t>
        </is>
      </c>
      <c r="AZ1494" t="inlineStr">
        <is>
          <t>BOOK</t>
        </is>
      </c>
      <c r="BB1494" t="inlineStr">
        <is>
          <t>9780882959474</t>
        </is>
      </c>
      <c r="BC1494" t="inlineStr">
        <is>
          <t>32285004698451</t>
        </is>
      </c>
      <c r="BD1494" t="inlineStr">
        <is>
          <t>893259192</t>
        </is>
      </c>
    </row>
    <row r="1495">
      <c r="A1495" t="inlineStr">
        <is>
          <t>No</t>
        </is>
      </c>
      <c r="B1495" t="inlineStr">
        <is>
          <t>DJK50 .A24 1990</t>
        </is>
      </c>
      <c r="C1495" t="inlineStr">
        <is>
          <t>0                      DJK0050000A  24          1990</t>
        </is>
      </c>
      <c r="D1495" t="inlineStr">
        <is>
          <t>The shattered bloc : behind the upheaval in Eastern Europe / Elie Abel.</t>
        </is>
      </c>
      <c r="F1495" t="inlineStr">
        <is>
          <t>No</t>
        </is>
      </c>
      <c r="G1495" t="inlineStr">
        <is>
          <t>1</t>
        </is>
      </c>
      <c r="H1495" t="inlineStr">
        <is>
          <t>No</t>
        </is>
      </c>
      <c r="I1495" t="inlineStr">
        <is>
          <t>No</t>
        </is>
      </c>
      <c r="J1495" t="inlineStr">
        <is>
          <t>0</t>
        </is>
      </c>
      <c r="K1495" t="inlineStr">
        <is>
          <t>Abel, Elie.</t>
        </is>
      </c>
      <c r="L1495" t="inlineStr">
        <is>
          <t>Boston : Houghton Mifflin, 1990.</t>
        </is>
      </c>
      <c r="M1495" t="inlineStr">
        <is>
          <t>1990</t>
        </is>
      </c>
      <c r="O1495" t="inlineStr">
        <is>
          <t>eng</t>
        </is>
      </c>
      <c r="P1495" t="inlineStr">
        <is>
          <t>mau</t>
        </is>
      </c>
      <c r="R1495" t="inlineStr">
        <is>
          <t>DJK</t>
        </is>
      </c>
      <c r="S1495" t="n">
        <v>3</v>
      </c>
      <c r="T1495" t="n">
        <v>3</v>
      </c>
      <c r="U1495" t="inlineStr">
        <is>
          <t>1993-11-10</t>
        </is>
      </c>
      <c r="V1495" t="inlineStr">
        <is>
          <t>1993-11-10</t>
        </is>
      </c>
      <c r="W1495" t="inlineStr">
        <is>
          <t>1990-08-01</t>
        </is>
      </c>
      <c r="X1495" t="inlineStr">
        <is>
          <t>1990-08-01</t>
        </is>
      </c>
      <c r="Y1495" t="n">
        <v>879</v>
      </c>
      <c r="Z1495" t="n">
        <v>787</v>
      </c>
      <c r="AA1495" t="n">
        <v>792</v>
      </c>
      <c r="AB1495" t="n">
        <v>7</v>
      </c>
      <c r="AC1495" t="n">
        <v>7</v>
      </c>
      <c r="AD1495" t="n">
        <v>27</v>
      </c>
      <c r="AE1495" t="n">
        <v>27</v>
      </c>
      <c r="AF1495" t="n">
        <v>8</v>
      </c>
      <c r="AG1495" t="n">
        <v>8</v>
      </c>
      <c r="AH1495" t="n">
        <v>5</v>
      </c>
      <c r="AI1495" t="n">
        <v>5</v>
      </c>
      <c r="AJ1495" t="n">
        <v>14</v>
      </c>
      <c r="AK1495" t="n">
        <v>14</v>
      </c>
      <c r="AL1495" t="n">
        <v>4</v>
      </c>
      <c r="AM1495" t="n">
        <v>4</v>
      </c>
      <c r="AN1495" t="n">
        <v>1</v>
      </c>
      <c r="AO1495" t="n">
        <v>1</v>
      </c>
      <c r="AP1495" t="inlineStr">
        <is>
          <t>No</t>
        </is>
      </c>
      <c r="AQ1495" t="inlineStr">
        <is>
          <t>Yes</t>
        </is>
      </c>
      <c r="AR1495">
        <f>HYPERLINK("http://catalog.hathitrust.org/Record/001956080","HathiTrust Record")</f>
        <v/>
      </c>
      <c r="AS1495">
        <f>HYPERLINK("https://creighton-primo.hosted.exlibrisgroup.com/primo-explore/search?tab=default_tab&amp;search_scope=EVERYTHING&amp;vid=01CRU&amp;lang=en_US&amp;offset=0&amp;query=any,contains,991001613359702656","Catalog Record")</f>
        <v/>
      </c>
      <c r="AT1495">
        <f>HYPERLINK("http://www.worldcat.org/oclc/20755889","WorldCat Record")</f>
        <v/>
      </c>
      <c r="AU1495" t="inlineStr">
        <is>
          <t>366759238:eng</t>
        </is>
      </c>
      <c r="AV1495" t="inlineStr">
        <is>
          <t>20755889</t>
        </is>
      </c>
      <c r="AW1495" t="inlineStr">
        <is>
          <t>991001613359702656</t>
        </is>
      </c>
      <c r="AX1495" t="inlineStr">
        <is>
          <t>991001613359702656</t>
        </is>
      </c>
      <c r="AY1495" t="inlineStr">
        <is>
          <t>2266184870002656</t>
        </is>
      </c>
      <c r="AZ1495" t="inlineStr">
        <is>
          <t>BOOK</t>
        </is>
      </c>
      <c r="BB1495" t="inlineStr">
        <is>
          <t>9780395420195</t>
        </is>
      </c>
      <c r="BC1495" t="inlineStr">
        <is>
          <t>32285000241298</t>
        </is>
      </c>
      <c r="BD1495" t="inlineStr">
        <is>
          <t>893602707</t>
        </is>
      </c>
    </row>
    <row r="1496">
      <c r="A1496" t="inlineStr">
        <is>
          <t>No</t>
        </is>
      </c>
      <c r="B1496" t="inlineStr">
        <is>
          <t>DJK50 .B76 1985</t>
        </is>
      </c>
      <c r="C1496" t="inlineStr">
        <is>
          <t>0                      DJK0050000B  76          1985</t>
        </is>
      </c>
      <c r="D1496" t="inlineStr">
        <is>
          <t>Eastern Europe in the aftermath of Solidarity / Adam Bromke.</t>
        </is>
      </c>
      <c r="F1496" t="inlineStr">
        <is>
          <t>No</t>
        </is>
      </c>
      <c r="G1496" t="inlineStr">
        <is>
          <t>1</t>
        </is>
      </c>
      <c r="H1496" t="inlineStr">
        <is>
          <t>No</t>
        </is>
      </c>
      <c r="I1496" t="inlineStr">
        <is>
          <t>No</t>
        </is>
      </c>
      <c r="J1496" t="inlineStr">
        <is>
          <t>0</t>
        </is>
      </c>
      <c r="K1496" t="inlineStr">
        <is>
          <t>Bromke, Adam.</t>
        </is>
      </c>
      <c r="L1496" t="inlineStr">
        <is>
          <t>Boulder : East European Monographs ; New York : Distributed by Columbia University Press, 1985.</t>
        </is>
      </c>
      <c r="M1496" t="inlineStr">
        <is>
          <t>1985</t>
        </is>
      </c>
      <c r="O1496" t="inlineStr">
        <is>
          <t>eng</t>
        </is>
      </c>
      <c r="P1496" t="inlineStr">
        <is>
          <t>cou</t>
        </is>
      </c>
      <c r="Q1496" t="inlineStr">
        <is>
          <t>East European monographs ; no. 183</t>
        </is>
      </c>
      <c r="R1496" t="inlineStr">
        <is>
          <t>DJK</t>
        </is>
      </c>
      <c r="S1496" t="n">
        <v>6</v>
      </c>
      <c r="T1496" t="n">
        <v>6</v>
      </c>
      <c r="U1496" t="inlineStr">
        <is>
          <t>1998-02-28</t>
        </is>
      </c>
      <c r="V1496" t="inlineStr">
        <is>
          <t>1998-02-28</t>
        </is>
      </c>
      <c r="W1496" t="inlineStr">
        <is>
          <t>1990-06-20</t>
        </is>
      </c>
      <c r="X1496" t="inlineStr">
        <is>
          <t>1990-06-20</t>
        </is>
      </c>
      <c r="Y1496" t="n">
        <v>377</v>
      </c>
      <c r="Z1496" t="n">
        <v>311</v>
      </c>
      <c r="AA1496" t="n">
        <v>312</v>
      </c>
      <c r="AB1496" t="n">
        <v>4</v>
      </c>
      <c r="AC1496" t="n">
        <v>4</v>
      </c>
      <c r="AD1496" t="n">
        <v>18</v>
      </c>
      <c r="AE1496" t="n">
        <v>18</v>
      </c>
      <c r="AF1496" t="n">
        <v>4</v>
      </c>
      <c r="AG1496" t="n">
        <v>4</v>
      </c>
      <c r="AH1496" t="n">
        <v>7</v>
      </c>
      <c r="AI1496" t="n">
        <v>7</v>
      </c>
      <c r="AJ1496" t="n">
        <v>11</v>
      </c>
      <c r="AK1496" t="n">
        <v>11</v>
      </c>
      <c r="AL1496" t="n">
        <v>3</v>
      </c>
      <c r="AM1496" t="n">
        <v>3</v>
      </c>
      <c r="AN1496" t="n">
        <v>0</v>
      </c>
      <c r="AO1496" t="n">
        <v>0</v>
      </c>
      <c r="AP1496" t="inlineStr">
        <is>
          <t>No</t>
        </is>
      </c>
      <c r="AQ1496" t="inlineStr">
        <is>
          <t>Yes</t>
        </is>
      </c>
      <c r="AR1496">
        <f>HYPERLINK("http://catalog.hathitrust.org/Record/000566192","HathiTrust Record")</f>
        <v/>
      </c>
      <c r="AS1496">
        <f>HYPERLINK("https://creighton-primo.hosted.exlibrisgroup.com/primo-explore/search?tab=default_tab&amp;search_scope=EVERYTHING&amp;vid=01CRU&amp;lang=en_US&amp;offset=0&amp;query=any,contains,991000614949702656","Catalog Record")</f>
        <v/>
      </c>
      <c r="AT1496">
        <f>HYPERLINK("http://www.worldcat.org/oclc/11922245","WorldCat Record")</f>
        <v/>
      </c>
      <c r="AU1496" t="inlineStr">
        <is>
          <t>4512613:eng</t>
        </is>
      </c>
      <c r="AV1496" t="inlineStr">
        <is>
          <t>11922245</t>
        </is>
      </c>
      <c r="AW1496" t="inlineStr">
        <is>
          <t>991000614949702656</t>
        </is>
      </c>
      <c r="AX1496" t="inlineStr">
        <is>
          <t>991000614949702656</t>
        </is>
      </c>
      <c r="AY1496" t="inlineStr">
        <is>
          <t>2264897640002656</t>
        </is>
      </c>
      <c r="AZ1496" t="inlineStr">
        <is>
          <t>BOOK</t>
        </is>
      </c>
      <c r="BB1496" t="inlineStr">
        <is>
          <t>9780880330763</t>
        </is>
      </c>
      <c r="BC1496" t="inlineStr">
        <is>
          <t>32285000210160</t>
        </is>
      </c>
      <c r="BD1496" t="inlineStr">
        <is>
          <t>893432122</t>
        </is>
      </c>
    </row>
    <row r="1497">
      <c r="A1497" t="inlineStr">
        <is>
          <t>No</t>
        </is>
      </c>
      <c r="B1497" t="inlineStr">
        <is>
          <t>DJK50 .B77 1988</t>
        </is>
      </c>
      <c r="C1497" t="inlineStr">
        <is>
          <t>0                      DJK0050000B  77          1988</t>
        </is>
      </c>
      <c r="D1497" t="inlineStr">
        <is>
          <t>Eastern Europe and communist rule / J.F. Brown.</t>
        </is>
      </c>
      <c r="F1497" t="inlineStr">
        <is>
          <t>No</t>
        </is>
      </c>
      <c r="G1497" t="inlineStr">
        <is>
          <t>1</t>
        </is>
      </c>
      <c r="H1497" t="inlineStr">
        <is>
          <t>No</t>
        </is>
      </c>
      <c r="I1497" t="inlineStr">
        <is>
          <t>No</t>
        </is>
      </c>
      <c r="J1497" t="inlineStr">
        <is>
          <t>0</t>
        </is>
      </c>
      <c r="K1497" t="inlineStr">
        <is>
          <t>Brown, J. F. (James F.), 1928-2009.</t>
        </is>
      </c>
      <c r="L1497" t="inlineStr">
        <is>
          <t>Durham : Duke University Press, 1988.</t>
        </is>
      </c>
      <c r="M1497" t="inlineStr">
        <is>
          <t>1988</t>
        </is>
      </c>
      <c r="O1497" t="inlineStr">
        <is>
          <t>eng</t>
        </is>
      </c>
      <c r="P1497" t="inlineStr">
        <is>
          <t>ncu</t>
        </is>
      </c>
      <c r="Q1497" t="inlineStr">
        <is>
          <t>The Joint Committee on Eastern Europe publication series</t>
        </is>
      </c>
      <c r="R1497" t="inlineStr">
        <is>
          <t>DJK</t>
        </is>
      </c>
      <c r="S1497" t="n">
        <v>5</v>
      </c>
      <c r="T1497" t="n">
        <v>5</v>
      </c>
      <c r="U1497" t="inlineStr">
        <is>
          <t>1993-11-10</t>
        </is>
      </c>
      <c r="V1497" t="inlineStr">
        <is>
          <t>1993-11-10</t>
        </is>
      </c>
      <c r="W1497" t="inlineStr">
        <is>
          <t>1990-02-05</t>
        </is>
      </c>
      <c r="X1497" t="inlineStr">
        <is>
          <t>1990-02-05</t>
        </is>
      </c>
      <c r="Y1497" t="n">
        <v>725</v>
      </c>
      <c r="Z1497" t="n">
        <v>600</v>
      </c>
      <c r="AA1497" t="n">
        <v>607</v>
      </c>
      <c r="AB1497" t="n">
        <v>5</v>
      </c>
      <c r="AC1497" t="n">
        <v>5</v>
      </c>
      <c r="AD1497" t="n">
        <v>30</v>
      </c>
      <c r="AE1497" t="n">
        <v>30</v>
      </c>
      <c r="AF1497" t="n">
        <v>13</v>
      </c>
      <c r="AG1497" t="n">
        <v>13</v>
      </c>
      <c r="AH1497" t="n">
        <v>9</v>
      </c>
      <c r="AI1497" t="n">
        <v>9</v>
      </c>
      <c r="AJ1497" t="n">
        <v>14</v>
      </c>
      <c r="AK1497" t="n">
        <v>14</v>
      </c>
      <c r="AL1497" t="n">
        <v>4</v>
      </c>
      <c r="AM1497" t="n">
        <v>4</v>
      </c>
      <c r="AN1497" t="n">
        <v>0</v>
      </c>
      <c r="AO1497" t="n">
        <v>0</v>
      </c>
      <c r="AP1497" t="inlineStr">
        <is>
          <t>No</t>
        </is>
      </c>
      <c r="AQ1497" t="inlineStr">
        <is>
          <t>Yes</t>
        </is>
      </c>
      <c r="AR1497">
        <f>HYPERLINK("http://catalog.hathitrust.org/Record/000905123","HathiTrust Record")</f>
        <v/>
      </c>
      <c r="AS1497">
        <f>HYPERLINK("https://creighton-primo.hosted.exlibrisgroup.com/primo-explore/search?tab=default_tab&amp;search_scope=EVERYTHING&amp;vid=01CRU&amp;lang=en_US&amp;offset=0&amp;query=any,contains,991001174679702656","Catalog Record")</f>
        <v/>
      </c>
      <c r="AT1497">
        <f>HYPERLINK("http://www.worldcat.org/oclc/16985884","WorldCat Record")</f>
        <v/>
      </c>
      <c r="AU1497" t="inlineStr">
        <is>
          <t>13912138:eng</t>
        </is>
      </c>
      <c r="AV1497" t="inlineStr">
        <is>
          <t>16985884</t>
        </is>
      </c>
      <c r="AW1497" t="inlineStr">
        <is>
          <t>991001174679702656</t>
        </is>
      </c>
      <c r="AX1497" t="inlineStr">
        <is>
          <t>991001174679702656</t>
        </is>
      </c>
      <c r="AY1497" t="inlineStr">
        <is>
          <t>2272065780002656</t>
        </is>
      </c>
      <c r="AZ1497" t="inlineStr">
        <is>
          <t>BOOK</t>
        </is>
      </c>
      <c r="BB1497" t="inlineStr">
        <is>
          <t>9780822308416</t>
        </is>
      </c>
      <c r="BC1497" t="inlineStr">
        <is>
          <t>32285000032515</t>
        </is>
      </c>
      <c r="BD1497" t="inlineStr">
        <is>
          <t>893438932</t>
        </is>
      </c>
    </row>
    <row r="1498">
      <c r="A1498" t="inlineStr">
        <is>
          <t>No</t>
        </is>
      </c>
      <c r="B1498" t="inlineStr">
        <is>
          <t>DJK50 .E15 1982</t>
        </is>
      </c>
      <c r="C1498" t="inlineStr">
        <is>
          <t>0                      DJK0050000E  15          1982</t>
        </is>
      </c>
      <c r="D1498" t="inlineStr">
        <is>
          <t>East Central Europe : yesterday, today, tomorrow / edited by Milorad M. Drachkovitch.</t>
        </is>
      </c>
      <c r="F1498" t="inlineStr">
        <is>
          <t>No</t>
        </is>
      </c>
      <c r="G1498" t="inlineStr">
        <is>
          <t>1</t>
        </is>
      </c>
      <c r="H1498" t="inlineStr">
        <is>
          <t>No</t>
        </is>
      </c>
      <c r="I1498" t="inlineStr">
        <is>
          <t>No</t>
        </is>
      </c>
      <c r="J1498" t="inlineStr">
        <is>
          <t>0</t>
        </is>
      </c>
      <c r="L1498" t="inlineStr">
        <is>
          <t>Stanford, Calif. : Hoover Institution Press, c1982.</t>
        </is>
      </c>
      <c r="M1498" t="inlineStr">
        <is>
          <t>1982</t>
        </is>
      </c>
      <c r="O1498" t="inlineStr">
        <is>
          <t>eng</t>
        </is>
      </c>
      <c r="P1498" t="inlineStr">
        <is>
          <t>cau</t>
        </is>
      </c>
      <c r="Q1498" t="inlineStr">
        <is>
          <t>Hoover Press publication ; 240</t>
        </is>
      </c>
      <c r="R1498" t="inlineStr">
        <is>
          <t>DJK</t>
        </is>
      </c>
      <c r="S1498" t="n">
        <v>1</v>
      </c>
      <c r="T1498" t="n">
        <v>1</v>
      </c>
      <c r="U1498" t="inlineStr">
        <is>
          <t>1995-04-22</t>
        </is>
      </c>
      <c r="V1498" t="inlineStr">
        <is>
          <t>1995-04-22</t>
        </is>
      </c>
      <c r="W1498" t="inlineStr">
        <is>
          <t>1991-04-24</t>
        </is>
      </c>
      <c r="X1498" t="inlineStr">
        <is>
          <t>1991-04-24</t>
        </is>
      </c>
      <c r="Y1498" t="n">
        <v>359</v>
      </c>
      <c r="Z1498" t="n">
        <v>276</v>
      </c>
      <c r="AA1498" t="n">
        <v>279</v>
      </c>
      <c r="AB1498" t="n">
        <v>3</v>
      </c>
      <c r="AC1498" t="n">
        <v>3</v>
      </c>
      <c r="AD1498" t="n">
        <v>18</v>
      </c>
      <c r="AE1498" t="n">
        <v>18</v>
      </c>
      <c r="AF1498" t="n">
        <v>5</v>
      </c>
      <c r="AG1498" t="n">
        <v>5</v>
      </c>
      <c r="AH1498" t="n">
        <v>5</v>
      </c>
      <c r="AI1498" t="n">
        <v>5</v>
      </c>
      <c r="AJ1498" t="n">
        <v>10</v>
      </c>
      <c r="AK1498" t="n">
        <v>10</v>
      </c>
      <c r="AL1498" t="n">
        <v>2</v>
      </c>
      <c r="AM1498" t="n">
        <v>2</v>
      </c>
      <c r="AN1498" t="n">
        <v>1</v>
      </c>
      <c r="AO1498" t="n">
        <v>1</v>
      </c>
      <c r="AP1498" t="inlineStr">
        <is>
          <t>No</t>
        </is>
      </c>
      <c r="AQ1498" t="inlineStr">
        <is>
          <t>Yes</t>
        </is>
      </c>
      <c r="AR1498">
        <f>HYPERLINK("http://catalog.hathitrust.org/Record/000322371","HathiTrust Record")</f>
        <v/>
      </c>
      <c r="AS1498">
        <f>HYPERLINK("https://creighton-primo.hosted.exlibrisgroup.com/primo-explore/search?tab=default_tab&amp;search_scope=EVERYTHING&amp;vid=01CRU&amp;lang=en_US&amp;offset=0&amp;query=any,contains,991000021589702656","Catalog Record")</f>
        <v/>
      </c>
      <c r="AT1498">
        <f>HYPERLINK("http://www.worldcat.org/oclc/8575055","WorldCat Record")</f>
        <v/>
      </c>
      <c r="AU1498" t="inlineStr">
        <is>
          <t>861692533:eng</t>
        </is>
      </c>
      <c r="AV1498" t="inlineStr">
        <is>
          <t>8575055</t>
        </is>
      </c>
      <c r="AW1498" t="inlineStr">
        <is>
          <t>991000021589702656</t>
        </is>
      </c>
      <c r="AX1498" t="inlineStr">
        <is>
          <t>991000021589702656</t>
        </is>
      </c>
      <c r="AY1498" t="inlineStr">
        <is>
          <t>2257217340002656</t>
        </is>
      </c>
      <c r="AZ1498" t="inlineStr">
        <is>
          <t>BOOK</t>
        </is>
      </c>
      <c r="BC1498" t="inlineStr">
        <is>
          <t>32285000522838</t>
        </is>
      </c>
      <c r="BD1498" t="inlineStr">
        <is>
          <t>893771305</t>
        </is>
      </c>
    </row>
    <row r="1499">
      <c r="A1499" t="inlineStr">
        <is>
          <t>No</t>
        </is>
      </c>
      <c r="B1499" t="inlineStr">
        <is>
          <t>DJK50 .E167 1992</t>
        </is>
      </c>
      <c r="C1499" t="inlineStr">
        <is>
          <t>0                      DJK0050000E  167         1992</t>
        </is>
      </c>
      <c r="D1499" t="inlineStr">
        <is>
          <t>Eastern Europe : transformation and revolution, 1945-1991 : documents and analyses / [compiled by] Lyman H. Legters.</t>
        </is>
      </c>
      <c r="F1499" t="inlineStr">
        <is>
          <t>No</t>
        </is>
      </c>
      <c r="G1499" t="inlineStr">
        <is>
          <t>1</t>
        </is>
      </c>
      <c r="H1499" t="inlineStr">
        <is>
          <t>No</t>
        </is>
      </c>
      <c r="I1499" t="inlineStr">
        <is>
          <t>No</t>
        </is>
      </c>
      <c r="J1499" t="inlineStr">
        <is>
          <t>0</t>
        </is>
      </c>
      <c r="L1499" t="inlineStr">
        <is>
          <t>Lexington, Mass. : D.C. Heath, c1992.</t>
        </is>
      </c>
      <c r="M1499" t="inlineStr">
        <is>
          <t>1992</t>
        </is>
      </c>
      <c r="O1499" t="inlineStr">
        <is>
          <t>eng</t>
        </is>
      </c>
      <c r="P1499" t="inlineStr">
        <is>
          <t>mau</t>
        </is>
      </c>
      <c r="Q1499" t="inlineStr">
        <is>
          <t>Sources in modern history series</t>
        </is>
      </c>
      <c r="R1499" t="inlineStr">
        <is>
          <t>DJK</t>
        </is>
      </c>
      <c r="S1499" t="n">
        <v>2</v>
      </c>
      <c r="T1499" t="n">
        <v>2</v>
      </c>
      <c r="U1499" t="inlineStr">
        <is>
          <t>2009-12-07</t>
        </is>
      </c>
      <c r="V1499" t="inlineStr">
        <is>
          <t>2009-12-07</t>
        </is>
      </c>
      <c r="W1499" t="inlineStr">
        <is>
          <t>2001-07-23</t>
        </is>
      </c>
      <c r="X1499" t="inlineStr">
        <is>
          <t>2001-07-23</t>
        </is>
      </c>
      <c r="Y1499" t="n">
        <v>266</v>
      </c>
      <c r="Z1499" t="n">
        <v>192</v>
      </c>
      <c r="AA1499" t="n">
        <v>193</v>
      </c>
      <c r="AB1499" t="n">
        <v>5</v>
      </c>
      <c r="AC1499" t="n">
        <v>5</v>
      </c>
      <c r="AD1499" t="n">
        <v>16</v>
      </c>
      <c r="AE1499" t="n">
        <v>16</v>
      </c>
      <c r="AF1499" t="n">
        <v>5</v>
      </c>
      <c r="AG1499" t="n">
        <v>5</v>
      </c>
      <c r="AH1499" t="n">
        <v>5</v>
      </c>
      <c r="AI1499" t="n">
        <v>5</v>
      </c>
      <c r="AJ1499" t="n">
        <v>6</v>
      </c>
      <c r="AK1499" t="n">
        <v>6</v>
      </c>
      <c r="AL1499" t="n">
        <v>4</v>
      </c>
      <c r="AM1499" t="n">
        <v>4</v>
      </c>
      <c r="AN1499" t="n">
        <v>0</v>
      </c>
      <c r="AO1499" t="n">
        <v>0</v>
      </c>
      <c r="AP1499" t="inlineStr">
        <is>
          <t>No</t>
        </is>
      </c>
      <c r="AQ1499" t="inlineStr">
        <is>
          <t>Yes</t>
        </is>
      </c>
      <c r="AR1499">
        <f>HYPERLINK("http://catalog.hathitrust.org/Record/003617423","HathiTrust Record")</f>
        <v/>
      </c>
      <c r="AS1499">
        <f>HYPERLINK("https://creighton-primo.hosted.exlibrisgroup.com/primo-explore/search?tab=default_tab&amp;search_scope=EVERYTHING&amp;vid=01CRU&amp;lang=en_US&amp;offset=0&amp;query=any,contains,991003583869702656","Catalog Record")</f>
        <v/>
      </c>
      <c r="AT1499">
        <f>HYPERLINK("http://www.worldcat.org/oclc/25286839","WorldCat Record")</f>
        <v/>
      </c>
      <c r="AU1499" t="inlineStr">
        <is>
          <t>28338038:eng</t>
        </is>
      </c>
      <c r="AV1499" t="inlineStr">
        <is>
          <t>25286839</t>
        </is>
      </c>
      <c r="AW1499" t="inlineStr">
        <is>
          <t>991003583869702656</t>
        </is>
      </c>
      <c r="AX1499" t="inlineStr">
        <is>
          <t>991003583869702656</t>
        </is>
      </c>
      <c r="AY1499" t="inlineStr">
        <is>
          <t>2269282220002656</t>
        </is>
      </c>
      <c r="AZ1499" t="inlineStr">
        <is>
          <t>BOOK</t>
        </is>
      </c>
      <c r="BB1499" t="inlineStr">
        <is>
          <t>9780669249941</t>
        </is>
      </c>
      <c r="BC1499" t="inlineStr">
        <is>
          <t>32285004334255</t>
        </is>
      </c>
      <c r="BD1499" t="inlineStr">
        <is>
          <t>893805949</t>
        </is>
      </c>
    </row>
    <row r="1500">
      <c r="A1500" t="inlineStr">
        <is>
          <t>No</t>
        </is>
      </c>
      <c r="B1500" t="inlineStr">
        <is>
          <t>DJK50 .F724 1990</t>
        </is>
      </c>
      <c r="C1500" t="inlineStr">
        <is>
          <t>0                      DJK0050000F  724         1990</t>
        </is>
      </c>
      <c r="D1500" t="inlineStr">
        <is>
          <t>The patriots' revolution : how East Europe won its freedom / Mark Frankland.</t>
        </is>
      </c>
      <c r="F1500" t="inlineStr">
        <is>
          <t>No</t>
        </is>
      </c>
      <c r="G1500" t="inlineStr">
        <is>
          <t>1</t>
        </is>
      </c>
      <c r="H1500" t="inlineStr">
        <is>
          <t>No</t>
        </is>
      </c>
      <c r="I1500" t="inlineStr">
        <is>
          <t>No</t>
        </is>
      </c>
      <c r="J1500" t="inlineStr">
        <is>
          <t>0</t>
        </is>
      </c>
      <c r="K1500" t="inlineStr">
        <is>
          <t>Frankland, Mark, 1934-2012.</t>
        </is>
      </c>
      <c r="L1500" t="inlineStr">
        <is>
          <t>London, England : Sinclair-Stevenson, c1990.</t>
        </is>
      </c>
      <c r="M1500" t="inlineStr">
        <is>
          <t>1990</t>
        </is>
      </c>
      <c r="O1500" t="inlineStr">
        <is>
          <t>eng</t>
        </is>
      </c>
      <c r="P1500" t="inlineStr">
        <is>
          <t>enk</t>
        </is>
      </c>
      <c r="R1500" t="inlineStr">
        <is>
          <t>DJK</t>
        </is>
      </c>
      <c r="S1500" t="n">
        <v>2</v>
      </c>
      <c r="T1500" t="n">
        <v>2</v>
      </c>
      <c r="U1500" t="inlineStr">
        <is>
          <t>1993-11-10</t>
        </is>
      </c>
      <c r="V1500" t="inlineStr">
        <is>
          <t>1993-11-10</t>
        </is>
      </c>
      <c r="W1500" t="inlineStr">
        <is>
          <t>1991-08-27</t>
        </is>
      </c>
      <c r="X1500" t="inlineStr">
        <is>
          <t>1991-08-27</t>
        </is>
      </c>
      <c r="Y1500" t="n">
        <v>173</v>
      </c>
      <c r="Z1500" t="n">
        <v>63</v>
      </c>
      <c r="AA1500" t="n">
        <v>845</v>
      </c>
      <c r="AB1500" t="n">
        <v>2</v>
      </c>
      <c r="AC1500" t="n">
        <v>7</v>
      </c>
      <c r="AD1500" t="n">
        <v>3</v>
      </c>
      <c r="AE1500" t="n">
        <v>31</v>
      </c>
      <c r="AF1500" t="n">
        <v>0</v>
      </c>
      <c r="AG1500" t="n">
        <v>12</v>
      </c>
      <c r="AH1500" t="n">
        <v>1</v>
      </c>
      <c r="AI1500" t="n">
        <v>7</v>
      </c>
      <c r="AJ1500" t="n">
        <v>2</v>
      </c>
      <c r="AK1500" t="n">
        <v>11</v>
      </c>
      <c r="AL1500" t="n">
        <v>1</v>
      </c>
      <c r="AM1500" t="n">
        <v>5</v>
      </c>
      <c r="AN1500" t="n">
        <v>0</v>
      </c>
      <c r="AO1500" t="n">
        <v>2</v>
      </c>
      <c r="AP1500" t="inlineStr">
        <is>
          <t>No</t>
        </is>
      </c>
      <c r="AQ1500" t="inlineStr">
        <is>
          <t>Yes</t>
        </is>
      </c>
      <c r="AR1500">
        <f>HYPERLINK("http://catalog.hathitrust.org/Record/002455354","HathiTrust Record")</f>
        <v/>
      </c>
      <c r="AS1500">
        <f>HYPERLINK("https://creighton-primo.hosted.exlibrisgroup.com/primo-explore/search?tab=default_tab&amp;search_scope=EVERYTHING&amp;vid=01CRU&amp;lang=en_US&amp;offset=0&amp;query=any,contains,991001836609702656","Catalog Record")</f>
        <v/>
      </c>
      <c r="AT1500">
        <f>HYPERLINK("http://www.worldcat.org/oclc/26306373","WorldCat Record")</f>
        <v/>
      </c>
      <c r="AU1500" t="inlineStr">
        <is>
          <t>2864397389:eng</t>
        </is>
      </c>
      <c r="AV1500" t="inlineStr">
        <is>
          <t>26306373</t>
        </is>
      </c>
      <c r="AW1500" t="inlineStr">
        <is>
          <t>991001836609702656</t>
        </is>
      </c>
      <c r="AX1500" t="inlineStr">
        <is>
          <t>991001836609702656</t>
        </is>
      </c>
      <c r="AY1500" t="inlineStr">
        <is>
          <t>2264038520002656</t>
        </is>
      </c>
      <c r="AZ1500" t="inlineStr">
        <is>
          <t>BOOK</t>
        </is>
      </c>
      <c r="BB1500" t="inlineStr">
        <is>
          <t>9781856190213</t>
        </is>
      </c>
      <c r="BC1500" t="inlineStr">
        <is>
          <t>32285000702133</t>
        </is>
      </c>
      <c r="BD1500" t="inlineStr">
        <is>
          <t>893590683</t>
        </is>
      </c>
    </row>
    <row r="1501">
      <c r="A1501" t="inlineStr">
        <is>
          <t>No</t>
        </is>
      </c>
      <c r="B1501" t="inlineStr">
        <is>
          <t>DJK50 .F76 1996</t>
        </is>
      </c>
      <c r="C1501" t="inlineStr">
        <is>
          <t>0                      DJK0050000F  76          1996</t>
        </is>
      </c>
      <c r="D1501" t="inlineStr">
        <is>
          <t>From Stalinism to pluralism : a documentary history of Eastern Europe since 1945 / edited by Gale Stokes.</t>
        </is>
      </c>
      <c r="F1501" t="inlineStr">
        <is>
          <t>No</t>
        </is>
      </c>
      <c r="G1501" t="inlineStr">
        <is>
          <t>1</t>
        </is>
      </c>
      <c r="H1501" t="inlineStr">
        <is>
          <t>No</t>
        </is>
      </c>
      <c r="I1501" t="inlineStr">
        <is>
          <t>No</t>
        </is>
      </c>
      <c r="J1501" t="inlineStr">
        <is>
          <t>0</t>
        </is>
      </c>
      <c r="L1501" t="inlineStr">
        <is>
          <t>New York : Oxford University Press, 1996.</t>
        </is>
      </c>
      <c r="M1501" t="inlineStr">
        <is>
          <t>1996</t>
        </is>
      </c>
      <c r="N1501" t="inlineStr">
        <is>
          <t>2nd ed.</t>
        </is>
      </c>
      <c r="O1501" t="inlineStr">
        <is>
          <t>eng</t>
        </is>
      </c>
      <c r="P1501" t="inlineStr">
        <is>
          <t>nyu</t>
        </is>
      </c>
      <c r="R1501" t="inlineStr">
        <is>
          <t>DJK</t>
        </is>
      </c>
      <c r="S1501" t="n">
        <v>4</v>
      </c>
      <c r="T1501" t="n">
        <v>4</v>
      </c>
      <c r="U1501" t="inlineStr">
        <is>
          <t>2004-10-01</t>
        </is>
      </c>
      <c r="V1501" t="inlineStr">
        <is>
          <t>2004-10-01</t>
        </is>
      </c>
      <c r="W1501" t="inlineStr">
        <is>
          <t>2003-02-13</t>
        </is>
      </c>
      <c r="X1501" t="inlineStr">
        <is>
          <t>2003-02-13</t>
        </is>
      </c>
      <c r="Y1501" t="n">
        <v>436</v>
      </c>
      <c r="Z1501" t="n">
        <v>341</v>
      </c>
      <c r="AA1501" t="n">
        <v>736</v>
      </c>
      <c r="AB1501" t="n">
        <v>7</v>
      </c>
      <c r="AC1501" t="n">
        <v>8</v>
      </c>
      <c r="AD1501" t="n">
        <v>23</v>
      </c>
      <c r="AE1501" t="n">
        <v>44</v>
      </c>
      <c r="AF1501" t="n">
        <v>6</v>
      </c>
      <c r="AG1501" t="n">
        <v>17</v>
      </c>
      <c r="AH1501" t="n">
        <v>7</v>
      </c>
      <c r="AI1501" t="n">
        <v>10</v>
      </c>
      <c r="AJ1501" t="n">
        <v>10</v>
      </c>
      <c r="AK1501" t="n">
        <v>21</v>
      </c>
      <c r="AL1501" t="n">
        <v>6</v>
      </c>
      <c r="AM1501" t="n">
        <v>7</v>
      </c>
      <c r="AN1501" t="n">
        <v>1</v>
      </c>
      <c r="AO1501" t="n">
        <v>1</v>
      </c>
      <c r="AP1501" t="inlineStr">
        <is>
          <t>No</t>
        </is>
      </c>
      <c r="AQ1501" t="inlineStr">
        <is>
          <t>Yes</t>
        </is>
      </c>
      <c r="AR1501">
        <f>HYPERLINK("http://catalog.hathitrust.org/Record/004539997","HathiTrust Record")</f>
        <v/>
      </c>
      <c r="AS1501">
        <f>HYPERLINK("https://creighton-primo.hosted.exlibrisgroup.com/primo-explore/search?tab=default_tab&amp;search_scope=EVERYTHING&amp;vid=01CRU&amp;lang=en_US&amp;offset=0&amp;query=any,contains,991003995489702656","Catalog Record")</f>
        <v/>
      </c>
      <c r="AT1501">
        <f>HYPERLINK("http://www.worldcat.org/oclc/32049530","WorldCat Record")</f>
        <v/>
      </c>
      <c r="AU1501" t="inlineStr">
        <is>
          <t>795565082:eng</t>
        </is>
      </c>
      <c r="AV1501" t="inlineStr">
        <is>
          <t>32049530</t>
        </is>
      </c>
      <c r="AW1501" t="inlineStr">
        <is>
          <t>991003995489702656</t>
        </is>
      </c>
      <c r="AX1501" t="inlineStr">
        <is>
          <t>991003995489702656</t>
        </is>
      </c>
      <c r="AY1501" t="inlineStr">
        <is>
          <t>2265265470002656</t>
        </is>
      </c>
      <c r="AZ1501" t="inlineStr">
        <is>
          <t>BOOK</t>
        </is>
      </c>
      <c r="BB1501" t="inlineStr">
        <is>
          <t>9780195094466</t>
        </is>
      </c>
      <c r="BC1501" t="inlineStr">
        <is>
          <t>32285004698857</t>
        </is>
      </c>
      <c r="BD1501" t="inlineStr">
        <is>
          <t>893228782</t>
        </is>
      </c>
    </row>
    <row r="1502">
      <c r="A1502" t="inlineStr">
        <is>
          <t>No</t>
        </is>
      </c>
      <c r="B1502" t="inlineStr">
        <is>
          <t>DJK50 .M38 1992</t>
        </is>
      </c>
      <c r="C1502" t="inlineStr">
        <is>
          <t>0                      DJK0050000M  38          1992</t>
        </is>
      </c>
      <c r="D1502" t="inlineStr">
        <is>
          <t>Revolution in East-Central Europe : the rise and fall of communism and the Cold War / by David S. Mason.</t>
        </is>
      </c>
      <c r="F1502" t="inlineStr">
        <is>
          <t>No</t>
        </is>
      </c>
      <c r="G1502" t="inlineStr">
        <is>
          <t>1</t>
        </is>
      </c>
      <c r="H1502" t="inlineStr">
        <is>
          <t>No</t>
        </is>
      </c>
      <c r="I1502" t="inlineStr">
        <is>
          <t>No</t>
        </is>
      </c>
      <c r="J1502" t="inlineStr">
        <is>
          <t>0</t>
        </is>
      </c>
      <c r="K1502" t="inlineStr">
        <is>
          <t>Mason, David S. (David Stewart), 1947-</t>
        </is>
      </c>
      <c r="L1502" t="inlineStr">
        <is>
          <t>Boulder : Westview Press, 1992.</t>
        </is>
      </c>
      <c r="M1502" t="inlineStr">
        <is>
          <t>1992</t>
        </is>
      </c>
      <c r="O1502" t="inlineStr">
        <is>
          <t>eng</t>
        </is>
      </c>
      <c r="P1502" t="inlineStr">
        <is>
          <t>cou</t>
        </is>
      </c>
      <c r="Q1502" t="inlineStr">
        <is>
          <t>Dilemmas in world politics</t>
        </is>
      </c>
      <c r="R1502" t="inlineStr">
        <is>
          <t>DJK</t>
        </is>
      </c>
      <c r="S1502" t="n">
        <v>8</v>
      </c>
      <c r="T1502" t="n">
        <v>8</v>
      </c>
      <c r="U1502" t="inlineStr">
        <is>
          <t>1998-04-07</t>
        </is>
      </c>
      <c r="V1502" t="inlineStr">
        <is>
          <t>1998-04-07</t>
        </is>
      </c>
      <c r="W1502" t="inlineStr">
        <is>
          <t>1992-11-20</t>
        </is>
      </c>
      <c r="X1502" t="inlineStr">
        <is>
          <t>1992-11-20</t>
        </is>
      </c>
      <c r="Y1502" t="n">
        <v>490</v>
      </c>
      <c r="Z1502" t="n">
        <v>375</v>
      </c>
      <c r="AA1502" t="n">
        <v>400</v>
      </c>
      <c r="AB1502" t="n">
        <v>4</v>
      </c>
      <c r="AC1502" t="n">
        <v>4</v>
      </c>
      <c r="AD1502" t="n">
        <v>23</v>
      </c>
      <c r="AE1502" t="n">
        <v>23</v>
      </c>
      <c r="AF1502" t="n">
        <v>8</v>
      </c>
      <c r="AG1502" t="n">
        <v>8</v>
      </c>
      <c r="AH1502" t="n">
        <v>8</v>
      </c>
      <c r="AI1502" t="n">
        <v>8</v>
      </c>
      <c r="AJ1502" t="n">
        <v>10</v>
      </c>
      <c r="AK1502" t="n">
        <v>10</v>
      </c>
      <c r="AL1502" t="n">
        <v>3</v>
      </c>
      <c r="AM1502" t="n">
        <v>3</v>
      </c>
      <c r="AN1502" t="n">
        <v>0</v>
      </c>
      <c r="AO1502" t="n">
        <v>0</v>
      </c>
      <c r="AP1502" t="inlineStr">
        <is>
          <t>No</t>
        </is>
      </c>
      <c r="AQ1502" t="inlineStr">
        <is>
          <t>Yes</t>
        </is>
      </c>
      <c r="AR1502">
        <f>HYPERLINK("http://catalog.hathitrust.org/Record/002581603","HathiTrust Record")</f>
        <v/>
      </c>
      <c r="AS1502">
        <f>HYPERLINK("https://creighton-primo.hosted.exlibrisgroup.com/primo-explore/search?tab=default_tab&amp;search_scope=EVERYTHING&amp;vid=01CRU&amp;lang=en_US&amp;offset=0&amp;query=any,contains,991002000629702656","Catalog Record")</f>
        <v/>
      </c>
      <c r="AT1502">
        <f>HYPERLINK("http://www.worldcat.org/oclc/25411496","WorldCat Record")</f>
        <v/>
      </c>
      <c r="AU1502" t="inlineStr">
        <is>
          <t>10252393623:eng</t>
        </is>
      </c>
      <c r="AV1502" t="inlineStr">
        <is>
          <t>25411496</t>
        </is>
      </c>
      <c r="AW1502" t="inlineStr">
        <is>
          <t>991002000629702656</t>
        </is>
      </c>
      <c r="AX1502" t="inlineStr">
        <is>
          <t>991002000629702656</t>
        </is>
      </c>
      <c r="AY1502" t="inlineStr">
        <is>
          <t>2255427050002656</t>
        </is>
      </c>
      <c r="AZ1502" t="inlineStr">
        <is>
          <t>BOOK</t>
        </is>
      </c>
      <c r="BB1502" t="inlineStr">
        <is>
          <t>9780813313405</t>
        </is>
      </c>
      <c r="BC1502" t="inlineStr">
        <is>
          <t>32285001363687</t>
        </is>
      </c>
      <c r="BD1502" t="inlineStr">
        <is>
          <t>893691111</t>
        </is>
      </c>
    </row>
    <row r="1503">
      <c r="A1503" t="inlineStr">
        <is>
          <t>No</t>
        </is>
      </c>
      <c r="B1503" t="inlineStr">
        <is>
          <t>DJK50 .M38 1996</t>
        </is>
      </c>
      <c r="C1503" t="inlineStr">
        <is>
          <t>0                      DJK0050000M  38          1996</t>
        </is>
      </c>
      <c r="D1503" t="inlineStr">
        <is>
          <t>Revolution and transition in East-Central Europe / David S. Mason.</t>
        </is>
      </c>
      <c r="F1503" t="inlineStr">
        <is>
          <t>No</t>
        </is>
      </c>
      <c r="G1503" t="inlineStr">
        <is>
          <t>1</t>
        </is>
      </c>
      <c r="H1503" t="inlineStr">
        <is>
          <t>No</t>
        </is>
      </c>
      <c r="I1503" t="inlineStr">
        <is>
          <t>No</t>
        </is>
      </c>
      <c r="J1503" t="inlineStr">
        <is>
          <t>0</t>
        </is>
      </c>
      <c r="K1503" t="inlineStr">
        <is>
          <t>Mason, David S. (David Stewart), 1947-</t>
        </is>
      </c>
      <c r="L1503" t="inlineStr">
        <is>
          <t>Boulder, Colo. : Westview Press, 1996.</t>
        </is>
      </c>
      <c r="M1503" t="inlineStr">
        <is>
          <t>1996</t>
        </is>
      </c>
      <c r="N1503" t="inlineStr">
        <is>
          <t>2nd ed.</t>
        </is>
      </c>
      <c r="O1503" t="inlineStr">
        <is>
          <t>eng</t>
        </is>
      </c>
      <c r="P1503" t="inlineStr">
        <is>
          <t>cou</t>
        </is>
      </c>
      <c r="Q1503" t="inlineStr">
        <is>
          <t>Dilemmas in world politics</t>
        </is>
      </c>
      <c r="R1503" t="inlineStr">
        <is>
          <t>DJK</t>
        </is>
      </c>
      <c r="S1503" t="n">
        <v>3</v>
      </c>
      <c r="T1503" t="n">
        <v>3</v>
      </c>
      <c r="U1503" t="inlineStr">
        <is>
          <t>2010-04-20</t>
        </is>
      </c>
      <c r="V1503" t="inlineStr">
        <is>
          <t>2010-04-20</t>
        </is>
      </c>
      <c r="W1503" t="inlineStr">
        <is>
          <t>1998-11-16</t>
        </is>
      </c>
      <c r="X1503" t="inlineStr">
        <is>
          <t>1998-11-16</t>
        </is>
      </c>
      <c r="Y1503" t="n">
        <v>314</v>
      </c>
      <c r="Z1503" t="n">
        <v>224</v>
      </c>
      <c r="AA1503" t="n">
        <v>245</v>
      </c>
      <c r="AB1503" t="n">
        <v>3</v>
      </c>
      <c r="AC1503" t="n">
        <v>3</v>
      </c>
      <c r="AD1503" t="n">
        <v>14</v>
      </c>
      <c r="AE1503" t="n">
        <v>14</v>
      </c>
      <c r="AF1503" t="n">
        <v>3</v>
      </c>
      <c r="AG1503" t="n">
        <v>3</v>
      </c>
      <c r="AH1503" t="n">
        <v>6</v>
      </c>
      <c r="AI1503" t="n">
        <v>6</v>
      </c>
      <c r="AJ1503" t="n">
        <v>7</v>
      </c>
      <c r="AK1503" t="n">
        <v>7</v>
      </c>
      <c r="AL1503" t="n">
        <v>2</v>
      </c>
      <c r="AM1503" t="n">
        <v>2</v>
      </c>
      <c r="AN1503" t="n">
        <v>0</v>
      </c>
      <c r="AO1503" t="n">
        <v>0</v>
      </c>
      <c r="AP1503" t="inlineStr">
        <is>
          <t>No</t>
        </is>
      </c>
      <c r="AQ1503" t="inlineStr">
        <is>
          <t>Yes</t>
        </is>
      </c>
      <c r="AR1503">
        <f>HYPERLINK("http://catalog.hathitrust.org/Record/003268451","HathiTrust Record")</f>
        <v/>
      </c>
      <c r="AS1503">
        <f>HYPERLINK("https://creighton-primo.hosted.exlibrisgroup.com/primo-explore/search?tab=default_tab&amp;search_scope=EVERYTHING&amp;vid=01CRU&amp;lang=en_US&amp;offset=0&amp;query=any,contains,991002667909702656","Catalog Record")</f>
        <v/>
      </c>
      <c r="AT1503">
        <f>HYPERLINK("http://www.worldcat.org/oclc/34894441","WorldCat Record")</f>
        <v/>
      </c>
      <c r="AU1503" t="inlineStr">
        <is>
          <t>40356949:eng</t>
        </is>
      </c>
      <c r="AV1503" t="inlineStr">
        <is>
          <t>34894441</t>
        </is>
      </c>
      <c r="AW1503" t="inlineStr">
        <is>
          <t>991002667909702656</t>
        </is>
      </c>
      <c r="AX1503" t="inlineStr">
        <is>
          <t>991002667909702656</t>
        </is>
      </c>
      <c r="AY1503" t="inlineStr">
        <is>
          <t>2269256070002656</t>
        </is>
      </c>
      <c r="AZ1503" t="inlineStr">
        <is>
          <t>BOOK</t>
        </is>
      </c>
      <c r="BB1503" t="inlineStr">
        <is>
          <t>9780813328348</t>
        </is>
      </c>
      <c r="BC1503" t="inlineStr">
        <is>
          <t>32285003488797</t>
        </is>
      </c>
      <c r="BD1503" t="inlineStr">
        <is>
          <t>893591630</t>
        </is>
      </c>
    </row>
    <row r="1504">
      <c r="A1504" t="inlineStr">
        <is>
          <t>No</t>
        </is>
      </c>
      <c r="B1504" t="inlineStr">
        <is>
          <t>DJK50 .P4 2002</t>
        </is>
      </c>
      <c r="C1504" t="inlineStr">
        <is>
          <t>0                      DJK0050000P  4           2002</t>
        </is>
      </c>
      <c r="D1504" t="inlineStr">
        <is>
          <t>The rise and fall of the Soviet Empire / Raymond Pearson.</t>
        </is>
      </c>
      <c r="F1504" t="inlineStr">
        <is>
          <t>No</t>
        </is>
      </c>
      <c r="G1504" t="inlineStr">
        <is>
          <t>1</t>
        </is>
      </c>
      <c r="H1504" t="inlineStr">
        <is>
          <t>No</t>
        </is>
      </c>
      <c r="I1504" t="inlineStr">
        <is>
          <t>No</t>
        </is>
      </c>
      <c r="J1504" t="inlineStr">
        <is>
          <t>0</t>
        </is>
      </c>
      <c r="K1504" t="inlineStr">
        <is>
          <t>Pearson, Raymond.</t>
        </is>
      </c>
      <c r="L1504" t="inlineStr">
        <is>
          <t>New York : Palgrave, 2002.</t>
        </is>
      </c>
      <c r="M1504" t="inlineStr">
        <is>
          <t>2002</t>
        </is>
      </c>
      <c r="N1504" t="inlineStr">
        <is>
          <t>2nd ed.</t>
        </is>
      </c>
      <c r="O1504" t="inlineStr">
        <is>
          <t>eng</t>
        </is>
      </c>
      <c r="P1504" t="inlineStr">
        <is>
          <t>nyu</t>
        </is>
      </c>
      <c r="Q1504" t="inlineStr">
        <is>
          <t>Studies in contemporary history</t>
        </is>
      </c>
      <c r="R1504" t="inlineStr">
        <is>
          <t>DJK</t>
        </is>
      </c>
      <c r="S1504" t="n">
        <v>1</v>
      </c>
      <c r="T1504" t="n">
        <v>1</v>
      </c>
      <c r="U1504" t="inlineStr">
        <is>
          <t>2003-01-13</t>
        </is>
      </c>
      <c r="V1504" t="inlineStr">
        <is>
          <t>2003-01-13</t>
        </is>
      </c>
      <c r="W1504" t="inlineStr">
        <is>
          <t>2003-01-13</t>
        </is>
      </c>
      <c r="X1504" t="inlineStr">
        <is>
          <t>2003-01-13</t>
        </is>
      </c>
      <c r="Y1504" t="n">
        <v>245</v>
      </c>
      <c r="Z1504" t="n">
        <v>166</v>
      </c>
      <c r="AA1504" t="n">
        <v>329</v>
      </c>
      <c r="AB1504" t="n">
        <v>1</v>
      </c>
      <c r="AC1504" t="n">
        <v>2</v>
      </c>
      <c r="AD1504" t="n">
        <v>7</v>
      </c>
      <c r="AE1504" t="n">
        <v>14</v>
      </c>
      <c r="AF1504" t="n">
        <v>2</v>
      </c>
      <c r="AG1504" t="n">
        <v>4</v>
      </c>
      <c r="AH1504" t="n">
        <v>4</v>
      </c>
      <c r="AI1504" t="n">
        <v>5</v>
      </c>
      <c r="AJ1504" t="n">
        <v>4</v>
      </c>
      <c r="AK1504" t="n">
        <v>9</v>
      </c>
      <c r="AL1504" t="n">
        <v>0</v>
      </c>
      <c r="AM1504" t="n">
        <v>1</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HYPERLINK("https://creighton-primo.hosted.exlibrisgroup.com/primo-explore/search?tab=default_tab&amp;search_scope=EVERYTHING&amp;vid=01CRU&amp;lang=en_US&amp;offset=0&amp;query=any,contains,991003951869702656","Catalog Record")</f>
        <v/>
      </c>
      <c r="AT1504">
        <f>HYPERLINK("http://www.worldcat.org/oclc/48710866","WorldCat Record")</f>
        <v/>
      </c>
      <c r="AU1504" t="inlineStr">
        <is>
          <t>609468:eng</t>
        </is>
      </c>
      <c r="AV1504" t="inlineStr">
        <is>
          <t>48710866</t>
        </is>
      </c>
      <c r="AW1504" t="inlineStr">
        <is>
          <t>991003951869702656</t>
        </is>
      </c>
      <c r="AX1504" t="inlineStr">
        <is>
          <t>991003951869702656</t>
        </is>
      </c>
      <c r="AY1504" t="inlineStr">
        <is>
          <t>2263450650002656</t>
        </is>
      </c>
      <c r="AZ1504" t="inlineStr">
        <is>
          <t>BOOK</t>
        </is>
      </c>
      <c r="BB1504" t="inlineStr">
        <is>
          <t>9780333948071</t>
        </is>
      </c>
      <c r="BC1504" t="inlineStr">
        <is>
          <t>32285004693809</t>
        </is>
      </c>
      <c r="BD1504" t="inlineStr">
        <is>
          <t>893599243</t>
        </is>
      </c>
    </row>
    <row r="1505">
      <c r="A1505" t="inlineStr">
        <is>
          <t>No</t>
        </is>
      </c>
      <c r="B1505" t="inlineStr">
        <is>
          <t>DJK50 .P57 2004</t>
        </is>
      </c>
      <c r="C1505" t="inlineStr">
        <is>
          <t>0                      DJK0050000P  57          2004</t>
        </is>
      </c>
      <c r="D1505" t="inlineStr">
        <is>
          <t>Eastern Europe 1939-2000 / Mark Pittaway.</t>
        </is>
      </c>
      <c r="F1505" t="inlineStr">
        <is>
          <t>No</t>
        </is>
      </c>
      <c r="G1505" t="inlineStr">
        <is>
          <t>1</t>
        </is>
      </c>
      <c r="H1505" t="inlineStr">
        <is>
          <t>No</t>
        </is>
      </c>
      <c r="I1505" t="inlineStr">
        <is>
          <t>No</t>
        </is>
      </c>
      <c r="J1505" t="inlineStr">
        <is>
          <t>0</t>
        </is>
      </c>
      <c r="K1505" t="inlineStr">
        <is>
          <t>Pittaway, Mark, 1971-2010.</t>
        </is>
      </c>
      <c r="L1505" t="inlineStr">
        <is>
          <t>London : Arnold ; New York : Distributed in the U.S.A. by Oxford University Press, 2004.</t>
        </is>
      </c>
      <c r="M1505" t="inlineStr">
        <is>
          <t>2004</t>
        </is>
      </c>
      <c r="O1505" t="inlineStr">
        <is>
          <t>eng</t>
        </is>
      </c>
      <c r="P1505" t="inlineStr">
        <is>
          <t>enk</t>
        </is>
      </c>
      <c r="Q1505" t="inlineStr">
        <is>
          <t>Brief histories</t>
        </is>
      </c>
      <c r="R1505" t="inlineStr">
        <is>
          <t>DJK</t>
        </is>
      </c>
      <c r="S1505" t="n">
        <v>1</v>
      </c>
      <c r="T1505" t="n">
        <v>1</v>
      </c>
      <c r="U1505" t="inlineStr">
        <is>
          <t>2006-07-12</t>
        </is>
      </c>
      <c r="V1505" t="inlineStr">
        <is>
          <t>2006-07-12</t>
        </is>
      </c>
      <c r="W1505" t="inlineStr">
        <is>
          <t>2006-07-12</t>
        </is>
      </c>
      <c r="X1505" t="inlineStr">
        <is>
          <t>2006-07-12</t>
        </is>
      </c>
      <c r="Y1505" t="n">
        <v>642</v>
      </c>
      <c r="Z1505" t="n">
        <v>497</v>
      </c>
      <c r="AA1505" t="n">
        <v>498</v>
      </c>
      <c r="AB1505" t="n">
        <v>3</v>
      </c>
      <c r="AC1505" t="n">
        <v>3</v>
      </c>
      <c r="AD1505" t="n">
        <v>27</v>
      </c>
      <c r="AE1505" t="n">
        <v>27</v>
      </c>
      <c r="AF1505" t="n">
        <v>13</v>
      </c>
      <c r="AG1505" t="n">
        <v>13</v>
      </c>
      <c r="AH1505" t="n">
        <v>7</v>
      </c>
      <c r="AI1505" t="n">
        <v>7</v>
      </c>
      <c r="AJ1505" t="n">
        <v>12</v>
      </c>
      <c r="AK1505" t="n">
        <v>12</v>
      </c>
      <c r="AL1505" t="n">
        <v>2</v>
      </c>
      <c r="AM1505" t="n">
        <v>2</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HYPERLINK("https://creighton-primo.hosted.exlibrisgroup.com/primo-explore/search?tab=default_tab&amp;search_scope=EVERYTHING&amp;vid=01CRU&amp;lang=en_US&amp;offset=0&amp;query=any,contains,991004847799702656","Catalog Record")</f>
        <v/>
      </c>
      <c r="AT1505">
        <f>HYPERLINK("http://www.worldcat.org/oclc/52358259","WorldCat Record")</f>
        <v/>
      </c>
      <c r="AU1505" t="inlineStr">
        <is>
          <t>288025717:eng</t>
        </is>
      </c>
      <c r="AV1505" t="inlineStr">
        <is>
          <t>52358259</t>
        </is>
      </c>
      <c r="AW1505" t="inlineStr">
        <is>
          <t>991004847799702656</t>
        </is>
      </c>
      <c r="AX1505" t="inlineStr">
        <is>
          <t>991004847799702656</t>
        </is>
      </c>
      <c r="AY1505" t="inlineStr">
        <is>
          <t>2264743430002656</t>
        </is>
      </c>
      <c r="AZ1505" t="inlineStr">
        <is>
          <t>BOOK</t>
        </is>
      </c>
      <c r="BB1505" t="inlineStr">
        <is>
          <t>9780340762196</t>
        </is>
      </c>
      <c r="BC1505" t="inlineStr">
        <is>
          <t>32285005193056</t>
        </is>
      </c>
      <c r="BD1505" t="inlineStr">
        <is>
          <t>893619150</t>
        </is>
      </c>
    </row>
    <row r="1506">
      <c r="A1506" t="inlineStr">
        <is>
          <t>No</t>
        </is>
      </c>
      <c r="B1506" t="inlineStr">
        <is>
          <t>DJK50 .R27 1991</t>
        </is>
      </c>
      <c r="C1506" t="inlineStr">
        <is>
          <t>0                      DJK0050000R  27          1991</t>
        </is>
      </c>
      <c r="D1506" t="inlineStr">
        <is>
          <t>Demise &amp; regenesis of East-Central Europe : roots of the political forces and their evolvement / Jouffroy-Lucien Radel.</t>
        </is>
      </c>
      <c r="F1506" t="inlineStr">
        <is>
          <t>No</t>
        </is>
      </c>
      <c r="G1506" t="inlineStr">
        <is>
          <t>1</t>
        </is>
      </c>
      <c r="H1506" t="inlineStr">
        <is>
          <t>No</t>
        </is>
      </c>
      <c r="I1506" t="inlineStr">
        <is>
          <t>No</t>
        </is>
      </c>
      <c r="J1506" t="inlineStr">
        <is>
          <t>0</t>
        </is>
      </c>
      <c r="K1506" t="inlineStr">
        <is>
          <t>Radel, Jouffroy-Lucien.</t>
        </is>
      </c>
      <c r="L1506" t="inlineStr">
        <is>
          <t>Appleton, Wisconsin : Lakesider Pub. Co., c1991.</t>
        </is>
      </c>
      <c r="M1506" t="inlineStr">
        <is>
          <t>1991</t>
        </is>
      </c>
      <c r="O1506" t="inlineStr">
        <is>
          <t>eng</t>
        </is>
      </c>
      <c r="P1506" t="inlineStr">
        <is>
          <t>wiu</t>
        </is>
      </c>
      <c r="R1506" t="inlineStr">
        <is>
          <t>DJK</t>
        </is>
      </c>
      <c r="S1506" t="n">
        <v>5</v>
      </c>
      <c r="T1506" t="n">
        <v>5</v>
      </c>
      <c r="U1506" t="inlineStr">
        <is>
          <t>1993-03-01</t>
        </is>
      </c>
      <c r="V1506" t="inlineStr">
        <is>
          <t>1993-03-01</t>
        </is>
      </c>
      <c r="W1506" t="inlineStr">
        <is>
          <t>1992-06-03</t>
        </is>
      </c>
      <c r="X1506" t="inlineStr">
        <is>
          <t>1992-06-03</t>
        </is>
      </c>
      <c r="Y1506" t="n">
        <v>48</v>
      </c>
      <c r="Z1506" t="n">
        <v>47</v>
      </c>
      <c r="AA1506" t="n">
        <v>49</v>
      </c>
      <c r="AB1506" t="n">
        <v>2</v>
      </c>
      <c r="AC1506" t="n">
        <v>2</v>
      </c>
      <c r="AD1506" t="n">
        <v>1</v>
      </c>
      <c r="AE1506" t="n">
        <v>1</v>
      </c>
      <c r="AF1506" t="n">
        <v>0</v>
      </c>
      <c r="AG1506" t="n">
        <v>0</v>
      </c>
      <c r="AH1506" t="n">
        <v>0</v>
      </c>
      <c r="AI1506" t="n">
        <v>0</v>
      </c>
      <c r="AJ1506" t="n">
        <v>0</v>
      </c>
      <c r="AK1506" t="n">
        <v>0</v>
      </c>
      <c r="AL1506" t="n">
        <v>1</v>
      </c>
      <c r="AM1506" t="n">
        <v>1</v>
      </c>
      <c r="AN1506" t="n">
        <v>0</v>
      </c>
      <c r="AO1506" t="n">
        <v>0</v>
      </c>
      <c r="AP1506" t="inlineStr">
        <is>
          <t>No</t>
        </is>
      </c>
      <c r="AQ1506" t="inlineStr">
        <is>
          <t>Yes</t>
        </is>
      </c>
      <c r="AR1506">
        <f>HYPERLINK("http://catalog.hathitrust.org/Record/009534078","HathiTrust Record")</f>
        <v/>
      </c>
      <c r="AS1506">
        <f>HYPERLINK("https://creighton-primo.hosted.exlibrisgroup.com/primo-explore/search?tab=default_tab&amp;search_scope=EVERYTHING&amp;vid=01CRU&amp;lang=en_US&amp;offset=0&amp;query=any,contains,991001994539702656","Catalog Record")</f>
        <v/>
      </c>
      <c r="AT1506">
        <f>HYPERLINK("http://www.worldcat.org/oclc/25331636","WorldCat Record")</f>
        <v/>
      </c>
      <c r="AU1506" t="inlineStr">
        <is>
          <t>947345449:eng</t>
        </is>
      </c>
      <c r="AV1506" t="inlineStr">
        <is>
          <t>25331636</t>
        </is>
      </c>
      <c r="AW1506" t="inlineStr">
        <is>
          <t>991001994539702656</t>
        </is>
      </c>
      <c r="AX1506" t="inlineStr">
        <is>
          <t>991001994539702656</t>
        </is>
      </c>
      <c r="AY1506" t="inlineStr">
        <is>
          <t>2255494570002656</t>
        </is>
      </c>
      <c r="AZ1506" t="inlineStr">
        <is>
          <t>BOOK</t>
        </is>
      </c>
      <c r="BB1506" t="inlineStr">
        <is>
          <t>9780962535932</t>
        </is>
      </c>
      <c r="BC1506" t="inlineStr">
        <is>
          <t>32285001126167</t>
        </is>
      </c>
      <c r="BD1506" t="inlineStr">
        <is>
          <t>893250698</t>
        </is>
      </c>
    </row>
    <row r="1507">
      <c r="A1507" t="inlineStr">
        <is>
          <t>No</t>
        </is>
      </c>
      <c r="B1507" t="inlineStr">
        <is>
          <t>DJK50 .R67 1993</t>
        </is>
      </c>
      <c r="C1507" t="inlineStr">
        <is>
          <t>0                      DJK0050000R  67          1993</t>
        </is>
      </c>
      <c r="D1507" t="inlineStr">
        <is>
          <t>Return to diversity : a political history of East Central Europe since World War II / Joseph Rothschild.</t>
        </is>
      </c>
      <c r="F1507" t="inlineStr">
        <is>
          <t>No</t>
        </is>
      </c>
      <c r="G1507" t="inlineStr">
        <is>
          <t>1</t>
        </is>
      </c>
      <c r="H1507" t="inlineStr">
        <is>
          <t>No</t>
        </is>
      </c>
      <c r="I1507" t="inlineStr">
        <is>
          <t>Yes</t>
        </is>
      </c>
      <c r="J1507" t="inlineStr">
        <is>
          <t>0</t>
        </is>
      </c>
      <c r="K1507" t="inlineStr">
        <is>
          <t>Rothschild, Joseph.</t>
        </is>
      </c>
      <c r="L1507" t="inlineStr">
        <is>
          <t>New York : Oxford University Press, 1993.</t>
        </is>
      </c>
      <c r="M1507" t="inlineStr">
        <is>
          <t>1993</t>
        </is>
      </c>
      <c r="N1507" t="inlineStr">
        <is>
          <t>2nd ed.</t>
        </is>
      </c>
      <c r="O1507" t="inlineStr">
        <is>
          <t>eng</t>
        </is>
      </c>
      <c r="P1507" t="inlineStr">
        <is>
          <t>nyu</t>
        </is>
      </c>
      <c r="R1507" t="inlineStr">
        <is>
          <t>DJK</t>
        </is>
      </c>
      <c r="S1507" t="n">
        <v>2</v>
      </c>
      <c r="T1507" t="n">
        <v>2</v>
      </c>
      <c r="U1507" t="inlineStr">
        <is>
          <t>1994-12-11</t>
        </is>
      </c>
      <c r="V1507" t="inlineStr">
        <is>
          <t>1994-12-11</t>
        </is>
      </c>
      <c r="W1507" t="inlineStr">
        <is>
          <t>1993-10-21</t>
        </is>
      </c>
      <c r="X1507" t="inlineStr">
        <is>
          <t>1993-10-21</t>
        </is>
      </c>
      <c r="Y1507" t="n">
        <v>499</v>
      </c>
      <c r="Z1507" t="n">
        <v>363</v>
      </c>
      <c r="AA1507" t="n">
        <v>1028</v>
      </c>
      <c r="AB1507" t="n">
        <v>4</v>
      </c>
      <c r="AC1507" t="n">
        <v>9</v>
      </c>
      <c r="AD1507" t="n">
        <v>21</v>
      </c>
      <c r="AE1507" t="n">
        <v>50</v>
      </c>
      <c r="AF1507" t="n">
        <v>6</v>
      </c>
      <c r="AG1507" t="n">
        <v>23</v>
      </c>
      <c r="AH1507" t="n">
        <v>7</v>
      </c>
      <c r="AI1507" t="n">
        <v>11</v>
      </c>
      <c r="AJ1507" t="n">
        <v>12</v>
      </c>
      <c r="AK1507" t="n">
        <v>22</v>
      </c>
      <c r="AL1507" t="n">
        <v>3</v>
      </c>
      <c r="AM1507" t="n">
        <v>7</v>
      </c>
      <c r="AN1507" t="n">
        <v>0</v>
      </c>
      <c r="AO1507" t="n">
        <v>0</v>
      </c>
      <c r="AP1507" t="inlineStr">
        <is>
          <t>No</t>
        </is>
      </c>
      <c r="AQ1507" t="inlineStr">
        <is>
          <t>Yes</t>
        </is>
      </c>
      <c r="AR1507">
        <f>HYPERLINK("http://catalog.hathitrust.org/Record/002806001","HathiTrust Record")</f>
        <v/>
      </c>
      <c r="AS1507">
        <f>HYPERLINK("https://creighton-primo.hosted.exlibrisgroup.com/primo-explore/search?tab=default_tab&amp;search_scope=EVERYTHING&amp;vid=01CRU&amp;lang=en_US&amp;offset=0&amp;query=any,contains,991002083319702656","Catalog Record")</f>
        <v/>
      </c>
      <c r="AT1507">
        <f>HYPERLINK("http://www.worldcat.org/oclc/26722839","WorldCat Record")</f>
        <v/>
      </c>
      <c r="AU1507" t="inlineStr">
        <is>
          <t>16110091:eng</t>
        </is>
      </c>
      <c r="AV1507" t="inlineStr">
        <is>
          <t>26722839</t>
        </is>
      </c>
      <c r="AW1507" t="inlineStr">
        <is>
          <t>991002083319702656</t>
        </is>
      </c>
      <c r="AX1507" t="inlineStr">
        <is>
          <t>991002083319702656</t>
        </is>
      </c>
      <c r="AY1507" t="inlineStr">
        <is>
          <t>2270309570002656</t>
        </is>
      </c>
      <c r="AZ1507" t="inlineStr">
        <is>
          <t>BOOK</t>
        </is>
      </c>
      <c r="BB1507" t="inlineStr">
        <is>
          <t>9780195073812</t>
        </is>
      </c>
      <c r="BC1507" t="inlineStr">
        <is>
          <t>32285001787760</t>
        </is>
      </c>
      <c r="BD1507" t="inlineStr">
        <is>
          <t>893256854</t>
        </is>
      </c>
    </row>
    <row r="1508">
      <c r="A1508" t="inlineStr">
        <is>
          <t>No</t>
        </is>
      </c>
      <c r="B1508" t="inlineStr">
        <is>
          <t>DJK50 .R67 2000</t>
        </is>
      </c>
      <c r="C1508" t="inlineStr">
        <is>
          <t>0                      DJK0050000R  67          2000</t>
        </is>
      </c>
      <c r="D1508" t="inlineStr">
        <is>
          <t>Return to diversity : a political history of East Central Europe since World War II / Joseph Rothschild, Nancy M. Wingfield.</t>
        </is>
      </c>
      <c r="F1508" t="inlineStr">
        <is>
          <t>No</t>
        </is>
      </c>
      <c r="G1508" t="inlineStr">
        <is>
          <t>1</t>
        </is>
      </c>
      <c r="H1508" t="inlineStr">
        <is>
          <t>No</t>
        </is>
      </c>
      <c r="I1508" t="inlineStr">
        <is>
          <t>Yes</t>
        </is>
      </c>
      <c r="J1508" t="inlineStr">
        <is>
          <t>0</t>
        </is>
      </c>
      <c r="K1508" t="inlineStr">
        <is>
          <t>Rothschild, Joseph.</t>
        </is>
      </c>
      <c r="L1508" t="inlineStr">
        <is>
          <t>New York : Oxford University Press, 2000.</t>
        </is>
      </c>
      <c r="M1508" t="inlineStr">
        <is>
          <t>2000</t>
        </is>
      </c>
      <c r="N1508" t="inlineStr">
        <is>
          <t>3rd ed.</t>
        </is>
      </c>
      <c r="O1508" t="inlineStr">
        <is>
          <t>eng</t>
        </is>
      </c>
      <c r="P1508" t="inlineStr">
        <is>
          <t>nyu</t>
        </is>
      </c>
      <c r="R1508" t="inlineStr">
        <is>
          <t>DJK</t>
        </is>
      </c>
      <c r="S1508" t="n">
        <v>3</v>
      </c>
      <c r="T1508" t="n">
        <v>3</v>
      </c>
      <c r="U1508" t="inlineStr">
        <is>
          <t>2003-11-05</t>
        </is>
      </c>
      <c r="V1508" t="inlineStr">
        <is>
          <t>2003-11-05</t>
        </is>
      </c>
      <c r="W1508" t="inlineStr">
        <is>
          <t>1999-11-10</t>
        </is>
      </c>
      <c r="X1508" t="inlineStr">
        <is>
          <t>1999-11-10</t>
        </is>
      </c>
      <c r="Y1508" t="n">
        <v>427</v>
      </c>
      <c r="Z1508" t="n">
        <v>341</v>
      </c>
      <c r="AA1508" t="n">
        <v>1028</v>
      </c>
      <c r="AB1508" t="n">
        <v>5</v>
      </c>
      <c r="AC1508" t="n">
        <v>9</v>
      </c>
      <c r="AD1508" t="n">
        <v>22</v>
      </c>
      <c r="AE1508" t="n">
        <v>50</v>
      </c>
      <c r="AF1508" t="n">
        <v>7</v>
      </c>
      <c r="AG1508" t="n">
        <v>23</v>
      </c>
      <c r="AH1508" t="n">
        <v>4</v>
      </c>
      <c r="AI1508" t="n">
        <v>11</v>
      </c>
      <c r="AJ1508" t="n">
        <v>12</v>
      </c>
      <c r="AK1508" t="n">
        <v>22</v>
      </c>
      <c r="AL1508" t="n">
        <v>4</v>
      </c>
      <c r="AM1508" t="n">
        <v>7</v>
      </c>
      <c r="AN1508" t="n">
        <v>0</v>
      </c>
      <c r="AO1508" t="n">
        <v>0</v>
      </c>
      <c r="AP1508" t="inlineStr">
        <is>
          <t>No</t>
        </is>
      </c>
      <c r="AQ1508" t="inlineStr">
        <is>
          <t>Yes</t>
        </is>
      </c>
      <c r="AR1508">
        <f>HYPERLINK("http://catalog.hathitrust.org/Record/004051824","HathiTrust Record")</f>
        <v/>
      </c>
      <c r="AS1508">
        <f>HYPERLINK("https://creighton-primo.hosted.exlibrisgroup.com/primo-explore/search?tab=default_tab&amp;search_scope=EVERYTHING&amp;vid=01CRU&amp;lang=en_US&amp;offset=0&amp;query=any,contains,991002951559702656","Catalog Record")</f>
        <v/>
      </c>
      <c r="AT1508">
        <f>HYPERLINK("http://www.worldcat.org/oclc/39335286","WorldCat Record")</f>
        <v/>
      </c>
      <c r="AU1508" t="inlineStr">
        <is>
          <t>16110091:eng</t>
        </is>
      </c>
      <c r="AV1508" t="inlineStr">
        <is>
          <t>39335286</t>
        </is>
      </c>
      <c r="AW1508" t="inlineStr">
        <is>
          <t>991002951559702656</t>
        </is>
      </c>
      <c r="AX1508" t="inlineStr">
        <is>
          <t>991002951559702656</t>
        </is>
      </c>
      <c r="AY1508" t="inlineStr">
        <is>
          <t>2268089380002656</t>
        </is>
      </c>
      <c r="AZ1508" t="inlineStr">
        <is>
          <t>BOOK</t>
        </is>
      </c>
      <c r="BB1508" t="inlineStr">
        <is>
          <t>9780195119923</t>
        </is>
      </c>
      <c r="BC1508" t="inlineStr">
        <is>
          <t>32285003620639</t>
        </is>
      </c>
      <c r="BD1508" t="inlineStr">
        <is>
          <t>893616812</t>
        </is>
      </c>
    </row>
    <row r="1509">
      <c r="A1509" t="inlineStr">
        <is>
          <t>No</t>
        </is>
      </c>
      <c r="B1509" t="inlineStr">
        <is>
          <t>DJK50 .S58 1993</t>
        </is>
      </c>
      <c r="C1509" t="inlineStr">
        <is>
          <t>0                      DJK0050000S  58          1993</t>
        </is>
      </c>
      <c r="D1509" t="inlineStr">
        <is>
          <t>Eastern Europe in the postwar world / Thomas W. Simons, Jr.</t>
        </is>
      </c>
      <c r="F1509" t="inlineStr">
        <is>
          <t>No</t>
        </is>
      </c>
      <c r="G1509" t="inlineStr">
        <is>
          <t>1</t>
        </is>
      </c>
      <c r="H1509" t="inlineStr">
        <is>
          <t>No</t>
        </is>
      </c>
      <c r="I1509" t="inlineStr">
        <is>
          <t>No</t>
        </is>
      </c>
      <c r="J1509" t="inlineStr">
        <is>
          <t>0</t>
        </is>
      </c>
      <c r="K1509" t="inlineStr">
        <is>
          <t>Simons, Thomas W.</t>
        </is>
      </c>
      <c r="L1509" t="inlineStr">
        <is>
          <t>New York : St. Martin's Press, 1993.</t>
        </is>
      </c>
      <c r="M1509" t="inlineStr">
        <is>
          <t>1993</t>
        </is>
      </c>
      <c r="N1509" t="inlineStr">
        <is>
          <t>2nd ed.</t>
        </is>
      </c>
      <c r="O1509" t="inlineStr">
        <is>
          <t>eng</t>
        </is>
      </c>
      <c r="P1509" t="inlineStr">
        <is>
          <t>nyu</t>
        </is>
      </c>
      <c r="R1509" t="inlineStr">
        <is>
          <t>DJK</t>
        </is>
      </c>
      <c r="S1509" t="n">
        <v>1</v>
      </c>
      <c r="T1509" t="n">
        <v>1</v>
      </c>
      <c r="U1509" t="inlineStr">
        <is>
          <t>2001-07-24</t>
        </is>
      </c>
      <c r="V1509" t="inlineStr">
        <is>
          <t>2001-07-24</t>
        </is>
      </c>
      <c r="W1509" t="inlineStr">
        <is>
          <t>2001-07-23</t>
        </is>
      </c>
      <c r="X1509" t="inlineStr">
        <is>
          <t>2001-07-23</t>
        </is>
      </c>
      <c r="Y1509" t="n">
        <v>266</v>
      </c>
      <c r="Z1509" t="n">
        <v>220</v>
      </c>
      <c r="AA1509" t="n">
        <v>475</v>
      </c>
      <c r="AB1509" t="n">
        <v>3</v>
      </c>
      <c r="AC1509" t="n">
        <v>4</v>
      </c>
      <c r="AD1509" t="n">
        <v>10</v>
      </c>
      <c r="AE1509" t="n">
        <v>24</v>
      </c>
      <c r="AF1509" t="n">
        <v>2</v>
      </c>
      <c r="AG1509" t="n">
        <v>10</v>
      </c>
      <c r="AH1509" t="n">
        <v>4</v>
      </c>
      <c r="AI1509" t="n">
        <v>7</v>
      </c>
      <c r="AJ1509" t="n">
        <v>5</v>
      </c>
      <c r="AK1509" t="n">
        <v>12</v>
      </c>
      <c r="AL1509" t="n">
        <v>2</v>
      </c>
      <c r="AM1509" t="n">
        <v>3</v>
      </c>
      <c r="AN1509" t="n">
        <v>0</v>
      </c>
      <c r="AO1509" t="n">
        <v>0</v>
      </c>
      <c r="AP1509" t="inlineStr">
        <is>
          <t>No</t>
        </is>
      </c>
      <c r="AQ1509" t="inlineStr">
        <is>
          <t>No</t>
        </is>
      </c>
      <c r="AS1509">
        <f>HYPERLINK("https://creighton-primo.hosted.exlibrisgroup.com/primo-explore/search?tab=default_tab&amp;search_scope=EVERYTHING&amp;vid=01CRU&amp;lang=en_US&amp;offset=0&amp;query=any,contains,991003583609702656","Catalog Record")</f>
        <v/>
      </c>
      <c r="AT1509">
        <f>HYPERLINK("http://www.worldcat.org/oclc/27896493","WorldCat Record")</f>
        <v/>
      </c>
      <c r="AU1509" t="inlineStr">
        <is>
          <t>330877:eng</t>
        </is>
      </c>
      <c r="AV1509" t="inlineStr">
        <is>
          <t>27896493</t>
        </is>
      </c>
      <c r="AW1509" t="inlineStr">
        <is>
          <t>991003583609702656</t>
        </is>
      </c>
      <c r="AX1509" t="inlineStr">
        <is>
          <t>991003583609702656</t>
        </is>
      </c>
      <c r="AY1509" t="inlineStr">
        <is>
          <t>2260385760002656</t>
        </is>
      </c>
      <c r="AZ1509" t="inlineStr">
        <is>
          <t>BOOK</t>
        </is>
      </c>
      <c r="BB1509" t="inlineStr">
        <is>
          <t>9780312096786</t>
        </is>
      </c>
      <c r="BC1509" t="inlineStr">
        <is>
          <t>32285004334206</t>
        </is>
      </c>
      <c r="BD1509" t="inlineStr">
        <is>
          <t>893617495</t>
        </is>
      </c>
    </row>
    <row r="1510">
      <c r="A1510" t="inlineStr">
        <is>
          <t>No</t>
        </is>
      </c>
      <c r="B1510" t="inlineStr">
        <is>
          <t>DJK50 .T57 1992</t>
        </is>
      </c>
      <c r="C1510" t="inlineStr">
        <is>
          <t>0                      DJK0050000T  57          1992</t>
        </is>
      </c>
      <c r="D1510" t="inlineStr">
        <is>
          <t>Reinventing politics : Eastern Europe from Stalin to Havel / Vladimir Tismaneanu.</t>
        </is>
      </c>
      <c r="F1510" t="inlineStr">
        <is>
          <t>No</t>
        </is>
      </c>
      <c r="G1510" t="inlineStr">
        <is>
          <t>1</t>
        </is>
      </c>
      <c r="H1510" t="inlineStr">
        <is>
          <t>No</t>
        </is>
      </c>
      <c r="I1510" t="inlineStr">
        <is>
          <t>Yes</t>
        </is>
      </c>
      <c r="J1510" t="inlineStr">
        <is>
          <t>0</t>
        </is>
      </c>
      <c r="K1510" t="inlineStr">
        <is>
          <t>Tismaneanu, Vladimir.</t>
        </is>
      </c>
      <c r="L1510" t="inlineStr">
        <is>
          <t>New York : Free Press ; Toronto : Maxwell Macmillan Canada ; New York : Maxwell Macmillan International, c1992.</t>
        </is>
      </c>
      <c r="M1510" t="inlineStr">
        <is>
          <t>1992</t>
        </is>
      </c>
      <c r="O1510" t="inlineStr">
        <is>
          <t>eng</t>
        </is>
      </c>
      <c r="P1510" t="inlineStr">
        <is>
          <t>nyu</t>
        </is>
      </c>
      <c r="R1510" t="inlineStr">
        <is>
          <t>DJK</t>
        </is>
      </c>
      <c r="S1510" t="n">
        <v>10</v>
      </c>
      <c r="T1510" t="n">
        <v>10</v>
      </c>
      <c r="U1510" t="inlineStr">
        <is>
          <t>1996-11-04</t>
        </is>
      </c>
      <c r="V1510" t="inlineStr">
        <is>
          <t>1996-11-04</t>
        </is>
      </c>
      <c r="W1510" t="inlineStr">
        <is>
          <t>1993-08-09</t>
        </is>
      </c>
      <c r="X1510" t="inlineStr">
        <is>
          <t>1993-08-09</t>
        </is>
      </c>
      <c r="Y1510" t="n">
        <v>650</v>
      </c>
      <c r="Z1510" t="n">
        <v>544</v>
      </c>
      <c r="AA1510" t="n">
        <v>606</v>
      </c>
      <c r="AB1510" t="n">
        <v>3</v>
      </c>
      <c r="AC1510" t="n">
        <v>4</v>
      </c>
      <c r="AD1510" t="n">
        <v>27</v>
      </c>
      <c r="AE1510" t="n">
        <v>30</v>
      </c>
      <c r="AF1510" t="n">
        <v>10</v>
      </c>
      <c r="AG1510" t="n">
        <v>10</v>
      </c>
      <c r="AH1510" t="n">
        <v>7</v>
      </c>
      <c r="AI1510" t="n">
        <v>9</v>
      </c>
      <c r="AJ1510" t="n">
        <v>14</v>
      </c>
      <c r="AK1510" t="n">
        <v>15</v>
      </c>
      <c r="AL1510" t="n">
        <v>2</v>
      </c>
      <c r="AM1510" t="n">
        <v>3</v>
      </c>
      <c r="AN1510" t="n">
        <v>1</v>
      </c>
      <c r="AO1510" t="n">
        <v>1</v>
      </c>
      <c r="AP1510" t="inlineStr">
        <is>
          <t>No</t>
        </is>
      </c>
      <c r="AQ1510" t="inlineStr">
        <is>
          <t>Yes</t>
        </is>
      </c>
      <c r="AR1510">
        <f>HYPERLINK("http://catalog.hathitrust.org/Record/004513423","HathiTrust Record")</f>
        <v/>
      </c>
      <c r="AS1510">
        <f>HYPERLINK("https://creighton-primo.hosted.exlibrisgroup.com/primo-explore/search?tab=default_tab&amp;search_scope=EVERYTHING&amp;vid=01CRU&amp;lang=en_US&amp;offset=0&amp;query=any,contains,991001970559702656","Catalog Record")</f>
        <v/>
      </c>
      <c r="AT1510">
        <f>HYPERLINK("http://www.worldcat.org/oclc/25008556","WorldCat Record")</f>
        <v/>
      </c>
      <c r="AU1510" t="inlineStr">
        <is>
          <t>26507374:eng</t>
        </is>
      </c>
      <c r="AV1510" t="inlineStr">
        <is>
          <t>25008556</t>
        </is>
      </c>
      <c r="AW1510" t="inlineStr">
        <is>
          <t>991001970559702656</t>
        </is>
      </c>
      <c r="AX1510" t="inlineStr">
        <is>
          <t>991001970559702656</t>
        </is>
      </c>
      <c r="AY1510" t="inlineStr">
        <is>
          <t>2268933750002656</t>
        </is>
      </c>
      <c r="AZ1510" t="inlineStr">
        <is>
          <t>BOOK</t>
        </is>
      </c>
      <c r="BB1510" t="inlineStr">
        <is>
          <t>9780029326053</t>
        </is>
      </c>
      <c r="BC1510" t="inlineStr">
        <is>
          <t>32285001725174</t>
        </is>
      </c>
      <c r="BD1510" t="inlineStr">
        <is>
          <t>893779252</t>
        </is>
      </c>
    </row>
    <row r="1511">
      <c r="A1511" t="inlineStr">
        <is>
          <t>No</t>
        </is>
      </c>
      <c r="B1511" t="inlineStr">
        <is>
          <t>DJK50 .T57 1993</t>
        </is>
      </c>
      <c r="C1511" t="inlineStr">
        <is>
          <t>0                      DJK0050000T  57          1993</t>
        </is>
      </c>
      <c r="D1511" t="inlineStr">
        <is>
          <t>Reinventing politics : Eastern Europe from Stalin to Havel / Vladimir Tismaneanu ; with a new afterword.</t>
        </is>
      </c>
      <c r="F1511" t="inlineStr">
        <is>
          <t>No</t>
        </is>
      </c>
      <c r="G1511" t="inlineStr">
        <is>
          <t>1</t>
        </is>
      </c>
      <c r="H1511" t="inlineStr">
        <is>
          <t>No</t>
        </is>
      </c>
      <c r="I1511" t="inlineStr">
        <is>
          <t>Yes</t>
        </is>
      </c>
      <c r="J1511" t="inlineStr">
        <is>
          <t>0</t>
        </is>
      </c>
      <c r="K1511" t="inlineStr">
        <is>
          <t>Tismaneanu, Vladimir.</t>
        </is>
      </c>
      <c r="L1511" t="inlineStr">
        <is>
          <t>New York : Free Press, 1993.</t>
        </is>
      </c>
      <c r="M1511" t="inlineStr">
        <is>
          <t>1993</t>
        </is>
      </c>
      <c r="N1511" t="inlineStr">
        <is>
          <t>1st Free Press pbk. ed.</t>
        </is>
      </c>
      <c r="O1511" t="inlineStr">
        <is>
          <t>eng</t>
        </is>
      </c>
      <c r="P1511" t="inlineStr">
        <is>
          <t>nyu</t>
        </is>
      </c>
      <c r="R1511" t="inlineStr">
        <is>
          <t>DJK</t>
        </is>
      </c>
      <c r="S1511" t="n">
        <v>2</v>
      </c>
      <c r="T1511" t="n">
        <v>2</v>
      </c>
      <c r="U1511" t="inlineStr">
        <is>
          <t>2006-04-27</t>
        </is>
      </c>
      <c r="V1511" t="inlineStr">
        <is>
          <t>2006-04-27</t>
        </is>
      </c>
      <c r="W1511" t="inlineStr">
        <is>
          <t>1998-04-22</t>
        </is>
      </c>
      <c r="X1511" t="inlineStr">
        <is>
          <t>1998-04-22</t>
        </is>
      </c>
      <c r="Y1511" t="n">
        <v>84</v>
      </c>
      <c r="Z1511" t="n">
        <v>56</v>
      </c>
      <c r="AA1511" t="n">
        <v>606</v>
      </c>
      <c r="AB1511" t="n">
        <v>2</v>
      </c>
      <c r="AC1511" t="n">
        <v>4</v>
      </c>
      <c r="AD1511" t="n">
        <v>3</v>
      </c>
      <c r="AE1511" t="n">
        <v>30</v>
      </c>
      <c r="AF1511" t="n">
        <v>0</v>
      </c>
      <c r="AG1511" t="n">
        <v>10</v>
      </c>
      <c r="AH1511" t="n">
        <v>2</v>
      </c>
      <c r="AI1511" t="n">
        <v>9</v>
      </c>
      <c r="AJ1511" t="n">
        <v>1</v>
      </c>
      <c r="AK1511" t="n">
        <v>15</v>
      </c>
      <c r="AL1511" t="n">
        <v>1</v>
      </c>
      <c r="AM1511" t="n">
        <v>3</v>
      </c>
      <c r="AN1511" t="n">
        <v>0</v>
      </c>
      <c r="AO1511" t="n">
        <v>1</v>
      </c>
      <c r="AP1511" t="inlineStr">
        <is>
          <t>No</t>
        </is>
      </c>
      <c r="AQ1511" t="inlineStr">
        <is>
          <t>No</t>
        </is>
      </c>
      <c r="AS1511">
        <f>HYPERLINK("https://creighton-primo.hosted.exlibrisgroup.com/primo-explore/search?tab=default_tab&amp;search_scope=EVERYTHING&amp;vid=01CRU&amp;lang=en_US&amp;offset=0&amp;query=any,contains,991002361229702656","Catalog Record")</f>
        <v/>
      </c>
      <c r="AT1511">
        <f>HYPERLINK("http://www.worldcat.org/oclc/30702151","WorldCat Record")</f>
        <v/>
      </c>
      <c r="AU1511" t="inlineStr">
        <is>
          <t>26507374:eng</t>
        </is>
      </c>
      <c r="AV1511" t="inlineStr">
        <is>
          <t>30702151</t>
        </is>
      </c>
      <c r="AW1511" t="inlineStr">
        <is>
          <t>991002361229702656</t>
        </is>
      </c>
      <c r="AX1511" t="inlineStr">
        <is>
          <t>991002361229702656</t>
        </is>
      </c>
      <c r="AY1511" t="inlineStr">
        <is>
          <t>2262154710002656</t>
        </is>
      </c>
      <c r="AZ1511" t="inlineStr">
        <is>
          <t>BOOK</t>
        </is>
      </c>
      <c r="BB1511" t="inlineStr">
        <is>
          <t>9780029326060</t>
        </is>
      </c>
      <c r="BC1511" t="inlineStr">
        <is>
          <t>32285003376356</t>
        </is>
      </c>
      <c r="BD1511" t="inlineStr">
        <is>
          <t>893328978</t>
        </is>
      </c>
    </row>
    <row r="1512">
      <c r="A1512" t="inlineStr">
        <is>
          <t>No</t>
        </is>
      </c>
      <c r="B1512" t="inlineStr">
        <is>
          <t>DJK51 .B78 1996</t>
        </is>
      </c>
      <c r="C1512" t="inlineStr">
        <is>
          <t>0                      DJK0051000B  78          1996</t>
        </is>
      </c>
      <c r="D1512" t="inlineStr">
        <is>
          <t>Nationalism reframed : nationhood and the national question in the New Europe / Rogers Brubaker.</t>
        </is>
      </c>
      <c r="F1512" t="inlineStr">
        <is>
          <t>No</t>
        </is>
      </c>
      <c r="G1512" t="inlineStr">
        <is>
          <t>1</t>
        </is>
      </c>
      <c r="H1512" t="inlineStr">
        <is>
          <t>No</t>
        </is>
      </c>
      <c r="I1512" t="inlineStr">
        <is>
          <t>No</t>
        </is>
      </c>
      <c r="J1512" t="inlineStr">
        <is>
          <t>0</t>
        </is>
      </c>
      <c r="K1512" t="inlineStr">
        <is>
          <t>Brubaker, Rogers, 1956-</t>
        </is>
      </c>
      <c r="L1512" t="inlineStr">
        <is>
          <t>Cambridge [England] ; New York : Cambridge University Press, 1996.</t>
        </is>
      </c>
      <c r="M1512" t="inlineStr">
        <is>
          <t>1996</t>
        </is>
      </c>
      <c r="O1512" t="inlineStr">
        <is>
          <t>eng</t>
        </is>
      </c>
      <c r="P1512" t="inlineStr">
        <is>
          <t>enk</t>
        </is>
      </c>
      <c r="R1512" t="inlineStr">
        <is>
          <t>DJK</t>
        </is>
      </c>
      <c r="S1512" t="n">
        <v>3</v>
      </c>
      <c r="T1512" t="n">
        <v>3</v>
      </c>
      <c r="U1512" t="inlineStr">
        <is>
          <t>2005-04-28</t>
        </is>
      </c>
      <c r="V1512" t="inlineStr">
        <is>
          <t>2005-04-28</t>
        </is>
      </c>
      <c r="W1512" t="inlineStr">
        <is>
          <t>1997-10-28</t>
        </is>
      </c>
      <c r="X1512" t="inlineStr">
        <is>
          <t>1997-10-28</t>
        </is>
      </c>
      <c r="Y1512" t="n">
        <v>676</v>
      </c>
      <c r="Z1512" t="n">
        <v>465</v>
      </c>
      <c r="AA1512" t="n">
        <v>472</v>
      </c>
      <c r="AB1512" t="n">
        <v>3</v>
      </c>
      <c r="AC1512" t="n">
        <v>3</v>
      </c>
      <c r="AD1512" t="n">
        <v>29</v>
      </c>
      <c r="AE1512" t="n">
        <v>29</v>
      </c>
      <c r="AF1512" t="n">
        <v>13</v>
      </c>
      <c r="AG1512" t="n">
        <v>13</v>
      </c>
      <c r="AH1512" t="n">
        <v>8</v>
      </c>
      <c r="AI1512" t="n">
        <v>8</v>
      </c>
      <c r="AJ1512" t="n">
        <v>13</v>
      </c>
      <c r="AK1512" t="n">
        <v>13</v>
      </c>
      <c r="AL1512" t="n">
        <v>2</v>
      </c>
      <c r="AM1512" t="n">
        <v>2</v>
      </c>
      <c r="AN1512" t="n">
        <v>1</v>
      </c>
      <c r="AO1512" t="n">
        <v>1</v>
      </c>
      <c r="AP1512" t="inlineStr">
        <is>
          <t>No</t>
        </is>
      </c>
      <c r="AQ1512" t="inlineStr">
        <is>
          <t>No</t>
        </is>
      </c>
      <c r="AS1512">
        <f>HYPERLINK("https://creighton-primo.hosted.exlibrisgroup.com/primo-explore/search?tab=default_tab&amp;search_scope=EVERYTHING&amp;vid=01CRU&amp;lang=en_US&amp;offset=0&amp;query=any,contains,991002618519702656","Catalog Record")</f>
        <v/>
      </c>
      <c r="AT1512">
        <f>HYPERLINK("http://www.worldcat.org/oclc/34320516","WorldCat Record")</f>
        <v/>
      </c>
      <c r="AU1512" t="inlineStr">
        <is>
          <t>807035488:eng</t>
        </is>
      </c>
      <c r="AV1512" t="inlineStr">
        <is>
          <t>34320516</t>
        </is>
      </c>
      <c r="AW1512" t="inlineStr">
        <is>
          <t>991002618519702656</t>
        </is>
      </c>
      <c r="AX1512" t="inlineStr">
        <is>
          <t>991002618519702656</t>
        </is>
      </c>
      <c r="AY1512" t="inlineStr">
        <is>
          <t>2256039970002656</t>
        </is>
      </c>
      <c r="AZ1512" t="inlineStr">
        <is>
          <t>BOOK</t>
        </is>
      </c>
      <c r="BB1512" t="inlineStr">
        <is>
          <t>9780521572248</t>
        </is>
      </c>
      <c r="BC1512" t="inlineStr">
        <is>
          <t>32285003258059</t>
        </is>
      </c>
      <c r="BD1512" t="inlineStr">
        <is>
          <t>893504600</t>
        </is>
      </c>
    </row>
    <row r="1513">
      <c r="A1513" t="inlineStr">
        <is>
          <t>No</t>
        </is>
      </c>
      <c r="B1513" t="inlineStr">
        <is>
          <t>DJK51 .B84 1993</t>
        </is>
      </c>
      <c r="C1513" t="inlineStr">
        <is>
          <t>0                      DJK0051000B  84          1993</t>
        </is>
      </c>
      <c r="D1513" t="inlineStr">
        <is>
          <t>Nations in turmoil : conflict and cooperation in Eastern Europe / Janusz Bugajski.</t>
        </is>
      </c>
      <c r="F1513" t="inlineStr">
        <is>
          <t>No</t>
        </is>
      </c>
      <c r="G1513" t="inlineStr">
        <is>
          <t>1</t>
        </is>
      </c>
      <c r="H1513" t="inlineStr">
        <is>
          <t>No</t>
        </is>
      </c>
      <c r="I1513" t="inlineStr">
        <is>
          <t>No</t>
        </is>
      </c>
      <c r="J1513" t="inlineStr">
        <is>
          <t>0</t>
        </is>
      </c>
      <c r="K1513" t="inlineStr">
        <is>
          <t>Bugajski, Janusz, 1954-</t>
        </is>
      </c>
      <c r="L1513" t="inlineStr">
        <is>
          <t>Boulder : Westview Press, 1993.</t>
        </is>
      </c>
      <c r="M1513" t="inlineStr">
        <is>
          <t>1993</t>
        </is>
      </c>
      <c r="O1513" t="inlineStr">
        <is>
          <t>eng</t>
        </is>
      </c>
      <c r="P1513" t="inlineStr">
        <is>
          <t>cou</t>
        </is>
      </c>
      <c r="R1513" t="inlineStr">
        <is>
          <t>DJK</t>
        </is>
      </c>
      <c r="S1513" t="n">
        <v>5</v>
      </c>
      <c r="T1513" t="n">
        <v>5</v>
      </c>
      <c r="U1513" t="inlineStr">
        <is>
          <t>1998-11-10</t>
        </is>
      </c>
      <c r="V1513" t="inlineStr">
        <is>
          <t>1998-11-10</t>
        </is>
      </c>
      <c r="W1513" t="inlineStr">
        <is>
          <t>1993-12-10</t>
        </is>
      </c>
      <c r="X1513" t="inlineStr">
        <is>
          <t>1993-12-10</t>
        </is>
      </c>
      <c r="Y1513" t="n">
        <v>415</v>
      </c>
      <c r="Z1513" t="n">
        <v>333</v>
      </c>
      <c r="AA1513" t="n">
        <v>462</v>
      </c>
      <c r="AB1513" t="n">
        <v>3</v>
      </c>
      <c r="AC1513" t="n">
        <v>4</v>
      </c>
      <c r="AD1513" t="n">
        <v>18</v>
      </c>
      <c r="AE1513" t="n">
        <v>22</v>
      </c>
      <c r="AF1513" t="n">
        <v>8</v>
      </c>
      <c r="AG1513" t="n">
        <v>10</v>
      </c>
      <c r="AH1513" t="n">
        <v>5</v>
      </c>
      <c r="AI1513" t="n">
        <v>5</v>
      </c>
      <c r="AJ1513" t="n">
        <v>9</v>
      </c>
      <c r="AK1513" t="n">
        <v>11</v>
      </c>
      <c r="AL1513" t="n">
        <v>2</v>
      </c>
      <c r="AM1513" t="n">
        <v>3</v>
      </c>
      <c r="AN1513" t="n">
        <v>0</v>
      </c>
      <c r="AO1513" t="n">
        <v>0</v>
      </c>
      <c r="AP1513" t="inlineStr">
        <is>
          <t>No</t>
        </is>
      </c>
      <c r="AQ1513" t="inlineStr">
        <is>
          <t>Yes</t>
        </is>
      </c>
      <c r="AR1513">
        <f>HYPERLINK("http://catalog.hathitrust.org/Record/002604473","HathiTrust Record")</f>
        <v/>
      </c>
      <c r="AS1513">
        <f>HYPERLINK("https://creighton-primo.hosted.exlibrisgroup.com/primo-explore/search?tab=default_tab&amp;search_scope=EVERYTHING&amp;vid=01CRU&amp;lang=en_US&amp;offset=0&amp;query=any,contains,991002055399702656","Catalog Record")</f>
        <v/>
      </c>
      <c r="AT1513">
        <f>HYPERLINK("http://www.worldcat.org/oclc/26260294","WorldCat Record")</f>
        <v/>
      </c>
      <c r="AU1513" t="inlineStr">
        <is>
          <t>28744372:eng</t>
        </is>
      </c>
      <c r="AV1513" t="inlineStr">
        <is>
          <t>26260294</t>
        </is>
      </c>
      <c r="AW1513" t="inlineStr">
        <is>
          <t>991002055399702656</t>
        </is>
      </c>
      <c r="AX1513" t="inlineStr">
        <is>
          <t>991002055399702656</t>
        </is>
      </c>
      <c r="AY1513" t="inlineStr">
        <is>
          <t>2265893420002656</t>
        </is>
      </c>
      <c r="AZ1513" t="inlineStr">
        <is>
          <t>BOOK</t>
        </is>
      </c>
      <c r="BB1513" t="inlineStr">
        <is>
          <t>9780813316260</t>
        </is>
      </c>
      <c r="BC1513" t="inlineStr">
        <is>
          <t>32285001815470</t>
        </is>
      </c>
      <c r="BD1513" t="inlineStr">
        <is>
          <t>893898337</t>
        </is>
      </c>
    </row>
    <row r="1514">
      <c r="A1514" t="inlineStr">
        <is>
          <t>No</t>
        </is>
      </c>
      <c r="B1514" t="inlineStr">
        <is>
          <t>DJK51 .C35 2004</t>
        </is>
      </c>
      <c r="C1514" t="inlineStr">
        <is>
          <t>0                      DJK0051000C  35          2004</t>
        </is>
      </c>
      <c r="D1514" t="inlineStr">
        <is>
          <t>Dilemmas of justice in Eastern Europe's democratic transitions / Noel Calhoun.</t>
        </is>
      </c>
      <c r="F1514" t="inlineStr">
        <is>
          <t>No</t>
        </is>
      </c>
      <c r="G1514" t="inlineStr">
        <is>
          <t>1</t>
        </is>
      </c>
      <c r="H1514" t="inlineStr">
        <is>
          <t>No</t>
        </is>
      </c>
      <c r="I1514" t="inlineStr">
        <is>
          <t>No</t>
        </is>
      </c>
      <c r="J1514" t="inlineStr">
        <is>
          <t>0</t>
        </is>
      </c>
      <c r="K1514" t="inlineStr">
        <is>
          <t>Calhoun, Noel.</t>
        </is>
      </c>
      <c r="L1514" t="inlineStr">
        <is>
          <t>Houndmills, Basingstoke, Hampshire ; New York : Palgrave Macmillan, 2004.</t>
        </is>
      </c>
      <c r="M1514" t="inlineStr">
        <is>
          <t>2004</t>
        </is>
      </c>
      <c r="N1514" t="inlineStr">
        <is>
          <t>1st ed.</t>
        </is>
      </c>
      <c r="O1514" t="inlineStr">
        <is>
          <t>eng</t>
        </is>
      </c>
      <c r="P1514" t="inlineStr">
        <is>
          <t>enk</t>
        </is>
      </c>
      <c r="R1514" t="inlineStr">
        <is>
          <t>DJK</t>
        </is>
      </c>
      <c r="S1514" t="n">
        <v>1</v>
      </c>
      <c r="T1514" t="n">
        <v>1</v>
      </c>
      <c r="U1514" t="inlineStr">
        <is>
          <t>2005-09-28</t>
        </is>
      </c>
      <c r="V1514" t="inlineStr">
        <is>
          <t>2005-09-28</t>
        </is>
      </c>
      <c r="W1514" t="inlineStr">
        <is>
          <t>2005-09-28</t>
        </is>
      </c>
      <c r="X1514" t="inlineStr">
        <is>
          <t>2005-09-28</t>
        </is>
      </c>
      <c r="Y1514" t="n">
        <v>198</v>
      </c>
      <c r="Z1514" t="n">
        <v>149</v>
      </c>
      <c r="AA1514" t="n">
        <v>155</v>
      </c>
      <c r="AB1514" t="n">
        <v>2</v>
      </c>
      <c r="AC1514" t="n">
        <v>2</v>
      </c>
      <c r="AD1514" t="n">
        <v>11</v>
      </c>
      <c r="AE1514" t="n">
        <v>11</v>
      </c>
      <c r="AF1514" t="n">
        <v>5</v>
      </c>
      <c r="AG1514" t="n">
        <v>5</v>
      </c>
      <c r="AH1514" t="n">
        <v>4</v>
      </c>
      <c r="AI1514" t="n">
        <v>4</v>
      </c>
      <c r="AJ1514" t="n">
        <v>5</v>
      </c>
      <c r="AK1514" t="n">
        <v>5</v>
      </c>
      <c r="AL1514" t="n">
        <v>1</v>
      </c>
      <c r="AM1514" t="n">
        <v>1</v>
      </c>
      <c r="AN1514" t="n">
        <v>1</v>
      </c>
      <c r="AO1514" t="n">
        <v>1</v>
      </c>
      <c r="AP1514" t="inlineStr">
        <is>
          <t>No</t>
        </is>
      </c>
      <c r="AQ1514" t="inlineStr">
        <is>
          <t>No</t>
        </is>
      </c>
      <c r="AS1514">
        <f>HYPERLINK("https://creighton-primo.hosted.exlibrisgroup.com/primo-explore/search?tab=default_tab&amp;search_scope=EVERYTHING&amp;vid=01CRU&amp;lang=en_US&amp;offset=0&amp;query=any,contains,991004636929702656","Catalog Record")</f>
        <v/>
      </c>
      <c r="AT1514">
        <f>HYPERLINK("http://www.worldcat.org/oclc/53330865","WorldCat Record")</f>
        <v/>
      </c>
      <c r="AU1514" t="inlineStr">
        <is>
          <t>11594615:eng</t>
        </is>
      </c>
      <c r="AV1514" t="inlineStr">
        <is>
          <t>53330865</t>
        </is>
      </c>
      <c r="AW1514" t="inlineStr">
        <is>
          <t>991004636929702656</t>
        </is>
      </c>
      <c r="AX1514" t="inlineStr">
        <is>
          <t>991004636929702656</t>
        </is>
      </c>
      <c r="AY1514" t="inlineStr">
        <is>
          <t>2255707880002656</t>
        </is>
      </c>
      <c r="AZ1514" t="inlineStr">
        <is>
          <t>BOOK</t>
        </is>
      </c>
      <c r="BB1514" t="inlineStr">
        <is>
          <t>9781403963895</t>
        </is>
      </c>
      <c r="BC1514" t="inlineStr">
        <is>
          <t>32285005085864</t>
        </is>
      </c>
      <c r="BD1514" t="inlineStr">
        <is>
          <t>893788942</t>
        </is>
      </c>
    </row>
    <row r="1515">
      <c r="A1515" t="inlineStr">
        <is>
          <t>No</t>
        </is>
      </c>
      <c r="B1515" t="inlineStr">
        <is>
          <t>DJK51 .C437 2008</t>
        </is>
      </c>
      <c r="C1515" t="inlineStr">
        <is>
          <t>0                      DJK0051000C  437         2008</t>
        </is>
      </c>
      <c r="D1515" t="inlineStr">
        <is>
          <t>Central and East European politics : from communism to democracy / edited by Sharon L. Wolchik and Jane L. Curry.</t>
        </is>
      </c>
      <c r="F1515" t="inlineStr">
        <is>
          <t>No</t>
        </is>
      </c>
      <c r="G1515" t="inlineStr">
        <is>
          <t>1</t>
        </is>
      </c>
      <c r="H1515" t="inlineStr">
        <is>
          <t>No</t>
        </is>
      </c>
      <c r="I1515" t="inlineStr">
        <is>
          <t>No</t>
        </is>
      </c>
      <c r="J1515" t="inlineStr">
        <is>
          <t>0</t>
        </is>
      </c>
      <c r="L1515" t="inlineStr">
        <is>
          <t>Lanham, Md. : Rowman &amp; Littlefield Publishers, c2008.</t>
        </is>
      </c>
      <c r="M1515" t="inlineStr">
        <is>
          <t>2008</t>
        </is>
      </c>
      <c r="O1515" t="inlineStr">
        <is>
          <t>eng</t>
        </is>
      </c>
      <c r="P1515" t="inlineStr">
        <is>
          <t>mdu</t>
        </is>
      </c>
      <c r="R1515" t="inlineStr">
        <is>
          <t>DJK</t>
        </is>
      </c>
      <c r="S1515" t="n">
        <v>4</v>
      </c>
      <c r="T1515" t="n">
        <v>4</v>
      </c>
      <c r="U1515" t="inlineStr">
        <is>
          <t>2009-12-07</t>
        </is>
      </c>
      <c r="V1515" t="inlineStr">
        <is>
          <t>2009-12-07</t>
        </is>
      </c>
      <c r="W1515" t="inlineStr">
        <is>
          <t>2008-03-25</t>
        </is>
      </c>
      <c r="X1515" t="inlineStr">
        <is>
          <t>2008-03-25</t>
        </is>
      </c>
      <c r="Y1515" t="n">
        <v>225</v>
      </c>
      <c r="Z1515" t="n">
        <v>181</v>
      </c>
      <c r="AA1515" t="n">
        <v>634</v>
      </c>
      <c r="AB1515" t="n">
        <v>1</v>
      </c>
      <c r="AC1515" t="n">
        <v>13</v>
      </c>
      <c r="AD1515" t="n">
        <v>8</v>
      </c>
      <c r="AE1515" t="n">
        <v>30</v>
      </c>
      <c r="AF1515" t="n">
        <v>1</v>
      </c>
      <c r="AG1515" t="n">
        <v>11</v>
      </c>
      <c r="AH1515" t="n">
        <v>4</v>
      </c>
      <c r="AI1515" t="n">
        <v>7</v>
      </c>
      <c r="AJ1515" t="n">
        <v>5</v>
      </c>
      <c r="AK1515" t="n">
        <v>10</v>
      </c>
      <c r="AL1515" t="n">
        <v>0</v>
      </c>
      <c r="AM1515" t="n">
        <v>8</v>
      </c>
      <c r="AN1515" t="n">
        <v>0</v>
      </c>
      <c r="AO1515" t="n">
        <v>0</v>
      </c>
      <c r="AP1515" t="inlineStr">
        <is>
          <t>No</t>
        </is>
      </c>
      <c r="AQ1515" t="inlineStr">
        <is>
          <t>Yes</t>
        </is>
      </c>
      <c r="AR1515">
        <f>HYPERLINK("http://catalog.hathitrust.org/Record/005644115","HathiTrust Record")</f>
        <v/>
      </c>
      <c r="AS1515">
        <f>HYPERLINK("https://creighton-primo.hosted.exlibrisgroup.com/primo-explore/search?tab=default_tab&amp;search_scope=EVERYTHING&amp;vid=01CRU&amp;lang=en_US&amp;offset=0&amp;query=any,contains,991005188899702656","Catalog Record")</f>
        <v/>
      </c>
      <c r="AT1515">
        <f>HYPERLINK("http://www.worldcat.org/oclc/144331642","WorldCat Record")</f>
        <v/>
      </c>
      <c r="AU1515" t="inlineStr">
        <is>
          <t>803972338:eng</t>
        </is>
      </c>
      <c r="AV1515" t="inlineStr">
        <is>
          <t>144331642</t>
        </is>
      </c>
      <c r="AW1515" t="inlineStr">
        <is>
          <t>991005188899702656</t>
        </is>
      </c>
      <c r="AX1515" t="inlineStr">
        <is>
          <t>991005188899702656</t>
        </is>
      </c>
      <c r="AY1515" t="inlineStr">
        <is>
          <t>2257701740002656</t>
        </is>
      </c>
      <c r="AZ1515" t="inlineStr">
        <is>
          <t>BOOK</t>
        </is>
      </c>
      <c r="BB1515" t="inlineStr">
        <is>
          <t>9780742540675</t>
        </is>
      </c>
      <c r="BC1515" t="inlineStr">
        <is>
          <t>32285005398580</t>
        </is>
      </c>
      <c r="BD1515" t="inlineStr">
        <is>
          <t>893713601</t>
        </is>
      </c>
    </row>
    <row r="1516">
      <c r="A1516" t="inlineStr">
        <is>
          <t>No</t>
        </is>
      </c>
      <c r="B1516" t="inlineStr">
        <is>
          <t>DJK51 .C457 2002</t>
        </is>
      </c>
      <c r="C1516" t="inlineStr">
        <is>
          <t>0                      DJK0051000C  457         2002</t>
        </is>
      </c>
      <c r="D1516" t="inlineStr">
        <is>
          <t>The changing geopolitics of Eastern Europe / edited by Andrew H. Dawson and Rick Fawn.</t>
        </is>
      </c>
      <c r="F1516" t="inlineStr">
        <is>
          <t>No</t>
        </is>
      </c>
      <c r="G1516" t="inlineStr">
        <is>
          <t>1</t>
        </is>
      </c>
      <c r="H1516" t="inlineStr">
        <is>
          <t>No</t>
        </is>
      </c>
      <c r="I1516" t="inlineStr">
        <is>
          <t>No</t>
        </is>
      </c>
      <c r="J1516" t="inlineStr">
        <is>
          <t>0</t>
        </is>
      </c>
      <c r="L1516" t="inlineStr">
        <is>
          <t>London ; Portland, OR : Frank Cass, c2002.</t>
        </is>
      </c>
      <c r="M1516" t="inlineStr">
        <is>
          <t>2002</t>
        </is>
      </c>
      <c r="O1516" t="inlineStr">
        <is>
          <t>eng</t>
        </is>
      </c>
      <c r="P1516" t="inlineStr">
        <is>
          <t>enk</t>
        </is>
      </c>
      <c r="R1516" t="inlineStr">
        <is>
          <t>DJK</t>
        </is>
      </c>
      <c r="S1516" t="n">
        <v>3</v>
      </c>
      <c r="T1516" t="n">
        <v>3</v>
      </c>
      <c r="U1516" t="inlineStr">
        <is>
          <t>2007-11-30</t>
        </is>
      </c>
      <c r="V1516" t="inlineStr">
        <is>
          <t>2007-11-30</t>
        </is>
      </c>
      <c r="W1516" t="inlineStr">
        <is>
          <t>2004-08-23</t>
        </is>
      </c>
      <c r="X1516" t="inlineStr">
        <is>
          <t>2004-08-23</t>
        </is>
      </c>
      <c r="Y1516" t="n">
        <v>169</v>
      </c>
      <c r="Z1516" t="n">
        <v>105</v>
      </c>
      <c r="AA1516" t="n">
        <v>125</v>
      </c>
      <c r="AB1516" t="n">
        <v>1</v>
      </c>
      <c r="AC1516" t="n">
        <v>1</v>
      </c>
      <c r="AD1516" t="n">
        <v>6</v>
      </c>
      <c r="AE1516" t="n">
        <v>6</v>
      </c>
      <c r="AF1516" t="n">
        <v>3</v>
      </c>
      <c r="AG1516" t="n">
        <v>3</v>
      </c>
      <c r="AH1516" t="n">
        <v>2</v>
      </c>
      <c r="AI1516" t="n">
        <v>2</v>
      </c>
      <c r="AJ1516" t="n">
        <v>3</v>
      </c>
      <c r="AK1516" t="n">
        <v>3</v>
      </c>
      <c r="AL1516" t="n">
        <v>0</v>
      </c>
      <c r="AM1516" t="n">
        <v>0</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HYPERLINK("https://creighton-primo.hosted.exlibrisgroup.com/primo-explore/search?tab=default_tab&amp;search_scope=EVERYTHING&amp;vid=01CRU&amp;lang=en_US&amp;offset=0&amp;query=any,contains,991004347369702656","Catalog Record")</f>
        <v/>
      </c>
      <c r="AT1516">
        <f>HYPERLINK("http://www.worldcat.org/oclc/47149856","WorldCat Record")</f>
        <v/>
      </c>
      <c r="AU1516" t="inlineStr">
        <is>
          <t>367005977:eng</t>
        </is>
      </c>
      <c r="AV1516" t="inlineStr">
        <is>
          <t>47149856</t>
        </is>
      </c>
      <c r="AW1516" t="inlineStr">
        <is>
          <t>991004347369702656</t>
        </is>
      </c>
      <c r="AX1516" t="inlineStr">
        <is>
          <t>991004347369702656</t>
        </is>
      </c>
      <c r="AY1516" t="inlineStr">
        <is>
          <t>2267399550002656</t>
        </is>
      </c>
      <c r="AZ1516" t="inlineStr">
        <is>
          <t>BOOK</t>
        </is>
      </c>
      <c r="BB1516" t="inlineStr">
        <is>
          <t>9780714652429</t>
        </is>
      </c>
      <c r="BC1516" t="inlineStr">
        <is>
          <t>32285004982608</t>
        </is>
      </c>
      <c r="BD1516" t="inlineStr">
        <is>
          <t>893235374</t>
        </is>
      </c>
    </row>
    <row r="1517">
      <c r="A1517" t="inlineStr">
        <is>
          <t>No</t>
        </is>
      </c>
      <c r="B1517" t="inlineStr">
        <is>
          <t>DJK51 .C67 1997</t>
        </is>
      </c>
      <c r="C1517" t="inlineStr">
        <is>
          <t>0                      DJK0051000C  67          1997</t>
        </is>
      </c>
      <c r="D1517" t="inlineStr">
        <is>
          <t>The Consolidation of democracy in East-Central Europe / edited by Karen Dawisha and Bruce Parrott.</t>
        </is>
      </c>
      <c r="F1517" t="inlineStr">
        <is>
          <t>No</t>
        </is>
      </c>
      <c r="G1517" t="inlineStr">
        <is>
          <t>1</t>
        </is>
      </c>
      <c r="H1517" t="inlineStr">
        <is>
          <t>No</t>
        </is>
      </c>
      <c r="I1517" t="inlineStr">
        <is>
          <t>No</t>
        </is>
      </c>
      <c r="J1517" t="inlineStr">
        <is>
          <t>0</t>
        </is>
      </c>
      <c r="L1517" t="inlineStr">
        <is>
          <t>Cambridge, U.K. ; New York, NY, USA : Cambridge University Press, 1997.</t>
        </is>
      </c>
      <c r="M1517" t="inlineStr">
        <is>
          <t>1997</t>
        </is>
      </c>
      <c r="O1517" t="inlineStr">
        <is>
          <t>eng</t>
        </is>
      </c>
      <c r="P1517" t="inlineStr">
        <is>
          <t>enk</t>
        </is>
      </c>
      <c r="Q1517" t="inlineStr">
        <is>
          <t>Democratization and authoritarianism in postcommunist societies ; 1</t>
        </is>
      </c>
      <c r="R1517" t="inlineStr">
        <is>
          <t>DJK</t>
        </is>
      </c>
      <c r="S1517" t="n">
        <v>7</v>
      </c>
      <c r="T1517" t="n">
        <v>7</v>
      </c>
      <c r="U1517" t="inlineStr">
        <is>
          <t>2008-05-16</t>
        </is>
      </c>
      <c r="V1517" t="inlineStr">
        <is>
          <t>2008-05-16</t>
        </is>
      </c>
      <c r="W1517" t="inlineStr">
        <is>
          <t>1997-11-18</t>
        </is>
      </c>
      <c r="X1517" t="inlineStr">
        <is>
          <t>1997-11-18</t>
        </is>
      </c>
      <c r="Y1517" t="n">
        <v>518</v>
      </c>
      <c r="Z1517" t="n">
        <v>367</v>
      </c>
      <c r="AA1517" t="n">
        <v>370</v>
      </c>
      <c r="AB1517" t="n">
        <v>5</v>
      </c>
      <c r="AC1517" t="n">
        <v>5</v>
      </c>
      <c r="AD1517" t="n">
        <v>27</v>
      </c>
      <c r="AE1517" t="n">
        <v>27</v>
      </c>
      <c r="AF1517" t="n">
        <v>8</v>
      </c>
      <c r="AG1517" t="n">
        <v>8</v>
      </c>
      <c r="AH1517" t="n">
        <v>9</v>
      </c>
      <c r="AI1517" t="n">
        <v>9</v>
      </c>
      <c r="AJ1517" t="n">
        <v>12</v>
      </c>
      <c r="AK1517" t="n">
        <v>12</v>
      </c>
      <c r="AL1517" t="n">
        <v>4</v>
      </c>
      <c r="AM1517" t="n">
        <v>4</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HYPERLINK("https://creighton-primo.hosted.exlibrisgroup.com/primo-explore/search?tab=default_tab&amp;search_scope=EVERYTHING&amp;vid=01CRU&amp;lang=en_US&amp;offset=0&amp;query=any,contains,991005426889702656","Catalog Record")</f>
        <v/>
      </c>
      <c r="AT1517">
        <f>HYPERLINK("http://www.worldcat.org/oclc/37379224","WorldCat Record")</f>
        <v/>
      </c>
      <c r="AU1517" t="inlineStr">
        <is>
          <t>353964506:eng</t>
        </is>
      </c>
      <c r="AV1517" t="inlineStr">
        <is>
          <t>37379224</t>
        </is>
      </c>
      <c r="AW1517" t="inlineStr">
        <is>
          <t>991005426889702656</t>
        </is>
      </c>
      <c r="AX1517" t="inlineStr">
        <is>
          <t>991005426889702656</t>
        </is>
      </c>
      <c r="AY1517" t="inlineStr">
        <is>
          <t>2262522860002656</t>
        </is>
      </c>
      <c r="AZ1517" t="inlineStr">
        <is>
          <t>BOOK</t>
        </is>
      </c>
      <c r="BB1517" t="inlineStr">
        <is>
          <t>9780521590648</t>
        </is>
      </c>
      <c r="BC1517" t="inlineStr">
        <is>
          <t>32285004908777</t>
        </is>
      </c>
      <c r="BD1517" t="inlineStr">
        <is>
          <t>893527608</t>
        </is>
      </c>
    </row>
    <row r="1518">
      <c r="A1518" t="inlineStr">
        <is>
          <t>No</t>
        </is>
      </c>
      <c r="B1518" t="inlineStr">
        <is>
          <t>DJK51 .C68 1995</t>
        </is>
      </c>
      <c r="C1518" t="inlineStr">
        <is>
          <t>0                      DJK0051000C  68          1995</t>
        </is>
      </c>
      <c r="D1518" t="inlineStr">
        <is>
          <t>Contemporary nationalism in East Central Europe / edited by Paul Latawski.</t>
        </is>
      </c>
      <c r="F1518" t="inlineStr">
        <is>
          <t>No</t>
        </is>
      </c>
      <c r="G1518" t="inlineStr">
        <is>
          <t>1</t>
        </is>
      </c>
      <c r="H1518" t="inlineStr">
        <is>
          <t>No</t>
        </is>
      </c>
      <c r="I1518" t="inlineStr">
        <is>
          <t>No</t>
        </is>
      </c>
      <c r="J1518" t="inlineStr">
        <is>
          <t>0</t>
        </is>
      </c>
      <c r="L1518" t="inlineStr">
        <is>
          <t>New York, N.Y. : St. Martin's Press, 1995.</t>
        </is>
      </c>
      <c r="M1518" t="inlineStr">
        <is>
          <t>1995</t>
        </is>
      </c>
      <c r="O1518" t="inlineStr">
        <is>
          <t>eng</t>
        </is>
      </c>
      <c r="P1518" t="inlineStr">
        <is>
          <t>nyu</t>
        </is>
      </c>
      <c r="R1518" t="inlineStr">
        <is>
          <t>DJK</t>
        </is>
      </c>
      <c r="S1518" t="n">
        <v>4</v>
      </c>
      <c r="T1518" t="n">
        <v>4</v>
      </c>
      <c r="U1518" t="inlineStr">
        <is>
          <t>1996-11-04</t>
        </is>
      </c>
      <c r="V1518" t="inlineStr">
        <is>
          <t>1996-11-04</t>
        </is>
      </c>
      <c r="W1518" t="inlineStr">
        <is>
          <t>1995-07-05</t>
        </is>
      </c>
      <c r="X1518" t="inlineStr">
        <is>
          <t>1995-07-05</t>
        </is>
      </c>
      <c r="Y1518" t="n">
        <v>256</v>
      </c>
      <c r="Z1518" t="n">
        <v>201</v>
      </c>
      <c r="AA1518" t="n">
        <v>211</v>
      </c>
      <c r="AB1518" t="n">
        <v>2</v>
      </c>
      <c r="AC1518" t="n">
        <v>2</v>
      </c>
      <c r="AD1518" t="n">
        <v>13</v>
      </c>
      <c r="AE1518" t="n">
        <v>14</v>
      </c>
      <c r="AF1518" t="n">
        <v>5</v>
      </c>
      <c r="AG1518" t="n">
        <v>6</v>
      </c>
      <c r="AH1518" t="n">
        <v>4</v>
      </c>
      <c r="AI1518" t="n">
        <v>4</v>
      </c>
      <c r="AJ1518" t="n">
        <v>6</v>
      </c>
      <c r="AK1518" t="n">
        <v>7</v>
      </c>
      <c r="AL1518" t="n">
        <v>1</v>
      </c>
      <c r="AM1518" t="n">
        <v>1</v>
      </c>
      <c r="AN1518" t="n">
        <v>0</v>
      </c>
      <c r="AO1518" t="n">
        <v>0</v>
      </c>
      <c r="AP1518" t="inlineStr">
        <is>
          <t>No</t>
        </is>
      </c>
      <c r="AQ1518" t="inlineStr">
        <is>
          <t>No</t>
        </is>
      </c>
      <c r="AS1518">
        <f>HYPERLINK("https://creighton-primo.hosted.exlibrisgroup.com/primo-explore/search?tab=default_tab&amp;search_scope=EVERYTHING&amp;vid=01CRU&amp;lang=en_US&amp;offset=0&amp;query=any,contains,991002336549702656","Catalog Record")</f>
        <v/>
      </c>
      <c r="AT1518">
        <f>HYPERLINK("http://www.worldcat.org/oclc/30400777","WorldCat Record")</f>
        <v/>
      </c>
      <c r="AU1518" t="inlineStr">
        <is>
          <t>55918030:eng</t>
        </is>
      </c>
      <c r="AV1518" t="inlineStr">
        <is>
          <t>30400777</t>
        </is>
      </c>
      <c r="AW1518" t="inlineStr">
        <is>
          <t>991002336549702656</t>
        </is>
      </c>
      <c r="AX1518" t="inlineStr">
        <is>
          <t>991002336549702656</t>
        </is>
      </c>
      <c r="AY1518" t="inlineStr">
        <is>
          <t>2265739270002656</t>
        </is>
      </c>
      <c r="AZ1518" t="inlineStr">
        <is>
          <t>BOOK</t>
        </is>
      </c>
      <c r="BB1518" t="inlineStr">
        <is>
          <t>9780312122768</t>
        </is>
      </c>
      <c r="BC1518" t="inlineStr">
        <is>
          <t>32285002053774</t>
        </is>
      </c>
      <c r="BD1518" t="inlineStr">
        <is>
          <t>893251096</t>
        </is>
      </c>
    </row>
    <row r="1519">
      <c r="A1519" t="inlineStr">
        <is>
          <t>No</t>
        </is>
      </c>
      <c r="B1519" t="inlineStr">
        <is>
          <t>DJK51 .D46 1993</t>
        </is>
      </c>
      <c r="C1519" t="inlineStr">
        <is>
          <t>0                      DJK0051000D  46          1993</t>
        </is>
      </c>
      <c r="D1519" t="inlineStr">
        <is>
          <t>Democracy and right-wing politics in Eastern Europe in the 1990s / edited by Joseph Held.</t>
        </is>
      </c>
      <c r="F1519" t="inlineStr">
        <is>
          <t>No</t>
        </is>
      </c>
      <c r="G1519" t="inlineStr">
        <is>
          <t>1</t>
        </is>
      </c>
      <c r="H1519" t="inlineStr">
        <is>
          <t>No</t>
        </is>
      </c>
      <c r="I1519" t="inlineStr">
        <is>
          <t>No</t>
        </is>
      </c>
      <c r="J1519" t="inlineStr">
        <is>
          <t>0</t>
        </is>
      </c>
      <c r="L1519" t="inlineStr">
        <is>
          <t>Boulder : East European Monographs ; New York : Distributed by Columbia University Press, 1993.</t>
        </is>
      </c>
      <c r="M1519" t="inlineStr">
        <is>
          <t>1993</t>
        </is>
      </c>
      <c r="O1519" t="inlineStr">
        <is>
          <t>eng</t>
        </is>
      </c>
      <c r="P1519" t="inlineStr">
        <is>
          <t>cou</t>
        </is>
      </c>
      <c r="Q1519" t="inlineStr">
        <is>
          <t>East European monographs ; no. 376</t>
        </is>
      </c>
      <c r="R1519" t="inlineStr">
        <is>
          <t>DJK</t>
        </is>
      </c>
      <c r="S1519" t="n">
        <v>1</v>
      </c>
      <c r="T1519" t="n">
        <v>1</v>
      </c>
      <c r="U1519" t="inlineStr">
        <is>
          <t>2004-08-17</t>
        </is>
      </c>
      <c r="V1519" t="inlineStr">
        <is>
          <t>2004-08-17</t>
        </is>
      </c>
      <c r="W1519" t="inlineStr">
        <is>
          <t>2004-08-17</t>
        </is>
      </c>
      <c r="X1519" t="inlineStr">
        <is>
          <t>2004-08-17</t>
        </is>
      </c>
      <c r="Y1519" t="n">
        <v>236</v>
      </c>
      <c r="Z1519" t="n">
        <v>167</v>
      </c>
      <c r="AA1519" t="n">
        <v>169</v>
      </c>
      <c r="AB1519" t="n">
        <v>3</v>
      </c>
      <c r="AC1519" t="n">
        <v>3</v>
      </c>
      <c r="AD1519" t="n">
        <v>7</v>
      </c>
      <c r="AE1519" t="n">
        <v>7</v>
      </c>
      <c r="AF1519" t="n">
        <v>2</v>
      </c>
      <c r="AG1519" t="n">
        <v>2</v>
      </c>
      <c r="AH1519" t="n">
        <v>1</v>
      </c>
      <c r="AI1519" t="n">
        <v>1</v>
      </c>
      <c r="AJ1519" t="n">
        <v>4</v>
      </c>
      <c r="AK1519" t="n">
        <v>4</v>
      </c>
      <c r="AL1519" t="n">
        <v>2</v>
      </c>
      <c r="AM1519" t="n">
        <v>2</v>
      </c>
      <c r="AN1519" t="n">
        <v>0</v>
      </c>
      <c r="AO1519" t="n">
        <v>0</v>
      </c>
      <c r="AP1519" t="inlineStr">
        <is>
          <t>No</t>
        </is>
      </c>
      <c r="AQ1519" t="inlineStr">
        <is>
          <t>Yes</t>
        </is>
      </c>
      <c r="AR1519">
        <f>HYPERLINK("http://catalog.hathitrust.org/Record/002786373","HathiTrust Record")</f>
        <v/>
      </c>
      <c r="AS1519">
        <f>HYPERLINK("https://creighton-primo.hosted.exlibrisgroup.com/primo-explore/search?tab=default_tab&amp;search_scope=EVERYTHING&amp;vid=01CRU&amp;lang=en_US&amp;offset=0&amp;query=any,contains,991004348559702656","Catalog Record")</f>
        <v/>
      </c>
      <c r="AT1519">
        <f>HYPERLINK("http://www.worldcat.org/oclc/28911610","WorldCat Record")</f>
        <v/>
      </c>
      <c r="AU1519" t="inlineStr">
        <is>
          <t>365319835:eng</t>
        </is>
      </c>
      <c r="AV1519" t="inlineStr">
        <is>
          <t>28911610</t>
        </is>
      </c>
      <c r="AW1519" t="inlineStr">
        <is>
          <t>991004348559702656</t>
        </is>
      </c>
      <c r="AX1519" t="inlineStr">
        <is>
          <t>991004348559702656</t>
        </is>
      </c>
      <c r="AY1519" t="inlineStr">
        <is>
          <t>2270142670002656</t>
        </is>
      </c>
      <c r="AZ1519" t="inlineStr">
        <is>
          <t>BOOK</t>
        </is>
      </c>
      <c r="BB1519" t="inlineStr">
        <is>
          <t>9780880332736</t>
        </is>
      </c>
      <c r="BC1519" t="inlineStr">
        <is>
          <t>32285004981808</t>
        </is>
      </c>
      <c r="BD1519" t="inlineStr">
        <is>
          <t>893901140</t>
        </is>
      </c>
    </row>
    <row r="1520">
      <c r="A1520" t="inlineStr">
        <is>
          <t>No</t>
        </is>
      </c>
      <c r="B1520" t="inlineStr">
        <is>
          <t>DJK51 .E89 1996</t>
        </is>
      </c>
      <c r="C1520" t="inlineStr">
        <is>
          <t>0                      DJK0051000E  89          1996</t>
        </is>
      </c>
      <c r="D1520" t="inlineStr">
        <is>
          <t>Ethnic conflict in the post-Soviet world : case studies and analysis / edited by Leokadia Drobizheva ... [et al.].</t>
        </is>
      </c>
      <c r="F1520" t="inlineStr">
        <is>
          <t>No</t>
        </is>
      </c>
      <c r="G1520" t="inlineStr">
        <is>
          <t>1</t>
        </is>
      </c>
      <c r="H1520" t="inlineStr">
        <is>
          <t>No</t>
        </is>
      </c>
      <c r="I1520" t="inlineStr">
        <is>
          <t>No</t>
        </is>
      </c>
      <c r="J1520" t="inlineStr">
        <is>
          <t>0</t>
        </is>
      </c>
      <c r="L1520" t="inlineStr">
        <is>
          <t>Armonk, N.Y. : M.E. Sharpe, c1996.</t>
        </is>
      </c>
      <c r="M1520" t="inlineStr">
        <is>
          <t>1996</t>
        </is>
      </c>
      <c r="O1520" t="inlineStr">
        <is>
          <t>eng</t>
        </is>
      </c>
      <c r="P1520" t="inlineStr">
        <is>
          <t>nyu</t>
        </is>
      </c>
      <c r="R1520" t="inlineStr">
        <is>
          <t>DJK</t>
        </is>
      </c>
      <c r="S1520" t="n">
        <v>2</v>
      </c>
      <c r="T1520" t="n">
        <v>2</v>
      </c>
      <c r="U1520" t="inlineStr">
        <is>
          <t>1998-09-21</t>
        </is>
      </c>
      <c r="V1520" t="inlineStr">
        <is>
          <t>1998-09-21</t>
        </is>
      </c>
      <c r="W1520" t="inlineStr">
        <is>
          <t>1997-05-28</t>
        </is>
      </c>
      <c r="X1520" t="inlineStr">
        <is>
          <t>1997-05-28</t>
        </is>
      </c>
      <c r="Y1520" t="n">
        <v>337</v>
      </c>
      <c r="Z1520" t="n">
        <v>263</v>
      </c>
      <c r="AA1520" t="n">
        <v>1143</v>
      </c>
      <c r="AB1520" t="n">
        <v>3</v>
      </c>
      <c r="AC1520" t="n">
        <v>6</v>
      </c>
      <c r="AD1520" t="n">
        <v>13</v>
      </c>
      <c r="AE1520" t="n">
        <v>26</v>
      </c>
      <c r="AF1520" t="n">
        <v>1</v>
      </c>
      <c r="AG1520" t="n">
        <v>9</v>
      </c>
      <c r="AH1520" t="n">
        <v>4</v>
      </c>
      <c r="AI1520" t="n">
        <v>5</v>
      </c>
      <c r="AJ1520" t="n">
        <v>9</v>
      </c>
      <c r="AK1520" t="n">
        <v>14</v>
      </c>
      <c r="AL1520" t="n">
        <v>2</v>
      </c>
      <c r="AM1520" t="n">
        <v>5</v>
      </c>
      <c r="AN1520" t="n">
        <v>0</v>
      </c>
      <c r="AO1520" t="n">
        <v>0</v>
      </c>
      <c r="AP1520" t="inlineStr">
        <is>
          <t>No</t>
        </is>
      </c>
      <c r="AQ1520" t="inlineStr">
        <is>
          <t>Yes</t>
        </is>
      </c>
      <c r="AR1520">
        <f>HYPERLINK("http://catalog.hathitrust.org/Record/003099370","HathiTrust Record")</f>
        <v/>
      </c>
      <c r="AS1520">
        <f>HYPERLINK("https://creighton-primo.hosted.exlibrisgroup.com/primo-explore/search?tab=default_tab&amp;search_scope=EVERYTHING&amp;vid=01CRU&amp;lang=en_US&amp;offset=0&amp;query=any,contains,991002541889702656","Catalog Record")</f>
        <v/>
      </c>
      <c r="AT1520">
        <f>HYPERLINK("http://www.worldcat.org/oclc/33043042","WorldCat Record")</f>
        <v/>
      </c>
      <c r="AU1520" t="inlineStr">
        <is>
          <t>799357068:eng</t>
        </is>
      </c>
      <c r="AV1520" t="inlineStr">
        <is>
          <t>33043042</t>
        </is>
      </c>
      <c r="AW1520" t="inlineStr">
        <is>
          <t>991002541889702656</t>
        </is>
      </c>
      <c r="AX1520" t="inlineStr">
        <is>
          <t>991002541889702656</t>
        </is>
      </c>
      <c r="AY1520" t="inlineStr">
        <is>
          <t>2272312040002656</t>
        </is>
      </c>
      <c r="AZ1520" t="inlineStr">
        <is>
          <t>BOOK</t>
        </is>
      </c>
      <c r="BB1520" t="inlineStr">
        <is>
          <t>9781563247408</t>
        </is>
      </c>
      <c r="BC1520" t="inlineStr">
        <is>
          <t>32285002612298</t>
        </is>
      </c>
      <c r="BD1520" t="inlineStr">
        <is>
          <t>893892695</t>
        </is>
      </c>
    </row>
    <row r="1521">
      <c r="A1521" t="inlineStr">
        <is>
          <t>No</t>
        </is>
      </c>
      <c r="B1521" t="inlineStr">
        <is>
          <t>DJK51 .F69 1999</t>
        </is>
      </c>
      <c r="C1521" t="inlineStr">
        <is>
          <t>0                      DJK0051000F  69          1999</t>
        </is>
      </c>
      <c r="D1521" t="inlineStr">
        <is>
          <t>The post-communist era : change and continuity in Eastern Europe / Ben Fowkes.</t>
        </is>
      </c>
      <c r="F1521" t="inlineStr">
        <is>
          <t>No</t>
        </is>
      </c>
      <c r="G1521" t="inlineStr">
        <is>
          <t>1</t>
        </is>
      </c>
      <c r="H1521" t="inlineStr">
        <is>
          <t>No</t>
        </is>
      </c>
      <c r="I1521" t="inlineStr">
        <is>
          <t>No</t>
        </is>
      </c>
      <c r="J1521" t="inlineStr">
        <is>
          <t>0</t>
        </is>
      </c>
      <c r="K1521" t="inlineStr">
        <is>
          <t>Fowkes, Ben.</t>
        </is>
      </c>
      <c r="L1521" t="inlineStr">
        <is>
          <t>New York : St. Martin's Press, 1999.</t>
        </is>
      </c>
      <c r="M1521" t="inlineStr">
        <is>
          <t>1999</t>
        </is>
      </c>
      <c r="O1521" t="inlineStr">
        <is>
          <t>eng</t>
        </is>
      </c>
      <c r="P1521" t="inlineStr">
        <is>
          <t>nyu</t>
        </is>
      </c>
      <c r="R1521" t="inlineStr">
        <is>
          <t>DJK</t>
        </is>
      </c>
      <c r="S1521" t="n">
        <v>3</v>
      </c>
      <c r="T1521" t="n">
        <v>3</v>
      </c>
      <c r="U1521" t="inlineStr">
        <is>
          <t>2004-08-27</t>
        </is>
      </c>
      <c r="V1521" t="inlineStr">
        <is>
          <t>2004-08-27</t>
        </is>
      </c>
      <c r="W1521" t="inlineStr">
        <is>
          <t>2000-10-24</t>
        </is>
      </c>
      <c r="X1521" t="inlineStr">
        <is>
          <t>2000-10-24</t>
        </is>
      </c>
      <c r="Y1521" t="n">
        <v>272</v>
      </c>
      <c r="Z1521" t="n">
        <v>230</v>
      </c>
      <c r="AA1521" t="n">
        <v>266</v>
      </c>
      <c r="AB1521" t="n">
        <v>2</v>
      </c>
      <c r="AC1521" t="n">
        <v>2</v>
      </c>
      <c r="AD1521" t="n">
        <v>16</v>
      </c>
      <c r="AE1521" t="n">
        <v>18</v>
      </c>
      <c r="AF1521" t="n">
        <v>5</v>
      </c>
      <c r="AG1521" t="n">
        <v>7</v>
      </c>
      <c r="AH1521" t="n">
        <v>7</v>
      </c>
      <c r="AI1521" t="n">
        <v>7</v>
      </c>
      <c r="AJ1521" t="n">
        <v>8</v>
      </c>
      <c r="AK1521" t="n">
        <v>9</v>
      </c>
      <c r="AL1521" t="n">
        <v>1</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HYPERLINK("https://creighton-primo.hosted.exlibrisgroup.com/primo-explore/search?tab=default_tab&amp;search_scope=EVERYTHING&amp;vid=01CRU&amp;lang=en_US&amp;offset=0&amp;query=any,contains,991003249329702656","Catalog Record")</f>
        <v/>
      </c>
      <c r="AT1521">
        <f>HYPERLINK("http://www.worldcat.org/oclc/40762620","WorldCat Record")</f>
        <v/>
      </c>
      <c r="AU1521" t="inlineStr">
        <is>
          <t>837029957:eng</t>
        </is>
      </c>
      <c r="AV1521" t="inlineStr">
        <is>
          <t>40762620</t>
        </is>
      </c>
      <c r="AW1521" t="inlineStr">
        <is>
          <t>991003249329702656</t>
        </is>
      </c>
      <c r="AX1521" t="inlineStr">
        <is>
          <t>991003249329702656</t>
        </is>
      </c>
      <c r="AY1521" t="inlineStr">
        <is>
          <t>2267159550002656</t>
        </is>
      </c>
      <c r="AZ1521" t="inlineStr">
        <is>
          <t>BOOK</t>
        </is>
      </c>
      <c r="BB1521" t="inlineStr">
        <is>
          <t>9780312223687</t>
        </is>
      </c>
      <c r="BC1521" t="inlineStr">
        <is>
          <t>32285003769675</t>
        </is>
      </c>
      <c r="BD1521" t="inlineStr">
        <is>
          <t>893880975</t>
        </is>
      </c>
    </row>
    <row r="1522">
      <c r="A1522" t="inlineStr">
        <is>
          <t>No</t>
        </is>
      </c>
      <c r="B1522" t="inlineStr">
        <is>
          <t>DJK51 .G65 1992</t>
        </is>
      </c>
      <c r="C1522" t="inlineStr">
        <is>
          <t>0                      DJK0051000G  65          1992</t>
        </is>
      </c>
      <c r="D1522" t="inlineStr">
        <is>
          <t>After the fall : the pursuit of democracy in Central Europe / Jeffrey C. Goldfarb.</t>
        </is>
      </c>
      <c r="F1522" t="inlineStr">
        <is>
          <t>No</t>
        </is>
      </c>
      <c r="G1522" t="inlineStr">
        <is>
          <t>1</t>
        </is>
      </c>
      <c r="H1522" t="inlineStr">
        <is>
          <t>No</t>
        </is>
      </c>
      <c r="I1522" t="inlineStr">
        <is>
          <t>No</t>
        </is>
      </c>
      <c r="J1522" t="inlineStr">
        <is>
          <t>0</t>
        </is>
      </c>
      <c r="K1522" t="inlineStr">
        <is>
          <t>Goldfarb, Jeffrey C.</t>
        </is>
      </c>
      <c r="L1522" t="inlineStr">
        <is>
          <t>New York, N.Y. : BasicBooks, c1992.</t>
        </is>
      </c>
      <c r="M1522" t="inlineStr">
        <is>
          <t>1992</t>
        </is>
      </c>
      <c r="O1522" t="inlineStr">
        <is>
          <t>eng</t>
        </is>
      </c>
      <c r="P1522" t="inlineStr">
        <is>
          <t>nyu</t>
        </is>
      </c>
      <c r="R1522" t="inlineStr">
        <is>
          <t>DJK</t>
        </is>
      </c>
      <c r="S1522" t="n">
        <v>4</v>
      </c>
      <c r="T1522" t="n">
        <v>4</v>
      </c>
      <c r="U1522" t="inlineStr">
        <is>
          <t>1995-09-08</t>
        </is>
      </c>
      <c r="V1522" t="inlineStr">
        <is>
          <t>1995-09-08</t>
        </is>
      </c>
      <c r="W1522" t="inlineStr">
        <is>
          <t>1992-06-10</t>
        </is>
      </c>
      <c r="X1522" t="inlineStr">
        <is>
          <t>1992-06-10</t>
        </is>
      </c>
      <c r="Y1522" t="n">
        <v>640</v>
      </c>
      <c r="Z1522" t="n">
        <v>549</v>
      </c>
      <c r="AA1522" t="n">
        <v>558</v>
      </c>
      <c r="AB1522" t="n">
        <v>6</v>
      </c>
      <c r="AC1522" t="n">
        <v>6</v>
      </c>
      <c r="AD1522" t="n">
        <v>33</v>
      </c>
      <c r="AE1522" t="n">
        <v>33</v>
      </c>
      <c r="AF1522" t="n">
        <v>12</v>
      </c>
      <c r="AG1522" t="n">
        <v>12</v>
      </c>
      <c r="AH1522" t="n">
        <v>10</v>
      </c>
      <c r="AI1522" t="n">
        <v>10</v>
      </c>
      <c r="AJ1522" t="n">
        <v>14</v>
      </c>
      <c r="AK1522" t="n">
        <v>14</v>
      </c>
      <c r="AL1522" t="n">
        <v>5</v>
      </c>
      <c r="AM1522" t="n">
        <v>5</v>
      </c>
      <c r="AN1522" t="n">
        <v>1</v>
      </c>
      <c r="AO1522" t="n">
        <v>1</v>
      </c>
      <c r="AP1522" t="inlineStr">
        <is>
          <t>No</t>
        </is>
      </c>
      <c r="AQ1522" t="inlineStr">
        <is>
          <t>Yes</t>
        </is>
      </c>
      <c r="AR1522">
        <f>HYPERLINK("http://catalog.hathitrust.org/Record/002528752","HathiTrust Record")</f>
        <v/>
      </c>
      <c r="AS1522">
        <f>HYPERLINK("https://creighton-primo.hosted.exlibrisgroup.com/primo-explore/search?tab=default_tab&amp;search_scope=EVERYTHING&amp;vid=01CRU&amp;lang=en_US&amp;offset=0&amp;query=any,contains,991001934759702656","Catalog Record")</f>
        <v/>
      </c>
      <c r="AT1522">
        <f>HYPERLINK("http://www.worldcat.org/oclc/24430497","WorldCat Record")</f>
        <v/>
      </c>
      <c r="AU1522" t="inlineStr">
        <is>
          <t>339847:eng</t>
        </is>
      </c>
      <c r="AV1522" t="inlineStr">
        <is>
          <t>24430497</t>
        </is>
      </c>
      <c r="AW1522" t="inlineStr">
        <is>
          <t>991001934759702656</t>
        </is>
      </c>
      <c r="AX1522" t="inlineStr">
        <is>
          <t>991001934759702656</t>
        </is>
      </c>
      <c r="AY1522" t="inlineStr">
        <is>
          <t>2267977240002656</t>
        </is>
      </c>
      <c r="AZ1522" t="inlineStr">
        <is>
          <t>BOOK</t>
        </is>
      </c>
      <c r="BB1522" t="inlineStr">
        <is>
          <t>9780465016051</t>
        </is>
      </c>
      <c r="BC1522" t="inlineStr">
        <is>
          <t>32285001127280</t>
        </is>
      </c>
      <c r="BD1522" t="inlineStr">
        <is>
          <t>893522992</t>
        </is>
      </c>
    </row>
    <row r="1523">
      <c r="A1523" t="inlineStr">
        <is>
          <t>No</t>
        </is>
      </c>
      <c r="B1523" t="inlineStr">
        <is>
          <t>DJK51 .G75 1993</t>
        </is>
      </c>
      <c r="C1523" t="inlineStr">
        <is>
          <t>0                      DJK0051000G  75          1993</t>
        </is>
      </c>
      <c r="D1523" t="inlineStr">
        <is>
          <t>Nationalism and ethnic conflict : threats to European security / Stephen Iwan Griffiths.</t>
        </is>
      </c>
      <c r="F1523" t="inlineStr">
        <is>
          <t>No</t>
        </is>
      </c>
      <c r="G1523" t="inlineStr">
        <is>
          <t>1</t>
        </is>
      </c>
      <c r="H1523" t="inlineStr">
        <is>
          <t>No</t>
        </is>
      </c>
      <c r="I1523" t="inlineStr">
        <is>
          <t>No</t>
        </is>
      </c>
      <c r="J1523" t="inlineStr">
        <is>
          <t>0</t>
        </is>
      </c>
      <c r="K1523" t="inlineStr">
        <is>
          <t>Griffiths, Stephen Iwan.</t>
        </is>
      </c>
      <c r="L1523" t="inlineStr">
        <is>
          <t>Oxford, England ; New York : Oxford University Press, c1993.</t>
        </is>
      </c>
      <c r="M1523" t="inlineStr">
        <is>
          <t>1993</t>
        </is>
      </c>
      <c r="O1523" t="inlineStr">
        <is>
          <t>eng</t>
        </is>
      </c>
      <c r="P1523" t="inlineStr">
        <is>
          <t>enk</t>
        </is>
      </c>
      <c r="Q1523" t="inlineStr">
        <is>
          <t>SIPRI research report ; no. 5</t>
        </is>
      </c>
      <c r="R1523" t="inlineStr">
        <is>
          <t>DJK</t>
        </is>
      </c>
      <c r="S1523" t="n">
        <v>8</v>
      </c>
      <c r="T1523" t="n">
        <v>8</v>
      </c>
      <c r="U1523" t="inlineStr">
        <is>
          <t>1998-11-22</t>
        </is>
      </c>
      <c r="V1523" t="inlineStr">
        <is>
          <t>1998-11-22</t>
        </is>
      </c>
      <c r="W1523" t="inlineStr">
        <is>
          <t>1994-07-21</t>
        </is>
      </c>
      <c r="X1523" t="inlineStr">
        <is>
          <t>1994-07-21</t>
        </is>
      </c>
      <c r="Y1523" t="n">
        <v>471</v>
      </c>
      <c r="Z1523" t="n">
        <v>327</v>
      </c>
      <c r="AA1523" t="n">
        <v>328</v>
      </c>
      <c r="AB1523" t="n">
        <v>3</v>
      </c>
      <c r="AC1523" t="n">
        <v>3</v>
      </c>
      <c r="AD1523" t="n">
        <v>16</v>
      </c>
      <c r="AE1523" t="n">
        <v>16</v>
      </c>
      <c r="AF1523" t="n">
        <v>5</v>
      </c>
      <c r="AG1523" t="n">
        <v>5</v>
      </c>
      <c r="AH1523" t="n">
        <v>5</v>
      </c>
      <c r="AI1523" t="n">
        <v>5</v>
      </c>
      <c r="AJ1523" t="n">
        <v>8</v>
      </c>
      <c r="AK1523" t="n">
        <v>8</v>
      </c>
      <c r="AL1523" t="n">
        <v>2</v>
      </c>
      <c r="AM1523" t="n">
        <v>2</v>
      </c>
      <c r="AN1523" t="n">
        <v>0</v>
      </c>
      <c r="AO1523" t="n">
        <v>0</v>
      </c>
      <c r="AP1523" t="inlineStr">
        <is>
          <t>No</t>
        </is>
      </c>
      <c r="AQ1523" t="inlineStr">
        <is>
          <t>No</t>
        </is>
      </c>
      <c r="AS1523">
        <f>HYPERLINK("https://creighton-primo.hosted.exlibrisgroup.com/primo-explore/search?tab=default_tab&amp;search_scope=EVERYTHING&amp;vid=01CRU&amp;lang=en_US&amp;offset=0&amp;query=any,contains,991002171659702656","Catalog Record")</f>
        <v/>
      </c>
      <c r="AT1523">
        <f>HYPERLINK("http://www.worldcat.org/oclc/27938080","WorldCat Record")</f>
        <v/>
      </c>
      <c r="AU1523" t="inlineStr">
        <is>
          <t>807398729:eng</t>
        </is>
      </c>
      <c r="AV1523" t="inlineStr">
        <is>
          <t>27938080</t>
        </is>
      </c>
      <c r="AW1523" t="inlineStr">
        <is>
          <t>991002171659702656</t>
        </is>
      </c>
      <c r="AX1523" t="inlineStr">
        <is>
          <t>991002171659702656</t>
        </is>
      </c>
      <c r="AY1523" t="inlineStr">
        <is>
          <t>2255694850002656</t>
        </is>
      </c>
      <c r="AZ1523" t="inlineStr">
        <is>
          <t>BOOK</t>
        </is>
      </c>
      <c r="BB1523" t="inlineStr">
        <is>
          <t>9780198291626</t>
        </is>
      </c>
      <c r="BC1523" t="inlineStr">
        <is>
          <t>32285001932267</t>
        </is>
      </c>
      <c r="BD1523" t="inlineStr">
        <is>
          <t>893615778</t>
        </is>
      </c>
    </row>
    <row r="1524">
      <c r="A1524" t="inlineStr">
        <is>
          <t>No</t>
        </is>
      </c>
      <c r="B1524" t="inlineStr">
        <is>
          <t>DJK51 .H96 1996</t>
        </is>
      </c>
      <c r="C1524" t="inlineStr">
        <is>
          <t>0                      DJK0051000H  96          1996</t>
        </is>
      </c>
      <c r="D1524" t="inlineStr">
        <is>
          <t>The international politics of East Central Europe / Adrian Hyde-Price.</t>
        </is>
      </c>
      <c r="F1524" t="inlineStr">
        <is>
          <t>No</t>
        </is>
      </c>
      <c r="G1524" t="inlineStr">
        <is>
          <t>1</t>
        </is>
      </c>
      <c r="H1524" t="inlineStr">
        <is>
          <t>No</t>
        </is>
      </c>
      <c r="I1524" t="inlineStr">
        <is>
          <t>No</t>
        </is>
      </c>
      <c r="J1524" t="inlineStr">
        <is>
          <t>0</t>
        </is>
      </c>
      <c r="K1524" t="inlineStr">
        <is>
          <t>Hyde-Price, Adrian G. V.</t>
        </is>
      </c>
      <c r="L1524" t="inlineStr">
        <is>
          <t>Manchester ; New York : Manchester University Press : St. Martin's Press [distributor], 1996.</t>
        </is>
      </c>
      <c r="M1524" t="inlineStr">
        <is>
          <t>1996</t>
        </is>
      </c>
      <c r="O1524" t="inlineStr">
        <is>
          <t>eng</t>
        </is>
      </c>
      <c r="P1524" t="inlineStr">
        <is>
          <t>enk</t>
        </is>
      </c>
      <c r="Q1524" t="inlineStr">
        <is>
          <t>Regional international politics series</t>
        </is>
      </c>
      <c r="R1524" t="inlineStr">
        <is>
          <t>DJK</t>
        </is>
      </c>
      <c r="S1524" t="n">
        <v>3</v>
      </c>
      <c r="T1524" t="n">
        <v>3</v>
      </c>
      <c r="U1524" t="inlineStr">
        <is>
          <t>2000-04-10</t>
        </is>
      </c>
      <c r="V1524" t="inlineStr">
        <is>
          <t>2000-04-10</t>
        </is>
      </c>
      <c r="W1524" t="inlineStr">
        <is>
          <t>1997-02-20</t>
        </is>
      </c>
      <c r="X1524" t="inlineStr">
        <is>
          <t>1997-02-20</t>
        </is>
      </c>
      <c r="Y1524" t="n">
        <v>330</v>
      </c>
      <c r="Z1524" t="n">
        <v>224</v>
      </c>
      <c r="AA1524" t="n">
        <v>230</v>
      </c>
      <c r="AB1524" t="n">
        <v>1</v>
      </c>
      <c r="AC1524" t="n">
        <v>1</v>
      </c>
      <c r="AD1524" t="n">
        <v>10</v>
      </c>
      <c r="AE1524" t="n">
        <v>10</v>
      </c>
      <c r="AF1524" t="n">
        <v>3</v>
      </c>
      <c r="AG1524" t="n">
        <v>3</v>
      </c>
      <c r="AH1524" t="n">
        <v>5</v>
      </c>
      <c r="AI1524" t="n">
        <v>5</v>
      </c>
      <c r="AJ1524" t="n">
        <v>6</v>
      </c>
      <c r="AK1524" t="n">
        <v>6</v>
      </c>
      <c r="AL1524" t="n">
        <v>0</v>
      </c>
      <c r="AM1524" t="n">
        <v>0</v>
      </c>
      <c r="AN1524" t="n">
        <v>0</v>
      </c>
      <c r="AO1524" t="n">
        <v>0</v>
      </c>
      <c r="AP1524" t="inlineStr">
        <is>
          <t>No</t>
        </is>
      </c>
      <c r="AQ1524" t="inlineStr">
        <is>
          <t>Yes</t>
        </is>
      </c>
      <c r="AR1524">
        <f>HYPERLINK("http://catalog.hathitrust.org/Record/003079606","HathiTrust Record")</f>
        <v/>
      </c>
      <c r="AS1524">
        <f>HYPERLINK("https://creighton-primo.hosted.exlibrisgroup.com/primo-explore/search?tab=default_tab&amp;search_scope=EVERYTHING&amp;vid=01CRU&amp;lang=en_US&amp;offset=0&amp;query=any,contains,991002631649702656","Catalog Record")</f>
        <v/>
      </c>
      <c r="AT1524">
        <f>HYPERLINK("http://www.worldcat.org/oclc/34500750","WorldCat Record")</f>
        <v/>
      </c>
      <c r="AU1524" t="inlineStr">
        <is>
          <t>39116963:eng</t>
        </is>
      </c>
      <c r="AV1524" t="inlineStr">
        <is>
          <t>34500750</t>
        </is>
      </c>
      <c r="AW1524" t="inlineStr">
        <is>
          <t>991002631649702656</t>
        </is>
      </c>
      <c r="AX1524" t="inlineStr">
        <is>
          <t>991002631649702656</t>
        </is>
      </c>
      <c r="AY1524" t="inlineStr">
        <is>
          <t>2254754570002656</t>
        </is>
      </c>
      <c r="AZ1524" t="inlineStr">
        <is>
          <t>BOOK</t>
        </is>
      </c>
      <c r="BB1524" t="inlineStr">
        <is>
          <t>9780719040962</t>
        </is>
      </c>
      <c r="BC1524" t="inlineStr">
        <is>
          <t>32285002432390</t>
        </is>
      </c>
      <c r="BD1524" t="inlineStr">
        <is>
          <t>893721547</t>
        </is>
      </c>
    </row>
    <row r="1525">
      <c r="A1525" t="inlineStr">
        <is>
          <t>No</t>
        </is>
      </c>
      <c r="B1525" t="inlineStr">
        <is>
          <t>DJK51 .N49 1993</t>
        </is>
      </c>
      <c r="C1525" t="inlineStr">
        <is>
          <t>0                      DJK0051000N  49          1993</t>
        </is>
      </c>
      <c r="D1525" t="inlineStr">
        <is>
          <t>The New political geography of Eastern Europe / edited by John O'Loughlin and Herman van der Wusten.</t>
        </is>
      </c>
      <c r="F1525" t="inlineStr">
        <is>
          <t>No</t>
        </is>
      </c>
      <c r="G1525" t="inlineStr">
        <is>
          <t>1</t>
        </is>
      </c>
      <c r="H1525" t="inlineStr">
        <is>
          <t>No</t>
        </is>
      </c>
      <c r="I1525" t="inlineStr">
        <is>
          <t>No</t>
        </is>
      </c>
      <c r="J1525" t="inlineStr">
        <is>
          <t>0</t>
        </is>
      </c>
      <c r="L1525" t="inlineStr">
        <is>
          <t>London : Belhaven ; New York : Halsted, 1993.</t>
        </is>
      </c>
      <c r="M1525" t="inlineStr">
        <is>
          <t>1993</t>
        </is>
      </c>
      <c r="O1525" t="inlineStr">
        <is>
          <t>eng</t>
        </is>
      </c>
      <c r="P1525" t="inlineStr">
        <is>
          <t>nyu</t>
        </is>
      </c>
      <c r="R1525" t="inlineStr">
        <is>
          <t>DJK</t>
        </is>
      </c>
      <c r="S1525" t="n">
        <v>7</v>
      </c>
      <c r="T1525" t="n">
        <v>7</v>
      </c>
      <c r="U1525" t="inlineStr">
        <is>
          <t>1997-11-19</t>
        </is>
      </c>
      <c r="V1525" t="inlineStr">
        <is>
          <t>1997-11-19</t>
        </is>
      </c>
      <c r="W1525" t="inlineStr">
        <is>
          <t>1993-08-09</t>
        </is>
      </c>
      <c r="X1525" t="inlineStr">
        <is>
          <t>1993-08-09</t>
        </is>
      </c>
      <c r="Y1525" t="n">
        <v>314</v>
      </c>
      <c r="Z1525" t="n">
        <v>207</v>
      </c>
      <c r="AA1525" t="n">
        <v>213</v>
      </c>
      <c r="AB1525" t="n">
        <v>4</v>
      </c>
      <c r="AC1525" t="n">
        <v>4</v>
      </c>
      <c r="AD1525" t="n">
        <v>14</v>
      </c>
      <c r="AE1525" t="n">
        <v>14</v>
      </c>
      <c r="AF1525" t="n">
        <v>3</v>
      </c>
      <c r="AG1525" t="n">
        <v>3</v>
      </c>
      <c r="AH1525" t="n">
        <v>5</v>
      </c>
      <c r="AI1525" t="n">
        <v>5</v>
      </c>
      <c r="AJ1525" t="n">
        <v>5</v>
      </c>
      <c r="AK1525" t="n">
        <v>5</v>
      </c>
      <c r="AL1525" t="n">
        <v>3</v>
      </c>
      <c r="AM1525" t="n">
        <v>3</v>
      </c>
      <c r="AN1525" t="n">
        <v>0</v>
      </c>
      <c r="AO1525" t="n">
        <v>0</v>
      </c>
      <c r="AP1525" t="inlineStr">
        <is>
          <t>No</t>
        </is>
      </c>
      <c r="AQ1525" t="inlineStr">
        <is>
          <t>Yes</t>
        </is>
      </c>
      <c r="AR1525">
        <f>HYPERLINK("http://catalog.hathitrust.org/Record/002604721","HathiTrust Record")</f>
        <v/>
      </c>
      <c r="AS1525">
        <f>HYPERLINK("https://creighton-primo.hosted.exlibrisgroup.com/primo-explore/search?tab=default_tab&amp;search_scope=EVERYTHING&amp;vid=01CRU&amp;lang=en_US&amp;offset=0&amp;query=any,contains,991002110239702656","Catalog Record")</f>
        <v/>
      </c>
      <c r="AT1525">
        <f>HYPERLINK("http://www.worldcat.org/oclc/27036333","WorldCat Record")</f>
        <v/>
      </c>
      <c r="AU1525" t="inlineStr">
        <is>
          <t>350252873:eng</t>
        </is>
      </c>
      <c r="AV1525" t="inlineStr">
        <is>
          <t>27036333</t>
        </is>
      </c>
      <c r="AW1525" t="inlineStr">
        <is>
          <t>991002110239702656</t>
        </is>
      </c>
      <c r="AX1525" t="inlineStr">
        <is>
          <t>991002110239702656</t>
        </is>
      </c>
      <c r="AY1525" t="inlineStr">
        <is>
          <t>2272395550002656</t>
        </is>
      </c>
      <c r="AZ1525" t="inlineStr">
        <is>
          <t>BOOK</t>
        </is>
      </c>
      <c r="BB1525" t="inlineStr">
        <is>
          <t>9780470219331</t>
        </is>
      </c>
      <c r="BC1525" t="inlineStr">
        <is>
          <t>32285001704930</t>
        </is>
      </c>
      <c r="BD1525" t="inlineStr">
        <is>
          <t>893798193</t>
        </is>
      </c>
    </row>
    <row r="1526">
      <c r="A1526" t="inlineStr">
        <is>
          <t>No</t>
        </is>
      </c>
      <c r="B1526" t="inlineStr">
        <is>
          <t>DJK51 .O65 1996</t>
        </is>
      </c>
      <c r="C1526" t="inlineStr">
        <is>
          <t>0                      DJK0051000O  65          1996</t>
        </is>
      </c>
      <c r="D1526" t="inlineStr">
        <is>
          <t>Forging ahead, falling behind / Open Media Research Institute ; with an introduction by J.F. Brown.</t>
        </is>
      </c>
      <c r="F1526" t="inlineStr">
        <is>
          <t>No</t>
        </is>
      </c>
      <c r="G1526" t="inlineStr">
        <is>
          <t>1</t>
        </is>
      </c>
      <c r="H1526" t="inlineStr">
        <is>
          <t>No</t>
        </is>
      </c>
      <c r="I1526" t="inlineStr">
        <is>
          <t>No</t>
        </is>
      </c>
      <c r="J1526" t="inlineStr">
        <is>
          <t>0</t>
        </is>
      </c>
      <c r="K1526" t="inlineStr">
        <is>
          <t>Open Media Research Institute.</t>
        </is>
      </c>
      <c r="L1526" t="inlineStr">
        <is>
          <t>Armonk, N.Y. : M.E. Sharpe, c1997.</t>
        </is>
      </c>
      <c r="M1526" t="inlineStr">
        <is>
          <t>1997</t>
        </is>
      </c>
      <c r="O1526" t="inlineStr">
        <is>
          <t>eng</t>
        </is>
      </c>
      <c r="P1526" t="inlineStr">
        <is>
          <t>nyu</t>
        </is>
      </c>
      <c r="Q1526" t="inlineStr">
        <is>
          <t>OMRI annual survey of Eastern Europe and the former Soviet Union, 1088-3304 ; 1996</t>
        </is>
      </c>
      <c r="R1526" t="inlineStr">
        <is>
          <t>DJK</t>
        </is>
      </c>
      <c r="S1526" t="n">
        <v>1</v>
      </c>
      <c r="T1526" t="n">
        <v>1</v>
      </c>
      <c r="U1526" t="inlineStr">
        <is>
          <t>2001-03-28</t>
        </is>
      </c>
      <c r="V1526" t="inlineStr">
        <is>
          <t>2001-03-28</t>
        </is>
      </c>
      <c r="W1526" t="inlineStr">
        <is>
          <t>2001-03-28</t>
        </is>
      </c>
      <c r="X1526" t="inlineStr">
        <is>
          <t>2001-03-28</t>
        </is>
      </c>
      <c r="Y1526" t="n">
        <v>38</v>
      </c>
      <c r="Z1526" t="n">
        <v>28</v>
      </c>
      <c r="AA1526" t="n">
        <v>1014</v>
      </c>
      <c r="AB1526" t="n">
        <v>1</v>
      </c>
      <c r="AC1526" t="n">
        <v>5</v>
      </c>
      <c r="AD1526" t="n">
        <v>1</v>
      </c>
      <c r="AE1526" t="n">
        <v>17</v>
      </c>
      <c r="AF1526" t="n">
        <v>0</v>
      </c>
      <c r="AG1526" t="n">
        <v>9</v>
      </c>
      <c r="AH1526" t="n">
        <v>0</v>
      </c>
      <c r="AI1526" t="n">
        <v>2</v>
      </c>
      <c r="AJ1526" t="n">
        <v>1</v>
      </c>
      <c r="AK1526" t="n">
        <v>8</v>
      </c>
      <c r="AL1526" t="n">
        <v>0</v>
      </c>
      <c r="AM1526" t="n">
        <v>3</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HYPERLINK("https://creighton-primo.hosted.exlibrisgroup.com/primo-explore/search?tab=default_tab&amp;search_scope=EVERYTHING&amp;vid=01CRU&amp;lang=en_US&amp;offset=0&amp;query=any,contains,991003357609702656","Catalog Record")</f>
        <v/>
      </c>
      <c r="AT1526">
        <f>HYPERLINK("http://www.worldcat.org/oclc/38301978","WorldCat Record")</f>
        <v/>
      </c>
      <c r="AU1526" t="inlineStr">
        <is>
          <t>673925:eng</t>
        </is>
      </c>
      <c r="AV1526" t="inlineStr">
        <is>
          <t>38301978</t>
        </is>
      </c>
      <c r="AW1526" t="inlineStr">
        <is>
          <t>991003357609702656</t>
        </is>
      </c>
      <c r="AX1526" t="inlineStr">
        <is>
          <t>991003357609702656</t>
        </is>
      </c>
      <c r="AY1526" t="inlineStr">
        <is>
          <t>2266999700002656</t>
        </is>
      </c>
      <c r="AZ1526" t="inlineStr">
        <is>
          <t>BOOK</t>
        </is>
      </c>
      <c r="BB1526" t="inlineStr">
        <is>
          <t>9781563249259</t>
        </is>
      </c>
      <c r="BC1526" t="inlineStr">
        <is>
          <t>32285004308499</t>
        </is>
      </c>
      <c r="BD1526" t="inlineStr">
        <is>
          <t>893686476</t>
        </is>
      </c>
    </row>
    <row r="1527">
      <c r="A1527" t="inlineStr">
        <is>
          <t>No</t>
        </is>
      </c>
      <c r="B1527" t="inlineStr">
        <is>
          <t>DJK51 .O68 1996</t>
        </is>
      </c>
      <c r="C1527" t="inlineStr">
        <is>
          <t>0                      DJK0051000O  68          1996</t>
        </is>
      </c>
      <c r="D1527" t="inlineStr">
        <is>
          <t>The OMRI annual survey of Eastern Europe and the former Soviet Union, 1995 : building democracy / Open Media Research Institute ; with an introduction by J.F. Brown.</t>
        </is>
      </c>
      <c r="F1527" t="inlineStr">
        <is>
          <t>No</t>
        </is>
      </c>
      <c r="G1527" t="inlineStr">
        <is>
          <t>1</t>
        </is>
      </c>
      <c r="H1527" t="inlineStr">
        <is>
          <t>No</t>
        </is>
      </c>
      <c r="I1527" t="inlineStr">
        <is>
          <t>No</t>
        </is>
      </c>
      <c r="J1527" t="inlineStr">
        <is>
          <t>0</t>
        </is>
      </c>
      <c r="K1527" t="inlineStr">
        <is>
          <t>Open Media Research Institute.</t>
        </is>
      </c>
      <c r="L1527" t="inlineStr">
        <is>
          <t>Armonk, N.Y. : M.E. Sharpe, c1996.</t>
        </is>
      </c>
      <c r="M1527" t="inlineStr">
        <is>
          <t>1996</t>
        </is>
      </c>
      <c r="O1527" t="inlineStr">
        <is>
          <t>eng</t>
        </is>
      </c>
      <c r="P1527" t="inlineStr">
        <is>
          <t>nyu</t>
        </is>
      </c>
      <c r="R1527" t="inlineStr">
        <is>
          <t>DJK</t>
        </is>
      </c>
      <c r="S1527" t="n">
        <v>1</v>
      </c>
      <c r="T1527" t="n">
        <v>1</v>
      </c>
      <c r="U1527" t="inlineStr">
        <is>
          <t>2001-01-22</t>
        </is>
      </c>
      <c r="V1527" t="inlineStr">
        <is>
          <t>2001-01-22</t>
        </is>
      </c>
      <c r="W1527" t="inlineStr">
        <is>
          <t>2001-01-22</t>
        </is>
      </c>
      <c r="X1527" t="inlineStr">
        <is>
          <t>2001-01-22</t>
        </is>
      </c>
      <c r="Y1527" t="n">
        <v>83</v>
      </c>
      <c r="Z1527" t="n">
        <v>58</v>
      </c>
      <c r="AA1527" t="n">
        <v>729</v>
      </c>
      <c r="AB1527" t="n">
        <v>2</v>
      </c>
      <c r="AC1527" t="n">
        <v>5</v>
      </c>
      <c r="AD1527" t="n">
        <v>5</v>
      </c>
      <c r="AE1527" t="n">
        <v>20</v>
      </c>
      <c r="AF1527" t="n">
        <v>1</v>
      </c>
      <c r="AG1527" t="n">
        <v>10</v>
      </c>
      <c r="AH1527" t="n">
        <v>1</v>
      </c>
      <c r="AI1527" t="n">
        <v>3</v>
      </c>
      <c r="AJ1527" t="n">
        <v>2</v>
      </c>
      <c r="AK1527" t="n">
        <v>8</v>
      </c>
      <c r="AL1527" t="n">
        <v>1</v>
      </c>
      <c r="AM1527" t="n">
        <v>4</v>
      </c>
      <c r="AN1527" t="n">
        <v>0</v>
      </c>
      <c r="AO1527" t="n">
        <v>0</v>
      </c>
      <c r="AP1527" t="inlineStr">
        <is>
          <t>No</t>
        </is>
      </c>
      <c r="AQ1527" t="inlineStr">
        <is>
          <t>Yes</t>
        </is>
      </c>
      <c r="AR1527">
        <f>HYPERLINK("http://catalog.hathitrust.org/Record/003083521","HathiTrust Record")</f>
        <v/>
      </c>
      <c r="AS1527">
        <f>HYPERLINK("https://creighton-primo.hosted.exlibrisgroup.com/primo-explore/search?tab=default_tab&amp;search_scope=EVERYTHING&amp;vid=01CRU&amp;lang=en_US&amp;offset=0&amp;query=any,contains,991003357679702656","Catalog Record")</f>
        <v/>
      </c>
      <c r="AT1527">
        <f>HYPERLINK("http://www.worldcat.org/oclc/34598206","WorldCat Record")</f>
        <v/>
      </c>
      <c r="AU1527" t="inlineStr">
        <is>
          <t>9907142287:eng</t>
        </is>
      </c>
      <c r="AV1527" t="inlineStr">
        <is>
          <t>34598206</t>
        </is>
      </c>
      <c r="AW1527" t="inlineStr">
        <is>
          <t>991003357679702656</t>
        </is>
      </c>
      <c r="AX1527" t="inlineStr">
        <is>
          <t>991003357679702656</t>
        </is>
      </c>
      <c r="AY1527" t="inlineStr">
        <is>
          <t>2268758730002656</t>
        </is>
      </c>
      <c r="AZ1527" t="inlineStr">
        <is>
          <t>BOOK</t>
        </is>
      </c>
      <c r="BB1527" t="inlineStr">
        <is>
          <t>9781563249242</t>
        </is>
      </c>
      <c r="BC1527" t="inlineStr">
        <is>
          <t>32285004290473</t>
        </is>
      </c>
      <c r="BD1527" t="inlineStr">
        <is>
          <t>893717583</t>
        </is>
      </c>
    </row>
    <row r="1528">
      <c r="A1528" t="inlineStr">
        <is>
          <t>No</t>
        </is>
      </c>
      <c r="B1528" t="inlineStr">
        <is>
          <t>DJK51 .O68 1997</t>
        </is>
      </c>
      <c r="C1528" t="inlineStr">
        <is>
          <t>0                      DJK0051000O  68          1997</t>
        </is>
      </c>
      <c r="D1528" t="inlineStr">
        <is>
          <t>The challenge of integration / edited by Peter Rutland ; with introductions by Gale Stokes and Peter Rutland.</t>
        </is>
      </c>
      <c r="F1528" t="inlineStr">
        <is>
          <t>No</t>
        </is>
      </c>
      <c r="G1528" t="inlineStr">
        <is>
          <t>1</t>
        </is>
      </c>
      <c r="H1528" t="inlineStr">
        <is>
          <t>No</t>
        </is>
      </c>
      <c r="I1528" t="inlineStr">
        <is>
          <t>No</t>
        </is>
      </c>
      <c r="J1528" t="inlineStr">
        <is>
          <t>0</t>
        </is>
      </c>
      <c r="L1528" t="inlineStr">
        <is>
          <t>New York : EastWest Institute ; Armonk, NY M.E. Sharpe, 1998</t>
        </is>
      </c>
      <c r="M1528" t="inlineStr">
        <is>
          <t>1998</t>
        </is>
      </c>
      <c r="O1528" t="inlineStr">
        <is>
          <t>eng</t>
        </is>
      </c>
      <c r="P1528" t="inlineStr">
        <is>
          <t>nyu</t>
        </is>
      </c>
      <c r="Q1528" t="inlineStr">
        <is>
          <t>Annual survey of Eastern Europe and the former Soviet Union ; 1997</t>
        </is>
      </c>
      <c r="R1528" t="inlineStr">
        <is>
          <t>DJK</t>
        </is>
      </c>
      <c r="S1528" t="n">
        <v>2</v>
      </c>
      <c r="T1528" t="n">
        <v>2</v>
      </c>
      <c r="U1528" t="inlineStr">
        <is>
          <t>2001-05-16</t>
        </is>
      </c>
      <c r="V1528" t="inlineStr">
        <is>
          <t>2001-05-16</t>
        </is>
      </c>
      <c r="W1528" t="inlineStr">
        <is>
          <t>2001-04-10</t>
        </is>
      </c>
      <c r="X1528" t="inlineStr">
        <is>
          <t>2001-04-10</t>
        </is>
      </c>
      <c r="Y1528" t="n">
        <v>96</v>
      </c>
      <c r="Z1528" t="n">
        <v>68</v>
      </c>
      <c r="AA1528" t="n">
        <v>102</v>
      </c>
      <c r="AB1528" t="n">
        <v>2</v>
      </c>
      <c r="AC1528" t="n">
        <v>3</v>
      </c>
      <c r="AD1528" t="n">
        <v>3</v>
      </c>
      <c r="AE1528" t="n">
        <v>6</v>
      </c>
      <c r="AF1528" t="n">
        <v>1</v>
      </c>
      <c r="AG1528" t="n">
        <v>3</v>
      </c>
      <c r="AH1528" t="n">
        <v>0</v>
      </c>
      <c r="AI1528" t="n">
        <v>0</v>
      </c>
      <c r="AJ1528" t="n">
        <v>1</v>
      </c>
      <c r="AK1528" t="n">
        <v>1</v>
      </c>
      <c r="AL1528" t="n">
        <v>1</v>
      </c>
      <c r="AM1528" t="n">
        <v>2</v>
      </c>
      <c r="AN1528" t="n">
        <v>0</v>
      </c>
      <c r="AO1528" t="n">
        <v>0</v>
      </c>
      <c r="AP1528" t="inlineStr">
        <is>
          <t>No</t>
        </is>
      </c>
      <c r="AQ1528" t="inlineStr">
        <is>
          <t>Yes</t>
        </is>
      </c>
      <c r="AR1528">
        <f>HYPERLINK("http://catalog.hathitrust.org/Record/003475467","HathiTrust Record")</f>
        <v/>
      </c>
      <c r="AS1528">
        <f>HYPERLINK("https://creighton-primo.hosted.exlibrisgroup.com/primo-explore/search?tab=default_tab&amp;search_scope=EVERYTHING&amp;vid=01CRU&amp;lang=en_US&amp;offset=0&amp;query=any,contains,991003357569702656","Catalog Record")</f>
        <v/>
      </c>
      <c r="AT1528">
        <f>HYPERLINK("http://www.worldcat.org/oclc/40702340","WorldCat Record")</f>
        <v/>
      </c>
      <c r="AU1528" t="inlineStr">
        <is>
          <t>502168227:eng</t>
        </is>
      </c>
      <c r="AV1528" t="inlineStr">
        <is>
          <t>40702340</t>
        </is>
      </c>
      <c r="AW1528" t="inlineStr">
        <is>
          <t>991003357569702656</t>
        </is>
      </c>
      <c r="AX1528" t="inlineStr">
        <is>
          <t>991003357569702656</t>
        </is>
      </c>
      <c r="AY1528" t="inlineStr">
        <is>
          <t>2267595320002656</t>
        </is>
      </c>
      <c r="AZ1528" t="inlineStr">
        <is>
          <t>BOOK</t>
        </is>
      </c>
      <c r="BB1528" t="inlineStr">
        <is>
          <t>9780765603593</t>
        </is>
      </c>
      <c r="BC1528" t="inlineStr">
        <is>
          <t>32285004311147</t>
        </is>
      </c>
      <c r="BD1528" t="inlineStr">
        <is>
          <t>893799644</t>
        </is>
      </c>
    </row>
    <row r="1529">
      <c r="A1529" t="inlineStr">
        <is>
          <t>No</t>
        </is>
      </c>
      <c r="B1529" t="inlineStr">
        <is>
          <t>DJK51 .O68 1998</t>
        </is>
      </c>
      <c r="C1529" t="inlineStr">
        <is>
          <t>0                      DJK0051000O  68          1998</t>
        </is>
      </c>
      <c r="D1529" t="inlineStr">
        <is>
          <t>Holding the course / edited with an introduction by Peter Rutland.</t>
        </is>
      </c>
      <c r="F1529" t="inlineStr">
        <is>
          <t>No</t>
        </is>
      </c>
      <c r="G1529" t="inlineStr">
        <is>
          <t>1</t>
        </is>
      </c>
      <c r="H1529" t="inlineStr">
        <is>
          <t>No</t>
        </is>
      </c>
      <c r="I1529" t="inlineStr">
        <is>
          <t>No</t>
        </is>
      </c>
      <c r="J1529" t="inlineStr">
        <is>
          <t>0</t>
        </is>
      </c>
      <c r="L1529" t="inlineStr">
        <is>
          <t>N.Y. : EastWest Institute : London, Eng. : M.E. Sharpe, c2000.</t>
        </is>
      </c>
      <c r="M1529" t="inlineStr">
        <is>
          <t>2000</t>
        </is>
      </c>
      <c r="O1529" t="inlineStr">
        <is>
          <t>eng</t>
        </is>
      </c>
      <c r="P1529" t="inlineStr">
        <is>
          <t>enk</t>
        </is>
      </c>
      <c r="Q1529" t="inlineStr">
        <is>
          <t>Annual survey of Eastern Europe and the former Soviet Union, 1521-1452 ; 1998</t>
        </is>
      </c>
      <c r="R1529" t="inlineStr">
        <is>
          <t>DJK</t>
        </is>
      </c>
      <c r="S1529" t="n">
        <v>2</v>
      </c>
      <c r="T1529" t="n">
        <v>2</v>
      </c>
      <c r="U1529" t="inlineStr">
        <is>
          <t>2001-05-16</t>
        </is>
      </c>
      <c r="V1529" t="inlineStr">
        <is>
          <t>2001-05-16</t>
        </is>
      </c>
      <c r="W1529" t="inlineStr">
        <is>
          <t>2001-04-25</t>
        </is>
      </c>
      <c r="X1529" t="inlineStr">
        <is>
          <t>2001-04-25</t>
        </is>
      </c>
      <c r="Y1529" t="n">
        <v>34</v>
      </c>
      <c r="Z1529" t="n">
        <v>19</v>
      </c>
      <c r="AA1529" t="n">
        <v>870</v>
      </c>
      <c r="AB1529" t="n">
        <v>1</v>
      </c>
      <c r="AC1529" t="n">
        <v>4</v>
      </c>
      <c r="AD1529" t="n">
        <v>0</v>
      </c>
      <c r="AE1529" t="n">
        <v>11</v>
      </c>
      <c r="AF1529" t="n">
        <v>0</v>
      </c>
      <c r="AG1529" t="n">
        <v>5</v>
      </c>
      <c r="AH1529" t="n">
        <v>0</v>
      </c>
      <c r="AI1529" t="n">
        <v>2</v>
      </c>
      <c r="AJ1529" t="n">
        <v>0</v>
      </c>
      <c r="AK1529" t="n">
        <v>4</v>
      </c>
      <c r="AL1529" t="n">
        <v>0</v>
      </c>
      <c r="AM1529" t="n">
        <v>3</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HYPERLINK("https://creighton-primo.hosted.exlibrisgroup.com/primo-explore/search?tab=default_tab&amp;search_scope=EVERYTHING&amp;vid=01CRU&amp;lang=en_US&amp;offset=0&amp;query=any,contains,991003357729702656","Catalog Record")</f>
        <v/>
      </c>
      <c r="AT1529">
        <f>HYPERLINK("http://www.worldcat.org/oclc/44725671","WorldCat Record")</f>
        <v/>
      </c>
      <c r="AU1529" t="inlineStr">
        <is>
          <t>1047330:eng</t>
        </is>
      </c>
      <c r="AV1529" t="inlineStr">
        <is>
          <t>44725671</t>
        </is>
      </c>
      <c r="AW1529" t="inlineStr">
        <is>
          <t>991003357729702656</t>
        </is>
      </c>
      <c r="AX1529" t="inlineStr">
        <is>
          <t>991003357729702656</t>
        </is>
      </c>
      <c r="AY1529" t="inlineStr">
        <is>
          <t>2256450440002656</t>
        </is>
      </c>
      <c r="AZ1529" t="inlineStr">
        <is>
          <t>BOOK</t>
        </is>
      </c>
      <c r="BB1529" t="inlineStr">
        <is>
          <t>9780765603609</t>
        </is>
      </c>
      <c r="BC1529" t="inlineStr">
        <is>
          <t>32285004315122</t>
        </is>
      </c>
      <c r="BD1529" t="inlineStr">
        <is>
          <t>893524736</t>
        </is>
      </c>
    </row>
    <row r="1530">
      <c r="A1530" t="inlineStr">
        <is>
          <t>No</t>
        </is>
      </c>
      <c r="B1530" t="inlineStr">
        <is>
          <t>DJK51 .P66 2000</t>
        </is>
      </c>
      <c r="C1530" t="inlineStr">
        <is>
          <t>0                      DJK0051000P  66          2000</t>
        </is>
      </c>
      <c r="D1530" t="inlineStr">
        <is>
          <t>The politics of national minority participation in post-communist Europe : state-building, democracy, and ethnic mobilization / EastWest Institute ; Jonathan P. Stein, editor.</t>
        </is>
      </c>
      <c r="F1530" t="inlineStr">
        <is>
          <t>No</t>
        </is>
      </c>
      <c r="G1530" t="inlineStr">
        <is>
          <t>1</t>
        </is>
      </c>
      <c r="H1530" t="inlineStr">
        <is>
          <t>No</t>
        </is>
      </c>
      <c r="I1530" t="inlineStr">
        <is>
          <t>No</t>
        </is>
      </c>
      <c r="J1530" t="inlineStr">
        <is>
          <t>0</t>
        </is>
      </c>
      <c r="L1530" t="inlineStr">
        <is>
          <t>Armonk, N.Y. : M.E. Sharpe, c2000.</t>
        </is>
      </c>
      <c r="M1530" t="inlineStr">
        <is>
          <t>2000</t>
        </is>
      </c>
      <c r="O1530" t="inlineStr">
        <is>
          <t>eng</t>
        </is>
      </c>
      <c r="P1530" t="inlineStr">
        <is>
          <t>nyu</t>
        </is>
      </c>
      <c r="R1530" t="inlineStr">
        <is>
          <t>DJK</t>
        </is>
      </c>
      <c r="S1530" t="n">
        <v>4</v>
      </c>
      <c r="T1530" t="n">
        <v>4</v>
      </c>
      <c r="U1530" t="inlineStr">
        <is>
          <t>2005-02-19</t>
        </is>
      </c>
      <c r="V1530" t="inlineStr">
        <is>
          <t>2005-02-19</t>
        </is>
      </c>
      <c r="W1530" t="inlineStr">
        <is>
          <t>2001-10-23</t>
        </is>
      </c>
      <c r="X1530" t="inlineStr">
        <is>
          <t>2001-10-23</t>
        </is>
      </c>
      <c r="Y1530" t="n">
        <v>206</v>
      </c>
      <c r="Z1530" t="n">
        <v>163</v>
      </c>
      <c r="AA1530" t="n">
        <v>179</v>
      </c>
      <c r="AB1530" t="n">
        <v>2</v>
      </c>
      <c r="AC1530" t="n">
        <v>2</v>
      </c>
      <c r="AD1530" t="n">
        <v>7</v>
      </c>
      <c r="AE1530" t="n">
        <v>7</v>
      </c>
      <c r="AF1530" t="n">
        <v>1</v>
      </c>
      <c r="AG1530" t="n">
        <v>1</v>
      </c>
      <c r="AH1530" t="n">
        <v>3</v>
      </c>
      <c r="AI1530" t="n">
        <v>3</v>
      </c>
      <c r="AJ1530" t="n">
        <v>6</v>
      </c>
      <c r="AK1530" t="n">
        <v>6</v>
      </c>
      <c r="AL1530" t="n">
        <v>1</v>
      </c>
      <c r="AM1530" t="n">
        <v>1</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HYPERLINK("https://creighton-primo.hosted.exlibrisgroup.com/primo-explore/search?tab=default_tab&amp;search_scope=EVERYTHING&amp;vid=01CRU&amp;lang=en_US&amp;offset=0&amp;query=any,contains,991003633459702656","Catalog Record")</f>
        <v/>
      </c>
      <c r="AT1530">
        <f>HYPERLINK("http://www.worldcat.org/oclc/44669696","WorldCat Record")</f>
        <v/>
      </c>
      <c r="AU1530" t="inlineStr">
        <is>
          <t>837050915:eng</t>
        </is>
      </c>
      <c r="AV1530" t="inlineStr">
        <is>
          <t>44669696</t>
        </is>
      </c>
      <c r="AW1530" t="inlineStr">
        <is>
          <t>991003633459702656</t>
        </is>
      </c>
      <c r="AX1530" t="inlineStr">
        <is>
          <t>991003633459702656</t>
        </is>
      </c>
      <c r="AY1530" t="inlineStr">
        <is>
          <t>2267790870002656</t>
        </is>
      </c>
      <c r="AZ1530" t="inlineStr">
        <is>
          <t>BOOK</t>
        </is>
      </c>
      <c r="BB1530" t="inlineStr">
        <is>
          <t>9780765605283</t>
        </is>
      </c>
      <c r="BC1530" t="inlineStr">
        <is>
          <t>32285004399209</t>
        </is>
      </c>
      <c r="BD1530" t="inlineStr">
        <is>
          <t>893429012</t>
        </is>
      </c>
    </row>
    <row r="1531">
      <c r="A1531" t="inlineStr">
        <is>
          <t>No</t>
        </is>
      </c>
      <c r="B1531" t="inlineStr">
        <is>
          <t>DJK51 .P684 1997</t>
        </is>
      </c>
      <c r="C1531" t="inlineStr">
        <is>
          <t>0                      DJK0051000P  684         1997</t>
        </is>
      </c>
      <c r="D1531" t="inlineStr">
        <is>
          <t>Postcommunist presidents / edited by Ray Taras.</t>
        </is>
      </c>
      <c r="F1531" t="inlineStr">
        <is>
          <t>No</t>
        </is>
      </c>
      <c r="G1531" t="inlineStr">
        <is>
          <t>1</t>
        </is>
      </c>
      <c r="H1531" t="inlineStr">
        <is>
          <t>No</t>
        </is>
      </c>
      <c r="I1531" t="inlineStr">
        <is>
          <t>No</t>
        </is>
      </c>
      <c r="J1531" t="inlineStr">
        <is>
          <t>0</t>
        </is>
      </c>
      <c r="L1531" t="inlineStr">
        <is>
          <t>Cambridge ; New York : Cambridge University Press, 1997.</t>
        </is>
      </c>
      <c r="M1531" t="inlineStr">
        <is>
          <t>1997</t>
        </is>
      </c>
      <c r="O1531" t="inlineStr">
        <is>
          <t>eng</t>
        </is>
      </c>
      <c r="P1531" t="inlineStr">
        <is>
          <t>enk</t>
        </is>
      </c>
      <c r="R1531" t="inlineStr">
        <is>
          <t>DJK</t>
        </is>
      </c>
      <c r="S1531" t="n">
        <v>2</v>
      </c>
      <c r="T1531" t="n">
        <v>2</v>
      </c>
      <c r="U1531" t="inlineStr">
        <is>
          <t>2004-08-27</t>
        </is>
      </c>
      <c r="V1531" t="inlineStr">
        <is>
          <t>2004-08-27</t>
        </is>
      </c>
      <c r="W1531" t="inlineStr">
        <is>
          <t>1997-11-07</t>
        </is>
      </c>
      <c r="X1531" t="inlineStr">
        <is>
          <t>1997-11-07</t>
        </is>
      </c>
      <c r="Y1531" t="n">
        <v>449</v>
      </c>
      <c r="Z1531" t="n">
        <v>338</v>
      </c>
      <c r="AA1531" t="n">
        <v>343</v>
      </c>
      <c r="AB1531" t="n">
        <v>4</v>
      </c>
      <c r="AC1531" t="n">
        <v>4</v>
      </c>
      <c r="AD1531" t="n">
        <v>22</v>
      </c>
      <c r="AE1531" t="n">
        <v>22</v>
      </c>
      <c r="AF1531" t="n">
        <v>8</v>
      </c>
      <c r="AG1531" t="n">
        <v>8</v>
      </c>
      <c r="AH1531" t="n">
        <v>7</v>
      </c>
      <c r="AI1531" t="n">
        <v>7</v>
      </c>
      <c r="AJ1531" t="n">
        <v>10</v>
      </c>
      <c r="AK1531" t="n">
        <v>10</v>
      </c>
      <c r="AL1531" t="n">
        <v>3</v>
      </c>
      <c r="AM1531" t="n">
        <v>3</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HYPERLINK("https://creighton-primo.hosted.exlibrisgroup.com/primo-explore/search?tab=default_tab&amp;search_scope=EVERYTHING&amp;vid=01CRU&amp;lang=en_US&amp;offset=0&amp;query=any,contains,991002745049702656","Catalog Record")</f>
        <v/>
      </c>
      <c r="AT1531">
        <f>HYPERLINK("http://www.worldcat.org/oclc/36024037","WorldCat Record")</f>
        <v/>
      </c>
      <c r="AU1531" t="inlineStr">
        <is>
          <t>557132:eng</t>
        </is>
      </c>
      <c r="AV1531" t="inlineStr">
        <is>
          <t>36024037</t>
        </is>
      </c>
      <c r="AW1531" t="inlineStr">
        <is>
          <t>991002745049702656</t>
        </is>
      </c>
      <c r="AX1531" t="inlineStr">
        <is>
          <t>991002745049702656</t>
        </is>
      </c>
      <c r="AY1531" t="inlineStr">
        <is>
          <t>2255981030002656</t>
        </is>
      </c>
      <c r="AZ1531" t="inlineStr">
        <is>
          <t>BOOK</t>
        </is>
      </c>
      <c r="BB1531" t="inlineStr">
        <is>
          <t>9780521582827</t>
        </is>
      </c>
      <c r="BC1531" t="inlineStr">
        <is>
          <t>32285003277935</t>
        </is>
      </c>
      <c r="BD1531" t="inlineStr">
        <is>
          <t>893440470</t>
        </is>
      </c>
    </row>
    <row r="1532">
      <c r="A1532" t="inlineStr">
        <is>
          <t>No</t>
        </is>
      </c>
      <c r="B1532" t="inlineStr">
        <is>
          <t>DJK51 .R35 1997</t>
        </is>
      </c>
      <c r="C1532" t="inlineStr">
        <is>
          <t>0                      DJK0051000R  35          1997</t>
        </is>
      </c>
      <c r="D1532" t="inlineStr">
        <is>
          <t>Whose democracy? : nationalism, religion, and the doctrine of collective rights in post-1989 Eastern Europe / Sabrina P. Ramet.</t>
        </is>
      </c>
      <c r="F1532" t="inlineStr">
        <is>
          <t>No</t>
        </is>
      </c>
      <c r="G1532" t="inlineStr">
        <is>
          <t>1</t>
        </is>
      </c>
      <c r="H1532" t="inlineStr">
        <is>
          <t>No</t>
        </is>
      </c>
      <c r="I1532" t="inlineStr">
        <is>
          <t>No</t>
        </is>
      </c>
      <c r="J1532" t="inlineStr">
        <is>
          <t>0</t>
        </is>
      </c>
      <c r="K1532" t="inlineStr">
        <is>
          <t>Ramet, Sabrina P., 1949-</t>
        </is>
      </c>
      <c r="L1532" t="inlineStr">
        <is>
          <t>Lanham, Md. : Rowman &amp; Littlefield Publishers, c1997.</t>
        </is>
      </c>
      <c r="M1532" t="inlineStr">
        <is>
          <t>1997</t>
        </is>
      </c>
      <c r="O1532" t="inlineStr">
        <is>
          <t>eng</t>
        </is>
      </c>
      <c r="P1532" t="inlineStr">
        <is>
          <t>mdu</t>
        </is>
      </c>
      <c r="R1532" t="inlineStr">
        <is>
          <t>DJK</t>
        </is>
      </c>
      <c r="S1532" t="n">
        <v>4</v>
      </c>
      <c r="T1532" t="n">
        <v>4</v>
      </c>
      <c r="U1532" t="inlineStr">
        <is>
          <t>2000-03-20</t>
        </is>
      </c>
      <c r="V1532" t="inlineStr">
        <is>
          <t>2000-03-20</t>
        </is>
      </c>
      <c r="W1532" t="inlineStr">
        <is>
          <t>1999-10-07</t>
        </is>
      </c>
      <c r="X1532" t="inlineStr">
        <is>
          <t>1999-10-07</t>
        </is>
      </c>
      <c r="Y1532" t="n">
        <v>481</v>
      </c>
      <c r="Z1532" t="n">
        <v>391</v>
      </c>
      <c r="AA1532" t="n">
        <v>805</v>
      </c>
      <c r="AB1532" t="n">
        <v>5</v>
      </c>
      <c r="AC1532" t="n">
        <v>6</v>
      </c>
      <c r="AD1532" t="n">
        <v>26</v>
      </c>
      <c r="AE1532" t="n">
        <v>33</v>
      </c>
      <c r="AF1532" t="n">
        <v>7</v>
      </c>
      <c r="AG1532" t="n">
        <v>12</v>
      </c>
      <c r="AH1532" t="n">
        <v>7</v>
      </c>
      <c r="AI1532" t="n">
        <v>7</v>
      </c>
      <c r="AJ1532" t="n">
        <v>14</v>
      </c>
      <c r="AK1532" t="n">
        <v>17</v>
      </c>
      <c r="AL1532" t="n">
        <v>4</v>
      </c>
      <c r="AM1532" t="n">
        <v>5</v>
      </c>
      <c r="AN1532" t="n">
        <v>1</v>
      </c>
      <c r="AO1532" t="n">
        <v>1</v>
      </c>
      <c r="AP1532" t="inlineStr">
        <is>
          <t>No</t>
        </is>
      </c>
      <c r="AQ1532" t="inlineStr">
        <is>
          <t>Yes</t>
        </is>
      </c>
      <c r="AR1532">
        <f>HYPERLINK("http://catalog.hathitrust.org/Record/003184817","HathiTrust Record")</f>
        <v/>
      </c>
      <c r="AS1532">
        <f>HYPERLINK("https://creighton-primo.hosted.exlibrisgroup.com/primo-explore/search?tab=default_tab&amp;search_scope=EVERYTHING&amp;vid=01CRU&amp;lang=en_US&amp;offset=0&amp;query=any,contains,991002777619702656","Catalog Record")</f>
        <v/>
      </c>
      <c r="AT1532">
        <f>HYPERLINK("http://www.worldcat.org/oclc/36470243","WorldCat Record")</f>
        <v/>
      </c>
      <c r="AU1532" t="inlineStr">
        <is>
          <t>799724644:eng</t>
        </is>
      </c>
      <c r="AV1532" t="inlineStr">
        <is>
          <t>36470243</t>
        </is>
      </c>
      <c r="AW1532" t="inlineStr">
        <is>
          <t>991002777619702656</t>
        </is>
      </c>
      <c r="AX1532" t="inlineStr">
        <is>
          <t>991002777619702656</t>
        </is>
      </c>
      <c r="AY1532" t="inlineStr">
        <is>
          <t>2260180020002656</t>
        </is>
      </c>
      <c r="AZ1532" t="inlineStr">
        <is>
          <t>BOOK</t>
        </is>
      </c>
      <c r="BB1532" t="inlineStr">
        <is>
          <t>9780847683239</t>
        </is>
      </c>
      <c r="BC1532" t="inlineStr">
        <is>
          <t>32285003593364</t>
        </is>
      </c>
      <c r="BD1532" t="inlineStr">
        <is>
          <t>893415638</t>
        </is>
      </c>
    </row>
    <row r="1533">
      <c r="A1533" t="inlineStr">
        <is>
          <t>No</t>
        </is>
      </c>
      <c r="B1533" t="inlineStr">
        <is>
          <t>DJK61 .P65 2001</t>
        </is>
      </c>
      <c r="C1533" t="inlineStr">
        <is>
          <t>0                      DJK0061000P  65          2001</t>
        </is>
      </c>
      <c r="D1533" t="inlineStr">
        <is>
          <t>Politics of the Black Sea : dynamics of cooperation and conflict / edited by Tunç Aybak.</t>
        </is>
      </c>
      <c r="F1533" t="inlineStr">
        <is>
          <t>No</t>
        </is>
      </c>
      <c r="G1533" t="inlineStr">
        <is>
          <t>1</t>
        </is>
      </c>
      <c r="H1533" t="inlineStr">
        <is>
          <t>No</t>
        </is>
      </c>
      <c r="I1533" t="inlineStr">
        <is>
          <t>No</t>
        </is>
      </c>
      <c r="J1533" t="inlineStr">
        <is>
          <t>0</t>
        </is>
      </c>
      <c r="L1533" t="inlineStr">
        <is>
          <t>London ; New York : I.B. Tauris, 2001.</t>
        </is>
      </c>
      <c r="M1533" t="inlineStr">
        <is>
          <t>2001</t>
        </is>
      </c>
      <c r="O1533" t="inlineStr">
        <is>
          <t>eng</t>
        </is>
      </c>
      <c r="P1533" t="inlineStr">
        <is>
          <t>enk</t>
        </is>
      </c>
      <c r="Q1533" t="inlineStr">
        <is>
          <t>Library of international relations ; 16</t>
        </is>
      </c>
      <c r="R1533" t="inlineStr">
        <is>
          <t>DJK</t>
        </is>
      </c>
      <c r="S1533" t="n">
        <v>1</v>
      </c>
      <c r="T1533" t="n">
        <v>1</v>
      </c>
      <c r="U1533" t="inlineStr">
        <is>
          <t>2003-03-17</t>
        </is>
      </c>
      <c r="V1533" t="inlineStr">
        <is>
          <t>2003-03-17</t>
        </is>
      </c>
      <c r="W1533" t="inlineStr">
        <is>
          <t>2001-10-16</t>
        </is>
      </c>
      <c r="X1533" t="inlineStr">
        <is>
          <t>2001-10-16</t>
        </is>
      </c>
      <c r="Y1533" t="n">
        <v>229</v>
      </c>
      <c r="Z1533" t="n">
        <v>168</v>
      </c>
      <c r="AA1533" t="n">
        <v>198</v>
      </c>
      <c r="AB1533" t="n">
        <v>1</v>
      </c>
      <c r="AC1533" t="n">
        <v>1</v>
      </c>
      <c r="AD1533" t="n">
        <v>7</v>
      </c>
      <c r="AE1533" t="n">
        <v>8</v>
      </c>
      <c r="AF1533" t="n">
        <v>1</v>
      </c>
      <c r="AG1533" t="n">
        <v>2</v>
      </c>
      <c r="AH1533" t="n">
        <v>4</v>
      </c>
      <c r="AI1533" t="n">
        <v>4</v>
      </c>
      <c r="AJ1533" t="n">
        <v>5</v>
      </c>
      <c r="AK1533" t="n">
        <v>5</v>
      </c>
      <c r="AL1533" t="n">
        <v>0</v>
      </c>
      <c r="AM1533" t="n">
        <v>0</v>
      </c>
      <c r="AN1533" t="n">
        <v>0</v>
      </c>
      <c r="AO1533" t="n">
        <v>0</v>
      </c>
      <c r="AP1533" t="inlineStr">
        <is>
          <t>No</t>
        </is>
      </c>
      <c r="AQ1533" t="inlineStr">
        <is>
          <t>Yes</t>
        </is>
      </c>
      <c r="AR1533">
        <f>HYPERLINK("http://catalog.hathitrust.org/Record/004184419","HathiTrust Record")</f>
        <v/>
      </c>
      <c r="AS1533">
        <f>HYPERLINK("https://creighton-primo.hosted.exlibrisgroup.com/primo-explore/search?tab=default_tab&amp;search_scope=EVERYTHING&amp;vid=01CRU&amp;lang=en_US&amp;offset=0&amp;query=any,contains,991003619919702656","Catalog Record")</f>
        <v/>
      </c>
      <c r="AT1533">
        <f>HYPERLINK("http://www.worldcat.org/oclc/46439144","WorldCat Record")</f>
        <v/>
      </c>
      <c r="AU1533" t="inlineStr">
        <is>
          <t>1044425389:eng</t>
        </is>
      </c>
      <c r="AV1533" t="inlineStr">
        <is>
          <t>46439144</t>
        </is>
      </c>
      <c r="AW1533" t="inlineStr">
        <is>
          <t>991003619919702656</t>
        </is>
      </c>
      <c r="AX1533" t="inlineStr">
        <is>
          <t>991003619919702656</t>
        </is>
      </c>
      <c r="AY1533" t="inlineStr">
        <is>
          <t>2264215080002656</t>
        </is>
      </c>
      <c r="AZ1533" t="inlineStr">
        <is>
          <t>BOOK</t>
        </is>
      </c>
      <c r="BB1533" t="inlineStr">
        <is>
          <t>9781860644542</t>
        </is>
      </c>
      <c r="BC1533" t="inlineStr">
        <is>
          <t>32285004397047</t>
        </is>
      </c>
      <c r="BD1533" t="inlineStr">
        <is>
          <t>893774954</t>
        </is>
      </c>
    </row>
    <row r="1534">
      <c r="A1534" t="inlineStr">
        <is>
          <t>No</t>
        </is>
      </c>
      <c r="B1534" t="inlineStr">
        <is>
          <t>DK107.K8 A3</t>
        </is>
      </c>
      <c r="C1534" t="inlineStr">
        <is>
          <t>0                      DK 0107000K  8                  A  3</t>
        </is>
      </c>
      <c r="D1534" t="inlineStr">
        <is>
          <t>Prince A.M. Kurbsky's History of Ivan IV / edited with a translation and notes by J.L.I. Fennell.</t>
        </is>
      </c>
      <c r="F1534" t="inlineStr">
        <is>
          <t>No</t>
        </is>
      </c>
      <c r="G1534" t="inlineStr">
        <is>
          <t>1</t>
        </is>
      </c>
      <c r="H1534" t="inlineStr">
        <is>
          <t>No</t>
        </is>
      </c>
      <c r="I1534" t="inlineStr">
        <is>
          <t>No</t>
        </is>
      </c>
      <c r="J1534" t="inlineStr">
        <is>
          <t>0</t>
        </is>
      </c>
      <c r="K1534" t="inlineStr">
        <is>
          <t>Kurbskiĭ, Andreĭ Mikhaĭlovich, kni͡azʹ, -1583.</t>
        </is>
      </c>
      <c r="L1534" t="inlineStr">
        <is>
          <t>Cambridge, [Eng.] : University Press, 1965.</t>
        </is>
      </c>
      <c r="M1534" t="inlineStr">
        <is>
          <t>1965</t>
        </is>
      </c>
      <c r="O1534" t="inlineStr">
        <is>
          <t>eng</t>
        </is>
      </c>
      <c r="P1534" t="inlineStr">
        <is>
          <t>enk</t>
        </is>
      </c>
      <c r="R1534" t="inlineStr">
        <is>
          <t xml:space="preserve">DK </t>
        </is>
      </c>
      <c r="S1534" t="n">
        <v>0</v>
      </c>
      <c r="T1534" t="n">
        <v>0</v>
      </c>
      <c r="U1534" t="inlineStr">
        <is>
          <t>2004-03-29</t>
        </is>
      </c>
      <c r="V1534" t="inlineStr">
        <is>
          <t>2004-03-29</t>
        </is>
      </c>
      <c r="W1534" t="inlineStr">
        <is>
          <t>1991-12-17</t>
        </is>
      </c>
      <c r="X1534" t="inlineStr">
        <is>
          <t>1991-12-17</t>
        </is>
      </c>
      <c r="Y1534" t="n">
        <v>631</v>
      </c>
      <c r="Z1534" t="n">
        <v>542</v>
      </c>
      <c r="AA1534" t="n">
        <v>552</v>
      </c>
      <c r="AB1534" t="n">
        <v>4</v>
      </c>
      <c r="AC1534" t="n">
        <v>4</v>
      </c>
      <c r="AD1534" t="n">
        <v>25</v>
      </c>
      <c r="AE1534" t="n">
        <v>25</v>
      </c>
      <c r="AF1534" t="n">
        <v>7</v>
      </c>
      <c r="AG1534" t="n">
        <v>7</v>
      </c>
      <c r="AH1534" t="n">
        <v>8</v>
      </c>
      <c r="AI1534" t="n">
        <v>8</v>
      </c>
      <c r="AJ1534" t="n">
        <v>13</v>
      </c>
      <c r="AK1534" t="n">
        <v>13</v>
      </c>
      <c r="AL1534" t="n">
        <v>3</v>
      </c>
      <c r="AM1534" t="n">
        <v>3</v>
      </c>
      <c r="AN1534" t="n">
        <v>0</v>
      </c>
      <c r="AO1534" t="n">
        <v>0</v>
      </c>
      <c r="AP1534" t="inlineStr">
        <is>
          <t>No</t>
        </is>
      </c>
      <c r="AQ1534" t="inlineStr">
        <is>
          <t>Yes</t>
        </is>
      </c>
      <c r="AR1534">
        <f>HYPERLINK("http://catalog.hathitrust.org/Record/003070609","HathiTrust Record")</f>
        <v/>
      </c>
      <c r="AS1534">
        <f>HYPERLINK("https://creighton-primo.hosted.exlibrisgroup.com/primo-explore/search?tab=default_tab&amp;search_scope=EVERYTHING&amp;vid=01CRU&amp;lang=en_US&amp;offset=0&amp;query=any,contains,991002704629702656","Catalog Record")</f>
        <v/>
      </c>
      <c r="AT1534">
        <f>HYPERLINK("http://www.worldcat.org/oclc/406691","WorldCat Record")</f>
        <v/>
      </c>
      <c r="AU1534" t="inlineStr">
        <is>
          <t>1435831:eng</t>
        </is>
      </c>
      <c r="AV1534" t="inlineStr">
        <is>
          <t>406691</t>
        </is>
      </c>
      <c r="AW1534" t="inlineStr">
        <is>
          <t>991002704629702656</t>
        </is>
      </c>
      <c r="AX1534" t="inlineStr">
        <is>
          <t>991002704629702656</t>
        </is>
      </c>
      <c r="AY1534" t="inlineStr">
        <is>
          <t>2261011080002656</t>
        </is>
      </c>
      <c r="AZ1534" t="inlineStr">
        <is>
          <t>BOOK</t>
        </is>
      </c>
      <c r="BC1534" t="inlineStr">
        <is>
          <t>32285000879816</t>
        </is>
      </c>
      <c r="BD1534" t="inlineStr">
        <is>
          <t>893798904</t>
        </is>
      </c>
    </row>
    <row r="1535">
      <c r="A1535" t="inlineStr">
        <is>
          <t>No</t>
        </is>
      </c>
      <c r="B1535" t="inlineStr">
        <is>
          <t>DK17 .D6</t>
        </is>
      </c>
      <c r="C1535" t="inlineStr">
        <is>
          <t>0                      DK 0017000D  6</t>
        </is>
      </c>
      <c r="D1535" t="inlineStr">
        <is>
          <t>Doctoral research on Russia and the Soviet Union.</t>
        </is>
      </c>
      <c r="F1535" t="inlineStr">
        <is>
          <t>No</t>
        </is>
      </c>
      <c r="G1535" t="inlineStr">
        <is>
          <t>1</t>
        </is>
      </c>
      <c r="H1535" t="inlineStr">
        <is>
          <t>No</t>
        </is>
      </c>
      <c r="I1535" t="inlineStr">
        <is>
          <t>No</t>
        </is>
      </c>
      <c r="J1535" t="inlineStr">
        <is>
          <t>0</t>
        </is>
      </c>
      <c r="K1535" t="inlineStr">
        <is>
          <t>Dossick, Jesse J. (Jesse John), 1911-2009.</t>
        </is>
      </c>
      <c r="L1535" t="inlineStr">
        <is>
          <t>[New York] New York University Press, 1960.</t>
        </is>
      </c>
      <c r="M1535" t="inlineStr">
        <is>
          <t>1960</t>
        </is>
      </c>
      <c r="O1535" t="inlineStr">
        <is>
          <t>eng</t>
        </is>
      </c>
      <c r="P1535" t="inlineStr">
        <is>
          <t>nyu</t>
        </is>
      </c>
      <c r="R1535" t="inlineStr">
        <is>
          <t xml:space="preserve">DK </t>
        </is>
      </c>
      <c r="S1535" t="n">
        <v>1</v>
      </c>
      <c r="T1535" t="n">
        <v>1</v>
      </c>
      <c r="U1535" t="inlineStr">
        <is>
          <t>2000-09-22</t>
        </is>
      </c>
      <c r="V1535" t="inlineStr">
        <is>
          <t>2000-09-22</t>
        </is>
      </c>
      <c r="W1535" t="inlineStr">
        <is>
          <t>1997-02-07</t>
        </is>
      </c>
      <c r="X1535" t="inlineStr">
        <is>
          <t>1997-02-07</t>
        </is>
      </c>
      <c r="Y1535" t="n">
        <v>293</v>
      </c>
      <c r="Z1535" t="n">
        <v>217</v>
      </c>
      <c r="AA1535" t="n">
        <v>218</v>
      </c>
      <c r="AB1535" t="n">
        <v>3</v>
      </c>
      <c r="AC1535" t="n">
        <v>3</v>
      </c>
      <c r="AD1535" t="n">
        <v>12</v>
      </c>
      <c r="AE1535" t="n">
        <v>12</v>
      </c>
      <c r="AF1535" t="n">
        <v>2</v>
      </c>
      <c r="AG1535" t="n">
        <v>2</v>
      </c>
      <c r="AH1535" t="n">
        <v>3</v>
      </c>
      <c r="AI1535" t="n">
        <v>3</v>
      </c>
      <c r="AJ1535" t="n">
        <v>6</v>
      </c>
      <c r="AK1535" t="n">
        <v>6</v>
      </c>
      <c r="AL1535" t="n">
        <v>2</v>
      </c>
      <c r="AM1535" t="n">
        <v>2</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HYPERLINK("https://creighton-primo.hosted.exlibrisgroup.com/primo-explore/search?tab=default_tab&amp;search_scope=EVERYTHING&amp;vid=01CRU&amp;lang=en_US&amp;offset=0&amp;query=any,contains,991003010049702656","Catalog Record")</f>
        <v/>
      </c>
      <c r="AT1535">
        <f>HYPERLINK("http://www.worldcat.org/oclc/577163","WorldCat Record")</f>
        <v/>
      </c>
      <c r="AU1535" t="inlineStr">
        <is>
          <t>2863400204:eng</t>
        </is>
      </c>
      <c r="AV1535" t="inlineStr">
        <is>
          <t>577163</t>
        </is>
      </c>
      <c r="AW1535" t="inlineStr">
        <is>
          <t>991003010049702656</t>
        </is>
      </c>
      <c r="AX1535" t="inlineStr">
        <is>
          <t>991003010049702656</t>
        </is>
      </c>
      <c r="AY1535" t="inlineStr">
        <is>
          <t>2259286840002656</t>
        </is>
      </c>
      <c r="AZ1535" t="inlineStr">
        <is>
          <t>BOOK</t>
        </is>
      </c>
      <c r="BC1535" t="inlineStr">
        <is>
          <t>32285002425105</t>
        </is>
      </c>
      <c r="BD1535" t="inlineStr">
        <is>
          <t>893518055</t>
        </is>
      </c>
    </row>
    <row r="1536">
      <c r="A1536" t="inlineStr">
        <is>
          <t>No</t>
        </is>
      </c>
      <c r="B1536" t="inlineStr">
        <is>
          <t>DK17 .S655</t>
        </is>
      </c>
      <c r="C1536" t="inlineStr">
        <is>
          <t>0                      DK 0017000S  655</t>
        </is>
      </c>
      <c r="D1536" t="inlineStr">
        <is>
          <t>The Soviet Union since Stalin / edited by Stephen F. Cohen, Alexander Rabinowitch, and Robert Sharlet.</t>
        </is>
      </c>
      <c r="F1536" t="inlineStr">
        <is>
          <t>No</t>
        </is>
      </c>
      <c r="G1536" t="inlineStr">
        <is>
          <t>1</t>
        </is>
      </c>
      <c r="H1536" t="inlineStr">
        <is>
          <t>No</t>
        </is>
      </c>
      <c r="I1536" t="inlineStr">
        <is>
          <t>No</t>
        </is>
      </c>
      <c r="J1536" t="inlineStr">
        <is>
          <t>0</t>
        </is>
      </c>
      <c r="L1536" t="inlineStr">
        <is>
          <t>Bloomington : Indiana University Press, c1980.</t>
        </is>
      </c>
      <c r="M1536" t="inlineStr">
        <is>
          <t>1980</t>
        </is>
      </c>
      <c r="O1536" t="inlineStr">
        <is>
          <t>eng</t>
        </is>
      </c>
      <c r="P1536" t="inlineStr">
        <is>
          <t>inu</t>
        </is>
      </c>
      <c r="R1536" t="inlineStr">
        <is>
          <t xml:space="preserve">DK </t>
        </is>
      </c>
      <c r="S1536" t="n">
        <v>4</v>
      </c>
      <c r="T1536" t="n">
        <v>4</v>
      </c>
      <c r="U1536" t="inlineStr">
        <is>
          <t>1993-11-29</t>
        </is>
      </c>
      <c r="V1536" t="inlineStr">
        <is>
          <t>1993-11-29</t>
        </is>
      </c>
      <c r="W1536" t="inlineStr">
        <is>
          <t>1991-04-24</t>
        </is>
      </c>
      <c r="X1536" t="inlineStr">
        <is>
          <t>1991-04-24</t>
        </is>
      </c>
      <c r="Y1536" t="n">
        <v>912</v>
      </c>
      <c r="Z1536" t="n">
        <v>800</v>
      </c>
      <c r="AA1536" t="n">
        <v>841</v>
      </c>
      <c r="AB1536" t="n">
        <v>10</v>
      </c>
      <c r="AC1536" t="n">
        <v>11</v>
      </c>
      <c r="AD1536" t="n">
        <v>42</v>
      </c>
      <c r="AE1536" t="n">
        <v>44</v>
      </c>
      <c r="AF1536" t="n">
        <v>17</v>
      </c>
      <c r="AG1536" t="n">
        <v>18</v>
      </c>
      <c r="AH1536" t="n">
        <v>10</v>
      </c>
      <c r="AI1536" t="n">
        <v>10</v>
      </c>
      <c r="AJ1536" t="n">
        <v>17</v>
      </c>
      <c r="AK1536" t="n">
        <v>18</v>
      </c>
      <c r="AL1536" t="n">
        <v>9</v>
      </c>
      <c r="AM1536" t="n">
        <v>10</v>
      </c>
      <c r="AN1536" t="n">
        <v>0</v>
      </c>
      <c r="AO1536" t="n">
        <v>0</v>
      </c>
      <c r="AP1536" t="inlineStr">
        <is>
          <t>No</t>
        </is>
      </c>
      <c r="AQ1536" t="inlineStr">
        <is>
          <t>Yes</t>
        </is>
      </c>
      <c r="AR1536">
        <f>HYPERLINK("http://catalog.hathitrust.org/Record/000033550","HathiTrust Record")</f>
        <v/>
      </c>
      <c r="AS1536">
        <f>HYPERLINK("https://creighton-primo.hosted.exlibrisgroup.com/primo-explore/search?tab=default_tab&amp;search_scope=EVERYTHING&amp;vid=01CRU&amp;lang=en_US&amp;offset=0&amp;query=any,contains,991004826159702656","Catalog Record")</f>
        <v/>
      </c>
      <c r="AT1536">
        <f>HYPERLINK("http://www.worldcat.org/oclc/5353869","WorldCat Record")</f>
        <v/>
      </c>
      <c r="AU1536" t="inlineStr">
        <is>
          <t>438740830:eng</t>
        </is>
      </c>
      <c r="AV1536" t="inlineStr">
        <is>
          <t>5353869</t>
        </is>
      </c>
      <c r="AW1536" t="inlineStr">
        <is>
          <t>991004826159702656</t>
        </is>
      </c>
      <c r="AX1536" t="inlineStr">
        <is>
          <t>991004826159702656</t>
        </is>
      </c>
      <c r="AY1536" t="inlineStr">
        <is>
          <t>2257545340002656</t>
        </is>
      </c>
      <c r="AZ1536" t="inlineStr">
        <is>
          <t>BOOK</t>
        </is>
      </c>
      <c r="BB1536" t="inlineStr">
        <is>
          <t>9780253202369</t>
        </is>
      </c>
      <c r="BC1536" t="inlineStr">
        <is>
          <t>32285000522903</t>
        </is>
      </c>
      <c r="BD1536" t="inlineStr">
        <is>
          <t>893332091</t>
        </is>
      </c>
    </row>
    <row r="1537">
      <c r="A1537" t="inlineStr">
        <is>
          <t>No</t>
        </is>
      </c>
      <c r="B1537" t="inlineStr">
        <is>
          <t>DK18.5 .D39 1987</t>
        </is>
      </c>
      <c r="C1537" t="inlineStr">
        <is>
          <t>0                      DK 0018500D  39          1987</t>
        </is>
      </c>
      <c r="D1537" t="inlineStr">
        <is>
          <t>A Day in the life of the Soviet Union / photographed by 100 of the world's leading photojournalists on one day, May 15, 1987 ; [project directors, Rick Smolan and David Cohen].</t>
        </is>
      </c>
      <c r="F1537" t="inlineStr">
        <is>
          <t>No</t>
        </is>
      </c>
      <c r="G1537" t="inlineStr">
        <is>
          <t>1</t>
        </is>
      </c>
      <c r="H1537" t="inlineStr">
        <is>
          <t>No</t>
        </is>
      </c>
      <c r="I1537" t="inlineStr">
        <is>
          <t>No</t>
        </is>
      </c>
      <c r="J1537" t="inlineStr">
        <is>
          <t>0</t>
        </is>
      </c>
      <c r="L1537" t="inlineStr">
        <is>
          <t>New York : Collins Publishers in association with I. Shapiro, 1987.</t>
        </is>
      </c>
      <c r="M1537" t="inlineStr">
        <is>
          <t>1987</t>
        </is>
      </c>
      <c r="O1537" t="inlineStr">
        <is>
          <t>eng</t>
        </is>
      </c>
      <c r="P1537" t="inlineStr">
        <is>
          <t>nyu</t>
        </is>
      </c>
      <c r="R1537" t="inlineStr">
        <is>
          <t xml:space="preserve">DK </t>
        </is>
      </c>
      <c r="S1537" t="n">
        <v>5</v>
      </c>
      <c r="T1537" t="n">
        <v>5</v>
      </c>
      <c r="U1537" t="inlineStr">
        <is>
          <t>1994-12-08</t>
        </is>
      </c>
      <c r="V1537" t="inlineStr">
        <is>
          <t>1994-12-08</t>
        </is>
      </c>
      <c r="W1537" t="inlineStr">
        <is>
          <t>1991-04-24</t>
        </is>
      </c>
      <c r="X1537" t="inlineStr">
        <is>
          <t>1991-04-24</t>
        </is>
      </c>
      <c r="Y1537" t="n">
        <v>1750</v>
      </c>
      <c r="Z1537" t="n">
        <v>1653</v>
      </c>
      <c r="AA1537" t="n">
        <v>1717</v>
      </c>
      <c r="AB1537" t="n">
        <v>16</v>
      </c>
      <c r="AC1537" t="n">
        <v>16</v>
      </c>
      <c r="AD1537" t="n">
        <v>35</v>
      </c>
      <c r="AE1537" t="n">
        <v>36</v>
      </c>
      <c r="AF1537" t="n">
        <v>16</v>
      </c>
      <c r="AG1537" t="n">
        <v>16</v>
      </c>
      <c r="AH1537" t="n">
        <v>8</v>
      </c>
      <c r="AI1537" t="n">
        <v>8</v>
      </c>
      <c r="AJ1537" t="n">
        <v>10</v>
      </c>
      <c r="AK1537" t="n">
        <v>11</v>
      </c>
      <c r="AL1537" t="n">
        <v>7</v>
      </c>
      <c r="AM1537" t="n">
        <v>7</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HYPERLINK("https://creighton-primo.hosted.exlibrisgroup.com/primo-explore/search?tab=default_tab&amp;search_scope=EVERYTHING&amp;vid=01CRU&amp;lang=en_US&amp;offset=0&amp;query=any,contains,991001094789702656","Catalog Record")</f>
        <v/>
      </c>
      <c r="AT1537">
        <f>HYPERLINK("http://www.worldcat.org/oclc/16228077","WorldCat Record")</f>
        <v/>
      </c>
      <c r="AU1537" t="inlineStr">
        <is>
          <t>296162987:eng</t>
        </is>
      </c>
      <c r="AV1537" t="inlineStr">
        <is>
          <t>16228077</t>
        </is>
      </c>
      <c r="AW1537" t="inlineStr">
        <is>
          <t>991001094789702656</t>
        </is>
      </c>
      <c r="AX1537" t="inlineStr">
        <is>
          <t>991001094789702656</t>
        </is>
      </c>
      <c r="AY1537" t="inlineStr">
        <is>
          <t>2262525540002656</t>
        </is>
      </c>
      <c r="AZ1537" t="inlineStr">
        <is>
          <t>BOOK</t>
        </is>
      </c>
      <c r="BB1537" t="inlineStr">
        <is>
          <t>9780002179720</t>
        </is>
      </c>
      <c r="BC1537" t="inlineStr">
        <is>
          <t>32285000522937</t>
        </is>
      </c>
      <c r="BD1537" t="inlineStr">
        <is>
          <t>893708990</t>
        </is>
      </c>
    </row>
    <row r="1538">
      <c r="A1538" t="inlineStr">
        <is>
          <t>No</t>
        </is>
      </c>
      <c r="B1538" t="inlineStr">
        <is>
          <t>DK219.6.A4 A3</t>
        </is>
      </c>
      <c r="C1538" t="inlineStr">
        <is>
          <t>0                      DK 0219600A  4                  A  3</t>
        </is>
      </c>
      <c r="D1538" t="inlineStr">
        <is>
          <t>Once a grand duke / by Alexander, grand duke of Russia.</t>
        </is>
      </c>
      <c r="F1538" t="inlineStr">
        <is>
          <t>No</t>
        </is>
      </c>
      <c r="G1538" t="inlineStr">
        <is>
          <t>1</t>
        </is>
      </c>
      <c r="H1538" t="inlineStr">
        <is>
          <t>No</t>
        </is>
      </c>
      <c r="I1538" t="inlineStr">
        <is>
          <t>No</t>
        </is>
      </c>
      <c r="J1538" t="inlineStr">
        <is>
          <t>0</t>
        </is>
      </c>
      <c r="K1538" t="inlineStr">
        <is>
          <t>Aleksandr Mikhaĭlovich, Grand Duke of Russia, 1866-1933.</t>
        </is>
      </c>
      <c r="L1538" t="inlineStr">
        <is>
          <t>New York : Cosmopolitan book corporation, Farrar &amp; Rinehart, incorporated, [c1932]</t>
        </is>
      </c>
      <c r="M1538" t="inlineStr">
        <is>
          <t>1932</t>
        </is>
      </c>
      <c r="O1538" t="inlineStr">
        <is>
          <t>eng</t>
        </is>
      </c>
      <c r="P1538" t="inlineStr">
        <is>
          <t xml:space="preserve">xx </t>
        </is>
      </c>
      <c r="R1538" t="inlineStr">
        <is>
          <t xml:space="preserve">DK </t>
        </is>
      </c>
      <c r="S1538" t="n">
        <v>0</v>
      </c>
      <c r="T1538" t="n">
        <v>0</v>
      </c>
      <c r="U1538" t="inlineStr">
        <is>
          <t>2006-09-13</t>
        </is>
      </c>
      <c r="V1538" t="inlineStr">
        <is>
          <t>2006-09-13</t>
        </is>
      </c>
      <c r="W1538" t="inlineStr">
        <is>
          <t>1994-02-03</t>
        </is>
      </c>
      <c r="X1538" t="inlineStr">
        <is>
          <t>1994-02-03</t>
        </is>
      </c>
      <c r="Y1538" t="n">
        <v>439</v>
      </c>
      <c r="Z1538" t="n">
        <v>415</v>
      </c>
      <c r="AA1538" t="n">
        <v>628</v>
      </c>
      <c r="AB1538" t="n">
        <v>3</v>
      </c>
      <c r="AC1538" t="n">
        <v>5</v>
      </c>
      <c r="AD1538" t="n">
        <v>12</v>
      </c>
      <c r="AE1538" t="n">
        <v>32</v>
      </c>
      <c r="AF1538" t="n">
        <v>1</v>
      </c>
      <c r="AG1538" t="n">
        <v>10</v>
      </c>
      <c r="AH1538" t="n">
        <v>2</v>
      </c>
      <c r="AI1538" t="n">
        <v>7</v>
      </c>
      <c r="AJ1538" t="n">
        <v>8</v>
      </c>
      <c r="AK1538" t="n">
        <v>17</v>
      </c>
      <c r="AL1538" t="n">
        <v>2</v>
      </c>
      <c r="AM1538" t="n">
        <v>4</v>
      </c>
      <c r="AN1538" t="n">
        <v>0</v>
      </c>
      <c r="AO1538" t="n">
        <v>1</v>
      </c>
      <c r="AP1538" t="inlineStr">
        <is>
          <t>Yes</t>
        </is>
      </c>
      <c r="AQ1538" t="inlineStr">
        <is>
          <t>No</t>
        </is>
      </c>
      <c r="AR1538">
        <f>HYPERLINK("http://catalog.hathitrust.org/Record/001602532","HathiTrust Record")</f>
        <v/>
      </c>
      <c r="AS1538">
        <f>HYPERLINK("https://creighton-primo.hosted.exlibrisgroup.com/primo-explore/search?tab=default_tab&amp;search_scope=EVERYTHING&amp;vid=01CRU&amp;lang=en_US&amp;offset=0&amp;query=any,contains,991003054089702656","Catalog Record")</f>
        <v/>
      </c>
      <c r="AT1538">
        <f>HYPERLINK("http://www.worldcat.org/oclc/613240","WorldCat Record")</f>
        <v/>
      </c>
      <c r="AU1538" t="inlineStr">
        <is>
          <t>1120029:eng</t>
        </is>
      </c>
      <c r="AV1538" t="inlineStr">
        <is>
          <t>613240</t>
        </is>
      </c>
      <c r="AW1538" t="inlineStr">
        <is>
          <t>991003054089702656</t>
        </is>
      </c>
      <c r="AX1538" t="inlineStr">
        <is>
          <t>991003054089702656</t>
        </is>
      </c>
      <c r="AY1538" t="inlineStr">
        <is>
          <t>2268397970002656</t>
        </is>
      </c>
      <c r="AZ1538" t="inlineStr">
        <is>
          <t>BOOK</t>
        </is>
      </c>
      <c r="BC1538" t="inlineStr">
        <is>
          <t>32285001837110</t>
        </is>
      </c>
      <c r="BD1538" t="inlineStr">
        <is>
          <t>893899580</t>
        </is>
      </c>
    </row>
    <row r="1539">
      <c r="A1539" t="inlineStr">
        <is>
          <t>No</t>
        </is>
      </c>
      <c r="B1539" t="inlineStr">
        <is>
          <t>DK268.3 .O27 1983</t>
        </is>
      </c>
      <c r="C1539" t="inlineStr">
        <is>
          <t>0                      DK 0268300O  27          1983</t>
        </is>
      </c>
      <c r="D1539" t="inlineStr">
        <is>
          <t>The politics of Soviet culture : Anatolii Lunacharskii / by Timothy Edward O'Connor.</t>
        </is>
      </c>
      <c r="F1539" t="inlineStr">
        <is>
          <t>No</t>
        </is>
      </c>
      <c r="G1539" t="inlineStr">
        <is>
          <t>1</t>
        </is>
      </c>
      <c r="H1539" t="inlineStr">
        <is>
          <t>No</t>
        </is>
      </c>
      <c r="I1539" t="inlineStr">
        <is>
          <t>No</t>
        </is>
      </c>
      <c r="J1539" t="inlineStr">
        <is>
          <t>0</t>
        </is>
      </c>
      <c r="K1539" t="inlineStr">
        <is>
          <t>O'Connor, Timothy Edward.</t>
        </is>
      </c>
      <c r="L1539" t="inlineStr">
        <is>
          <t>Ann Arbor, Mich. : UMI Research Press, c1983.</t>
        </is>
      </c>
      <c r="M1539" t="inlineStr">
        <is>
          <t>1983</t>
        </is>
      </c>
      <c r="O1539" t="inlineStr">
        <is>
          <t>eng</t>
        </is>
      </c>
      <c r="P1539" t="inlineStr">
        <is>
          <t>miu</t>
        </is>
      </c>
      <c r="Q1539" t="inlineStr">
        <is>
          <t>Studies in the fine arts. The avant-garde ; no. 42</t>
        </is>
      </c>
      <c r="R1539" t="inlineStr">
        <is>
          <t xml:space="preserve">DK </t>
        </is>
      </c>
      <c r="S1539" t="n">
        <v>0</v>
      </c>
      <c r="T1539" t="n">
        <v>0</v>
      </c>
      <c r="U1539" t="inlineStr">
        <is>
          <t>2005-10-03</t>
        </is>
      </c>
      <c r="V1539" t="inlineStr">
        <is>
          <t>2005-10-03</t>
        </is>
      </c>
      <c r="W1539" t="inlineStr">
        <is>
          <t>1991-08-14</t>
        </is>
      </c>
      <c r="X1539" t="inlineStr">
        <is>
          <t>1991-08-14</t>
        </is>
      </c>
      <c r="Y1539" t="n">
        <v>286</v>
      </c>
      <c r="Z1539" t="n">
        <v>212</v>
      </c>
      <c r="AA1539" t="n">
        <v>218</v>
      </c>
      <c r="AB1539" t="n">
        <v>2</v>
      </c>
      <c r="AC1539" t="n">
        <v>2</v>
      </c>
      <c r="AD1539" t="n">
        <v>7</v>
      </c>
      <c r="AE1539" t="n">
        <v>7</v>
      </c>
      <c r="AF1539" t="n">
        <v>3</v>
      </c>
      <c r="AG1539" t="n">
        <v>3</v>
      </c>
      <c r="AH1539" t="n">
        <v>2</v>
      </c>
      <c r="AI1539" t="n">
        <v>2</v>
      </c>
      <c r="AJ1539" t="n">
        <v>3</v>
      </c>
      <c r="AK1539" t="n">
        <v>3</v>
      </c>
      <c r="AL1539" t="n">
        <v>1</v>
      </c>
      <c r="AM1539" t="n">
        <v>1</v>
      </c>
      <c r="AN1539" t="n">
        <v>0</v>
      </c>
      <c r="AO1539" t="n">
        <v>0</v>
      </c>
      <c r="AP1539" t="inlineStr">
        <is>
          <t>No</t>
        </is>
      </c>
      <c r="AQ1539" t="inlineStr">
        <is>
          <t>Yes</t>
        </is>
      </c>
      <c r="AR1539">
        <f>HYPERLINK("http://catalog.hathitrust.org/Record/000281663","HathiTrust Record")</f>
        <v/>
      </c>
      <c r="AS1539">
        <f>HYPERLINK("https://creighton-primo.hosted.exlibrisgroup.com/primo-explore/search?tab=default_tab&amp;search_scope=EVERYTHING&amp;vid=01CRU&amp;lang=en_US&amp;offset=0&amp;query=any,contains,991000291589702656","Catalog Record")</f>
        <v/>
      </c>
      <c r="AT1539">
        <f>HYPERLINK("http://www.worldcat.org/oclc/9970020","WorldCat Record")</f>
        <v/>
      </c>
      <c r="AU1539" t="inlineStr">
        <is>
          <t>4840247:eng</t>
        </is>
      </c>
      <c r="AV1539" t="inlineStr">
        <is>
          <t>9970020</t>
        </is>
      </c>
      <c r="AW1539" t="inlineStr">
        <is>
          <t>991000291589702656</t>
        </is>
      </c>
      <c r="AX1539" t="inlineStr">
        <is>
          <t>991000291589702656</t>
        </is>
      </c>
      <c r="AY1539" t="inlineStr">
        <is>
          <t>2255080960002656</t>
        </is>
      </c>
      <c r="AZ1539" t="inlineStr">
        <is>
          <t>BOOK</t>
        </is>
      </c>
      <c r="BB1539" t="inlineStr">
        <is>
          <t>9780835714686</t>
        </is>
      </c>
      <c r="BC1539" t="inlineStr">
        <is>
          <t>32285000650548</t>
        </is>
      </c>
      <c r="BD1539" t="inlineStr">
        <is>
          <t>893607791</t>
        </is>
      </c>
    </row>
    <row r="1540">
      <c r="A1540" t="inlineStr">
        <is>
          <t>No</t>
        </is>
      </c>
      <c r="B1540" t="inlineStr">
        <is>
          <t>DK32 .D25 1964</t>
        </is>
      </c>
      <c r="C1540" t="inlineStr">
        <is>
          <t>0                      DK 0032000D  25          1964</t>
        </is>
      </c>
      <c r="D1540" t="inlineStr">
        <is>
          <t>Russia / Robert V. Daniels.</t>
        </is>
      </c>
      <c r="F1540" t="inlineStr">
        <is>
          <t>No</t>
        </is>
      </c>
      <c r="G1540" t="inlineStr">
        <is>
          <t>1</t>
        </is>
      </c>
      <c r="H1540" t="inlineStr">
        <is>
          <t>No</t>
        </is>
      </c>
      <c r="I1540" t="inlineStr">
        <is>
          <t>Yes</t>
        </is>
      </c>
      <c r="J1540" t="inlineStr">
        <is>
          <t>0</t>
        </is>
      </c>
      <c r="K1540" t="inlineStr">
        <is>
          <t>Daniels, Robert V. (Robert Vincent), 1926-2010.</t>
        </is>
      </c>
      <c r="L1540" t="inlineStr">
        <is>
          <t>Englewood Cliffs, N.J. : Prentice-Hall, [1964]</t>
        </is>
      </c>
      <c r="M1540" t="inlineStr">
        <is>
          <t>1964</t>
        </is>
      </c>
      <c r="O1540" t="inlineStr">
        <is>
          <t>eng</t>
        </is>
      </c>
      <c r="P1540" t="inlineStr">
        <is>
          <t>nju</t>
        </is>
      </c>
      <c r="Q1540" t="inlineStr">
        <is>
          <t>A Spectrum book ; S-602.</t>
        </is>
      </c>
      <c r="R1540" t="inlineStr">
        <is>
          <t xml:space="preserve">DK </t>
        </is>
      </c>
      <c r="S1540" t="n">
        <v>3</v>
      </c>
      <c r="T1540" t="n">
        <v>3</v>
      </c>
      <c r="U1540" t="inlineStr">
        <is>
          <t>1992-07-02</t>
        </is>
      </c>
      <c r="V1540" t="inlineStr">
        <is>
          <t>1992-07-02</t>
        </is>
      </c>
      <c r="W1540" t="inlineStr">
        <is>
          <t>1991-04-29</t>
        </is>
      </c>
      <c r="X1540" t="inlineStr">
        <is>
          <t>1991-04-29</t>
        </is>
      </c>
      <c r="Y1540" t="n">
        <v>939</v>
      </c>
      <c r="Z1540" t="n">
        <v>841</v>
      </c>
      <c r="AA1540" t="n">
        <v>1467</v>
      </c>
      <c r="AB1540" t="n">
        <v>6</v>
      </c>
      <c r="AC1540" t="n">
        <v>10</v>
      </c>
      <c r="AD1540" t="n">
        <v>39</v>
      </c>
      <c r="AE1540" t="n">
        <v>52</v>
      </c>
      <c r="AF1540" t="n">
        <v>15</v>
      </c>
      <c r="AG1540" t="n">
        <v>23</v>
      </c>
      <c r="AH1540" t="n">
        <v>10</v>
      </c>
      <c r="AI1540" t="n">
        <v>11</v>
      </c>
      <c r="AJ1540" t="n">
        <v>19</v>
      </c>
      <c r="AK1540" t="n">
        <v>23</v>
      </c>
      <c r="AL1540" t="n">
        <v>5</v>
      </c>
      <c r="AM1540" t="n">
        <v>8</v>
      </c>
      <c r="AN1540" t="n">
        <v>0</v>
      </c>
      <c r="AO1540" t="n">
        <v>0</v>
      </c>
      <c r="AP1540" t="inlineStr">
        <is>
          <t>No</t>
        </is>
      </c>
      <c r="AQ1540" t="inlineStr">
        <is>
          <t>Yes</t>
        </is>
      </c>
      <c r="AR1540">
        <f>HYPERLINK("http://catalog.hathitrust.org/Record/001601414","HathiTrust Record")</f>
        <v/>
      </c>
      <c r="AS1540">
        <f>HYPERLINK("https://creighton-primo.hosted.exlibrisgroup.com/primo-explore/search?tab=default_tab&amp;search_scope=EVERYTHING&amp;vid=01CRU&amp;lang=en_US&amp;offset=0&amp;query=any,contains,991002704079702656","Catalog Record")</f>
        <v/>
      </c>
      <c r="AT1540">
        <f>HYPERLINK("http://www.worldcat.org/oclc/406550","WorldCat Record")</f>
        <v/>
      </c>
      <c r="AU1540" t="inlineStr">
        <is>
          <t>4051839:eng</t>
        </is>
      </c>
      <c r="AV1540" t="inlineStr">
        <is>
          <t>406550</t>
        </is>
      </c>
      <c r="AW1540" t="inlineStr">
        <is>
          <t>991002704079702656</t>
        </is>
      </c>
      <c r="AX1540" t="inlineStr">
        <is>
          <t>991002704079702656</t>
        </is>
      </c>
      <c r="AY1540" t="inlineStr">
        <is>
          <t>2261101840002656</t>
        </is>
      </c>
      <c r="AZ1540" t="inlineStr">
        <is>
          <t>BOOK</t>
        </is>
      </c>
      <c r="BC1540" t="inlineStr">
        <is>
          <t>32285000523331</t>
        </is>
      </c>
      <c r="BD1540" t="inlineStr">
        <is>
          <t>893622623</t>
        </is>
      </c>
    </row>
    <row r="1541">
      <c r="A1541" t="inlineStr">
        <is>
          <t>No</t>
        </is>
      </c>
      <c r="B1541" t="inlineStr">
        <is>
          <t>DK32.7 .R3</t>
        </is>
      </c>
      <c r="C1541" t="inlineStr">
        <is>
          <t>0                      DK 0032700R  3</t>
        </is>
      </c>
      <c r="D1541" t="inlineStr">
        <is>
          <t>Russian intellectual history : an anthology / with an introd. by Isaiah Berlin.</t>
        </is>
      </c>
      <c r="F1541" t="inlineStr">
        <is>
          <t>No</t>
        </is>
      </c>
      <c r="G1541" t="inlineStr">
        <is>
          <t>1</t>
        </is>
      </c>
      <c r="H1541" t="inlineStr">
        <is>
          <t>No</t>
        </is>
      </c>
      <c r="I1541" t="inlineStr">
        <is>
          <t>No</t>
        </is>
      </c>
      <c r="J1541" t="inlineStr">
        <is>
          <t>0</t>
        </is>
      </c>
      <c r="K1541" t="inlineStr">
        <is>
          <t>Raeff, Marc editor.</t>
        </is>
      </c>
      <c r="L1541" t="inlineStr">
        <is>
          <t>New York : Harcourt, Brace &amp; World, [1966]</t>
        </is>
      </c>
      <c r="M1541" t="inlineStr">
        <is>
          <t>1966</t>
        </is>
      </c>
      <c r="O1541" t="inlineStr">
        <is>
          <t>eng</t>
        </is>
      </c>
      <c r="P1541" t="inlineStr">
        <is>
          <t>nyu</t>
        </is>
      </c>
      <c r="Q1541" t="inlineStr">
        <is>
          <t>The Harbrace series in Russian area studies</t>
        </is>
      </c>
      <c r="R1541" t="inlineStr">
        <is>
          <t xml:space="preserve">DK </t>
        </is>
      </c>
      <c r="S1541" t="n">
        <v>1</v>
      </c>
      <c r="T1541" t="n">
        <v>1</v>
      </c>
      <c r="U1541" t="inlineStr">
        <is>
          <t>2001-03-14</t>
        </is>
      </c>
      <c r="V1541" t="inlineStr">
        <is>
          <t>2001-03-14</t>
        </is>
      </c>
      <c r="W1541" t="inlineStr">
        <is>
          <t>1991-12-10</t>
        </is>
      </c>
      <c r="X1541" t="inlineStr">
        <is>
          <t>1991-12-10</t>
        </is>
      </c>
      <c r="Y1541" t="n">
        <v>975</v>
      </c>
      <c r="Z1541" t="n">
        <v>838</v>
      </c>
      <c r="AA1541" t="n">
        <v>841</v>
      </c>
      <c r="AB1541" t="n">
        <v>5</v>
      </c>
      <c r="AC1541" t="n">
        <v>5</v>
      </c>
      <c r="AD1541" t="n">
        <v>34</v>
      </c>
      <c r="AE1541" t="n">
        <v>34</v>
      </c>
      <c r="AF1541" t="n">
        <v>14</v>
      </c>
      <c r="AG1541" t="n">
        <v>14</v>
      </c>
      <c r="AH1541" t="n">
        <v>7</v>
      </c>
      <c r="AI1541" t="n">
        <v>7</v>
      </c>
      <c r="AJ1541" t="n">
        <v>17</v>
      </c>
      <c r="AK1541" t="n">
        <v>17</v>
      </c>
      <c r="AL1541" t="n">
        <v>4</v>
      </c>
      <c r="AM1541" t="n">
        <v>4</v>
      </c>
      <c r="AN1541" t="n">
        <v>0</v>
      </c>
      <c r="AO1541" t="n">
        <v>0</v>
      </c>
      <c r="AP1541" t="inlineStr">
        <is>
          <t>No</t>
        </is>
      </c>
      <c r="AQ1541" t="inlineStr">
        <is>
          <t>Yes</t>
        </is>
      </c>
      <c r="AR1541">
        <f>HYPERLINK("http://catalog.hathitrust.org/Record/001601493","HathiTrust Record")</f>
        <v/>
      </c>
      <c r="AS1541">
        <f>HYPERLINK("https://creighton-primo.hosted.exlibrisgroup.com/primo-explore/search?tab=default_tab&amp;search_scope=EVERYTHING&amp;vid=01CRU&amp;lang=en_US&amp;offset=0&amp;query=any,contains,991002735119702656","Catalog Record")</f>
        <v/>
      </c>
      <c r="AT1541">
        <f>HYPERLINK("http://www.worldcat.org/oclc/418942","WorldCat Record")</f>
        <v/>
      </c>
      <c r="AU1541" t="inlineStr">
        <is>
          <t>5612715178:eng</t>
        </is>
      </c>
      <c r="AV1541" t="inlineStr">
        <is>
          <t>418942</t>
        </is>
      </c>
      <c r="AW1541" t="inlineStr">
        <is>
          <t>991002735119702656</t>
        </is>
      </c>
      <c r="AX1541" t="inlineStr">
        <is>
          <t>991002735119702656</t>
        </is>
      </c>
      <c r="AY1541" t="inlineStr">
        <is>
          <t>2261197400002656</t>
        </is>
      </c>
      <c r="AZ1541" t="inlineStr">
        <is>
          <t>BOOK</t>
        </is>
      </c>
      <c r="BC1541" t="inlineStr">
        <is>
          <t>32285000875103</t>
        </is>
      </c>
      <c r="BD1541" t="inlineStr">
        <is>
          <t>893886638</t>
        </is>
      </c>
    </row>
    <row r="1542">
      <c r="A1542" t="inlineStr">
        <is>
          <t>No</t>
        </is>
      </c>
      <c r="B1542" t="inlineStr">
        <is>
          <t>DK4 .R5 1969</t>
        </is>
      </c>
      <c r="C1542" t="inlineStr">
        <is>
          <t>0                      DK 0004000R  5           1969</t>
        </is>
      </c>
      <c r="D1542" t="inlineStr">
        <is>
          <t>Readings in Russian civilization / edited, with introductory notes, by Thomas Riha.</t>
        </is>
      </c>
      <c r="F1542" t="inlineStr">
        <is>
          <t>Yes</t>
        </is>
      </c>
      <c r="G1542" t="inlineStr">
        <is>
          <t>1</t>
        </is>
      </c>
      <c r="H1542" t="inlineStr">
        <is>
          <t>Yes</t>
        </is>
      </c>
      <c r="I1542" t="inlineStr">
        <is>
          <t>No</t>
        </is>
      </c>
      <c r="J1542" t="inlineStr">
        <is>
          <t>0</t>
        </is>
      </c>
      <c r="K1542" t="inlineStr">
        <is>
          <t>Riha, Thomas editor.</t>
        </is>
      </c>
      <c r="L1542" t="inlineStr">
        <is>
          <t>Chicago : University of Chicago Press, [1969-</t>
        </is>
      </c>
      <c r="M1542" t="inlineStr">
        <is>
          <t>1969</t>
        </is>
      </c>
      <c r="N1542" t="inlineStr">
        <is>
          <t>2d ed., rev.</t>
        </is>
      </c>
      <c r="O1542" t="inlineStr">
        <is>
          <t>eng</t>
        </is>
      </c>
      <c r="P1542" t="inlineStr">
        <is>
          <t>ilu</t>
        </is>
      </c>
      <c r="R1542" t="inlineStr">
        <is>
          <t xml:space="preserve">DK </t>
        </is>
      </c>
      <c r="S1542" t="n">
        <v>2</v>
      </c>
      <c r="T1542" t="n">
        <v>3</v>
      </c>
      <c r="U1542" t="inlineStr">
        <is>
          <t>1992-06-27</t>
        </is>
      </c>
      <c r="V1542" t="inlineStr">
        <is>
          <t>1992-06-27</t>
        </is>
      </c>
      <c r="W1542" t="inlineStr">
        <is>
          <t>1991-12-11</t>
        </is>
      </c>
      <c r="X1542" t="inlineStr">
        <is>
          <t>1991-12-11</t>
        </is>
      </c>
      <c r="Y1542" t="n">
        <v>638</v>
      </c>
      <c r="Z1542" t="n">
        <v>536</v>
      </c>
      <c r="AA1542" t="n">
        <v>1192</v>
      </c>
      <c r="AB1542" t="n">
        <v>2</v>
      </c>
      <c r="AC1542" t="n">
        <v>8</v>
      </c>
      <c r="AD1542" t="n">
        <v>27</v>
      </c>
      <c r="AE1542" t="n">
        <v>56</v>
      </c>
      <c r="AF1542" t="n">
        <v>15</v>
      </c>
      <c r="AG1542" t="n">
        <v>26</v>
      </c>
      <c r="AH1542" t="n">
        <v>6</v>
      </c>
      <c r="AI1542" t="n">
        <v>11</v>
      </c>
      <c r="AJ1542" t="n">
        <v>11</v>
      </c>
      <c r="AK1542" t="n">
        <v>25</v>
      </c>
      <c r="AL1542" t="n">
        <v>1</v>
      </c>
      <c r="AM1542" t="n">
        <v>7</v>
      </c>
      <c r="AN1542" t="n">
        <v>0</v>
      </c>
      <c r="AO1542" t="n">
        <v>0</v>
      </c>
      <c r="AP1542" t="inlineStr">
        <is>
          <t>No</t>
        </is>
      </c>
      <c r="AQ1542" t="inlineStr">
        <is>
          <t>Yes</t>
        </is>
      </c>
      <c r="AR1542">
        <f>HYPERLINK("http://catalog.hathitrust.org/Record/001604746","HathiTrust Record")</f>
        <v/>
      </c>
      <c r="AS1542">
        <f>HYPERLINK("https://creighton-primo.hosted.exlibrisgroup.com/primo-explore/search?tab=default_tab&amp;search_scope=EVERYTHING&amp;vid=01CRU&amp;lang=en_US&amp;offset=0&amp;query=any,contains,991000135619702656","Catalog Record")</f>
        <v/>
      </c>
      <c r="AT1542">
        <f>HYPERLINK("http://www.worldcat.org/oclc/56166","WorldCat Record")</f>
        <v/>
      </c>
      <c r="AU1542" t="inlineStr">
        <is>
          <t>3004094466:eng</t>
        </is>
      </c>
      <c r="AV1542" t="inlineStr">
        <is>
          <t>56166</t>
        </is>
      </c>
      <c r="AW1542" t="inlineStr">
        <is>
          <t>991000135619702656</t>
        </is>
      </c>
      <c r="AX1542" t="inlineStr">
        <is>
          <t>991000135619702656</t>
        </is>
      </c>
      <c r="AY1542" t="inlineStr">
        <is>
          <t>2261138580002656</t>
        </is>
      </c>
      <c r="AZ1542" t="inlineStr">
        <is>
          <t>BOOK</t>
        </is>
      </c>
      <c r="BC1542" t="inlineStr">
        <is>
          <t>32285000875442</t>
        </is>
      </c>
      <c r="BD1542" t="inlineStr">
        <is>
          <t>893884151</t>
        </is>
      </c>
    </row>
    <row r="1543">
      <c r="A1543" t="inlineStr">
        <is>
          <t>No</t>
        </is>
      </c>
      <c r="B1543" t="inlineStr">
        <is>
          <t>DK4 .R5 1969 V.2</t>
        </is>
      </c>
      <c r="C1543" t="inlineStr">
        <is>
          <t>0                      DK 0004000R  5           1969                                        V.2</t>
        </is>
      </c>
      <c r="D1543" t="inlineStr">
        <is>
          <t>Readings in Russian civilization / edited, with introductory notes, by Thomas Riha.</t>
        </is>
      </c>
      <c r="E1543" t="inlineStr">
        <is>
          <t>V.2*</t>
        </is>
      </c>
      <c r="F1543" t="inlineStr">
        <is>
          <t>Yes</t>
        </is>
      </c>
      <c r="G1543" t="inlineStr">
        <is>
          <t>1</t>
        </is>
      </c>
      <c r="H1543" t="inlineStr">
        <is>
          <t>No</t>
        </is>
      </c>
      <c r="I1543" t="inlineStr">
        <is>
          <t>No</t>
        </is>
      </c>
      <c r="J1543" t="inlineStr">
        <is>
          <t>0</t>
        </is>
      </c>
      <c r="K1543" t="inlineStr">
        <is>
          <t>Riha, Thomas editor.</t>
        </is>
      </c>
      <c r="L1543" t="inlineStr">
        <is>
          <t>Chicago : University of Chicago Press, [1969-</t>
        </is>
      </c>
      <c r="M1543" t="inlineStr">
        <is>
          <t>1969</t>
        </is>
      </c>
      <c r="N1543" t="inlineStr">
        <is>
          <t>2d ed., rev.</t>
        </is>
      </c>
      <c r="O1543" t="inlineStr">
        <is>
          <t>eng</t>
        </is>
      </c>
      <c r="P1543" t="inlineStr">
        <is>
          <t>ilu</t>
        </is>
      </c>
      <c r="R1543" t="inlineStr">
        <is>
          <t xml:space="preserve">DK </t>
        </is>
      </c>
      <c r="S1543" t="n">
        <v>1</v>
      </c>
      <c r="T1543" t="n">
        <v>3</v>
      </c>
      <c r="U1543" t="inlineStr">
        <is>
          <t>1992-06-27</t>
        </is>
      </c>
      <c r="V1543" t="inlineStr">
        <is>
          <t>1992-06-27</t>
        </is>
      </c>
      <c r="W1543" t="inlineStr">
        <is>
          <t>1991-12-11</t>
        </is>
      </c>
      <c r="X1543" t="inlineStr">
        <is>
          <t>1991-12-11</t>
        </is>
      </c>
      <c r="Y1543" t="n">
        <v>638</v>
      </c>
      <c r="Z1543" t="n">
        <v>536</v>
      </c>
      <c r="AA1543" t="n">
        <v>1192</v>
      </c>
      <c r="AB1543" t="n">
        <v>2</v>
      </c>
      <c r="AC1543" t="n">
        <v>8</v>
      </c>
      <c r="AD1543" t="n">
        <v>27</v>
      </c>
      <c r="AE1543" t="n">
        <v>56</v>
      </c>
      <c r="AF1543" t="n">
        <v>15</v>
      </c>
      <c r="AG1543" t="n">
        <v>26</v>
      </c>
      <c r="AH1543" t="n">
        <v>6</v>
      </c>
      <c r="AI1543" t="n">
        <v>11</v>
      </c>
      <c r="AJ1543" t="n">
        <v>11</v>
      </c>
      <c r="AK1543" t="n">
        <v>25</v>
      </c>
      <c r="AL1543" t="n">
        <v>1</v>
      </c>
      <c r="AM1543" t="n">
        <v>7</v>
      </c>
      <c r="AN1543" t="n">
        <v>0</v>
      </c>
      <c r="AO1543" t="n">
        <v>0</v>
      </c>
      <c r="AP1543" t="inlineStr">
        <is>
          <t>No</t>
        </is>
      </c>
      <c r="AQ1543" t="inlineStr">
        <is>
          <t>Yes</t>
        </is>
      </c>
      <c r="AR1543">
        <f>HYPERLINK("http://catalog.hathitrust.org/Record/001604746","HathiTrust Record")</f>
        <v/>
      </c>
      <c r="AS1543">
        <f>HYPERLINK("https://creighton-primo.hosted.exlibrisgroup.com/primo-explore/search?tab=default_tab&amp;search_scope=EVERYTHING&amp;vid=01CRU&amp;lang=en_US&amp;offset=0&amp;query=any,contains,991000135619702656","Catalog Record")</f>
        <v/>
      </c>
      <c r="AT1543">
        <f>HYPERLINK("http://www.worldcat.org/oclc/56166","WorldCat Record")</f>
        <v/>
      </c>
      <c r="AU1543" t="inlineStr">
        <is>
          <t>3004094466:eng</t>
        </is>
      </c>
      <c r="AV1543" t="inlineStr">
        <is>
          <t>56166</t>
        </is>
      </c>
      <c r="AW1543" t="inlineStr">
        <is>
          <t>991000135619702656</t>
        </is>
      </c>
      <c r="AX1543" t="inlineStr">
        <is>
          <t>991000135619702656</t>
        </is>
      </c>
      <c r="AY1543" t="inlineStr">
        <is>
          <t>2261138580002656</t>
        </is>
      </c>
      <c r="AZ1543" t="inlineStr">
        <is>
          <t>BOOK</t>
        </is>
      </c>
      <c r="BC1543" t="inlineStr">
        <is>
          <t>32285000875434</t>
        </is>
      </c>
      <c r="BD1543" t="inlineStr">
        <is>
          <t>893877835</t>
        </is>
      </c>
    </row>
    <row r="1544">
      <c r="A1544" t="inlineStr">
        <is>
          <t>No</t>
        </is>
      </c>
      <c r="B1544" t="inlineStr">
        <is>
          <t>DK4 .R5 1969 V.3</t>
        </is>
      </c>
      <c r="C1544" t="inlineStr">
        <is>
          <t>0                      DK 0004000R  5           1969                                        V.3</t>
        </is>
      </c>
      <c r="D1544" t="inlineStr">
        <is>
          <t>Readings in Russian civilization / edited, with introductory notes, by Thomas Riha.</t>
        </is>
      </c>
      <c r="E1544" t="inlineStr">
        <is>
          <t>V.3*</t>
        </is>
      </c>
      <c r="F1544" t="inlineStr">
        <is>
          <t>Yes</t>
        </is>
      </c>
      <c r="G1544" t="inlineStr">
        <is>
          <t>1</t>
        </is>
      </c>
      <c r="H1544" t="inlineStr">
        <is>
          <t>No</t>
        </is>
      </c>
      <c r="I1544" t="inlineStr">
        <is>
          <t>No</t>
        </is>
      </c>
      <c r="J1544" t="inlineStr">
        <is>
          <t>0</t>
        </is>
      </c>
      <c r="K1544" t="inlineStr">
        <is>
          <t>Riha, Thomas editor.</t>
        </is>
      </c>
      <c r="L1544" t="inlineStr">
        <is>
          <t>Chicago : University of Chicago Press, [1969-</t>
        </is>
      </c>
      <c r="M1544" t="inlineStr">
        <is>
          <t>1969</t>
        </is>
      </c>
      <c r="N1544" t="inlineStr">
        <is>
          <t>2d ed., rev.</t>
        </is>
      </c>
      <c r="O1544" t="inlineStr">
        <is>
          <t>eng</t>
        </is>
      </c>
      <c r="P1544" t="inlineStr">
        <is>
          <t>ilu</t>
        </is>
      </c>
      <c r="R1544" t="inlineStr">
        <is>
          <t xml:space="preserve">DK </t>
        </is>
      </c>
      <c r="S1544" t="n">
        <v>0</v>
      </c>
      <c r="T1544" t="n">
        <v>3</v>
      </c>
      <c r="V1544" t="inlineStr">
        <is>
          <t>1992-06-27</t>
        </is>
      </c>
      <c r="W1544" t="inlineStr">
        <is>
          <t>1991-12-11</t>
        </is>
      </c>
      <c r="X1544" t="inlineStr">
        <is>
          <t>1991-12-11</t>
        </is>
      </c>
      <c r="Y1544" t="n">
        <v>638</v>
      </c>
      <c r="Z1544" t="n">
        <v>536</v>
      </c>
      <c r="AA1544" t="n">
        <v>1192</v>
      </c>
      <c r="AB1544" t="n">
        <v>2</v>
      </c>
      <c r="AC1544" t="n">
        <v>8</v>
      </c>
      <c r="AD1544" t="n">
        <v>27</v>
      </c>
      <c r="AE1544" t="n">
        <v>56</v>
      </c>
      <c r="AF1544" t="n">
        <v>15</v>
      </c>
      <c r="AG1544" t="n">
        <v>26</v>
      </c>
      <c r="AH1544" t="n">
        <v>6</v>
      </c>
      <c r="AI1544" t="n">
        <v>11</v>
      </c>
      <c r="AJ1544" t="n">
        <v>11</v>
      </c>
      <c r="AK1544" t="n">
        <v>25</v>
      </c>
      <c r="AL1544" t="n">
        <v>1</v>
      </c>
      <c r="AM1544" t="n">
        <v>7</v>
      </c>
      <c r="AN1544" t="n">
        <v>0</v>
      </c>
      <c r="AO1544" t="n">
        <v>0</v>
      </c>
      <c r="AP1544" t="inlineStr">
        <is>
          <t>No</t>
        </is>
      </c>
      <c r="AQ1544" t="inlineStr">
        <is>
          <t>Yes</t>
        </is>
      </c>
      <c r="AR1544">
        <f>HYPERLINK("http://catalog.hathitrust.org/Record/001604746","HathiTrust Record")</f>
        <v/>
      </c>
      <c r="AS1544">
        <f>HYPERLINK("https://creighton-primo.hosted.exlibrisgroup.com/primo-explore/search?tab=default_tab&amp;search_scope=EVERYTHING&amp;vid=01CRU&amp;lang=en_US&amp;offset=0&amp;query=any,contains,991000135619702656","Catalog Record")</f>
        <v/>
      </c>
      <c r="AT1544">
        <f>HYPERLINK("http://www.worldcat.org/oclc/56166","WorldCat Record")</f>
        <v/>
      </c>
      <c r="AU1544" t="inlineStr">
        <is>
          <t>3004094466:eng</t>
        </is>
      </c>
      <c r="AV1544" t="inlineStr">
        <is>
          <t>56166</t>
        </is>
      </c>
      <c r="AW1544" t="inlineStr">
        <is>
          <t>991000135619702656</t>
        </is>
      </c>
      <c r="AX1544" t="inlineStr">
        <is>
          <t>991000135619702656</t>
        </is>
      </c>
      <c r="AY1544" t="inlineStr">
        <is>
          <t>2261138580002656</t>
        </is>
      </c>
      <c r="AZ1544" t="inlineStr">
        <is>
          <t>BOOK</t>
        </is>
      </c>
      <c r="BC1544" t="inlineStr">
        <is>
          <t>32285000849769</t>
        </is>
      </c>
      <c r="BD1544" t="inlineStr">
        <is>
          <t>893884150</t>
        </is>
      </c>
    </row>
    <row r="1545">
      <c r="A1545" t="inlineStr">
        <is>
          <t>No</t>
        </is>
      </c>
      <c r="B1545" t="inlineStr">
        <is>
          <t>DK4326.5 .S95</t>
        </is>
      </c>
      <c r="C1545" t="inlineStr">
        <is>
          <t>0                      DK 4326500S  95</t>
        </is>
      </c>
      <c r="D1545" t="inlineStr">
        <is>
          <t>The King's honor &amp; the King's Cardinal : the war of the Polish succession / John L. Sutton.</t>
        </is>
      </c>
      <c r="F1545" t="inlineStr">
        <is>
          <t>No</t>
        </is>
      </c>
      <c r="G1545" t="inlineStr">
        <is>
          <t>1</t>
        </is>
      </c>
      <c r="H1545" t="inlineStr">
        <is>
          <t>No</t>
        </is>
      </c>
      <c r="I1545" t="inlineStr">
        <is>
          <t>No</t>
        </is>
      </c>
      <c r="J1545" t="inlineStr">
        <is>
          <t>0</t>
        </is>
      </c>
      <c r="K1545" t="inlineStr">
        <is>
          <t>Sutton, John L., 1917-</t>
        </is>
      </c>
      <c r="L1545" t="inlineStr">
        <is>
          <t>Lexington, Ky. : University Press of Kentucky, c1980.</t>
        </is>
      </c>
      <c r="M1545" t="inlineStr">
        <is>
          <t>1980</t>
        </is>
      </c>
      <c r="O1545" t="inlineStr">
        <is>
          <t>eng</t>
        </is>
      </c>
      <c r="P1545" t="inlineStr">
        <is>
          <t>kyu</t>
        </is>
      </c>
      <c r="R1545" t="inlineStr">
        <is>
          <t xml:space="preserve">DK </t>
        </is>
      </c>
      <c r="S1545" t="n">
        <v>0</v>
      </c>
      <c r="T1545" t="n">
        <v>0</v>
      </c>
      <c r="U1545" t="inlineStr">
        <is>
          <t>2006-03-28</t>
        </is>
      </c>
      <c r="V1545" t="inlineStr">
        <is>
          <t>2006-03-28</t>
        </is>
      </c>
      <c r="W1545" t="inlineStr">
        <is>
          <t>1991-09-12</t>
        </is>
      </c>
      <c r="X1545" t="inlineStr">
        <is>
          <t>1991-09-12</t>
        </is>
      </c>
      <c r="Y1545" t="n">
        <v>346</v>
      </c>
      <c r="Z1545" t="n">
        <v>279</v>
      </c>
      <c r="AA1545" t="n">
        <v>584</v>
      </c>
      <c r="AB1545" t="n">
        <v>3</v>
      </c>
      <c r="AC1545" t="n">
        <v>5</v>
      </c>
      <c r="AD1545" t="n">
        <v>13</v>
      </c>
      <c r="AE1545" t="n">
        <v>26</v>
      </c>
      <c r="AF1545" t="n">
        <v>3</v>
      </c>
      <c r="AG1545" t="n">
        <v>11</v>
      </c>
      <c r="AH1545" t="n">
        <v>5</v>
      </c>
      <c r="AI1545" t="n">
        <v>8</v>
      </c>
      <c r="AJ1545" t="n">
        <v>6</v>
      </c>
      <c r="AK1545" t="n">
        <v>11</v>
      </c>
      <c r="AL1545" t="n">
        <v>2</v>
      </c>
      <c r="AM1545" t="n">
        <v>3</v>
      </c>
      <c r="AN1545" t="n">
        <v>0</v>
      </c>
      <c r="AO1545" t="n">
        <v>0</v>
      </c>
      <c r="AP1545" t="inlineStr">
        <is>
          <t>No</t>
        </is>
      </c>
      <c r="AQ1545" t="inlineStr">
        <is>
          <t>Yes</t>
        </is>
      </c>
      <c r="AR1545">
        <f>HYPERLINK("http://catalog.hathitrust.org/Record/000743585","HathiTrust Record")</f>
        <v/>
      </c>
      <c r="AS1545">
        <f>HYPERLINK("https://creighton-primo.hosted.exlibrisgroup.com/primo-explore/search?tab=default_tab&amp;search_scope=EVERYTHING&amp;vid=01CRU&amp;lang=en_US&amp;offset=0&amp;query=any,contains,991004947819702656","Catalog Record")</f>
        <v/>
      </c>
      <c r="AT1545">
        <f>HYPERLINK("http://www.worldcat.org/oclc/6222979","WorldCat Record")</f>
        <v/>
      </c>
      <c r="AU1545" t="inlineStr">
        <is>
          <t>21447263:eng</t>
        </is>
      </c>
      <c r="AV1545" t="inlineStr">
        <is>
          <t>6222979</t>
        </is>
      </c>
      <c r="AW1545" t="inlineStr">
        <is>
          <t>991004947819702656</t>
        </is>
      </c>
      <c r="AX1545" t="inlineStr">
        <is>
          <t>991004947819702656</t>
        </is>
      </c>
      <c r="AY1545" t="inlineStr">
        <is>
          <t>2268682420002656</t>
        </is>
      </c>
      <c r="AZ1545" t="inlineStr">
        <is>
          <t>BOOK</t>
        </is>
      </c>
      <c r="BB1545" t="inlineStr">
        <is>
          <t>9780813114170</t>
        </is>
      </c>
      <c r="BC1545" t="inlineStr">
        <is>
          <t>32285000651322</t>
        </is>
      </c>
      <c r="BD1545" t="inlineStr">
        <is>
          <t>893501123</t>
        </is>
      </c>
    </row>
    <row r="1546">
      <c r="A1546" t="inlineStr">
        <is>
          <t>No</t>
        </is>
      </c>
      <c r="B1546" t="inlineStr">
        <is>
          <t>DK750 .K91 1973a</t>
        </is>
      </c>
      <c r="C1546" t="inlineStr">
        <is>
          <t>0                      DK 0750000K  91          1973a</t>
        </is>
      </c>
      <c r="D1546" t="inlineStr">
        <is>
          <t>Russia in Asia : a record and a study, 1558-1899 / by Alexis Krausse.</t>
        </is>
      </c>
      <c r="F1546" t="inlineStr">
        <is>
          <t>No</t>
        </is>
      </c>
      <c r="G1546" t="inlineStr">
        <is>
          <t>1</t>
        </is>
      </c>
      <c r="H1546" t="inlineStr">
        <is>
          <t>No</t>
        </is>
      </c>
      <c r="I1546" t="inlineStr">
        <is>
          <t>No</t>
        </is>
      </c>
      <c r="J1546" t="inlineStr">
        <is>
          <t>0</t>
        </is>
      </c>
      <c r="K1546" t="inlineStr">
        <is>
          <t>Krausse, Alexis Sidney, 1859-1904.</t>
        </is>
      </c>
      <c r="L1546" t="inlineStr">
        <is>
          <t>London : Curzon Press ; New York : Barnes &amp; Noble, 1973.</t>
        </is>
      </c>
      <c r="M1546" t="inlineStr">
        <is>
          <t>1973</t>
        </is>
      </c>
      <c r="N1546" t="inlineStr">
        <is>
          <t>2nd ed.</t>
        </is>
      </c>
      <c r="O1546" t="inlineStr">
        <is>
          <t>eng</t>
        </is>
      </c>
      <c r="P1546" t="inlineStr">
        <is>
          <t>enk</t>
        </is>
      </c>
      <c r="R1546" t="inlineStr">
        <is>
          <t xml:space="preserve">DK </t>
        </is>
      </c>
      <c r="S1546" t="n">
        <v>0</v>
      </c>
      <c r="T1546" t="n">
        <v>0</v>
      </c>
      <c r="U1546" t="inlineStr">
        <is>
          <t>2006-10-16</t>
        </is>
      </c>
      <c r="V1546" t="inlineStr">
        <is>
          <t>2006-10-16</t>
        </is>
      </c>
      <c r="W1546" t="inlineStr">
        <is>
          <t>1995-08-09</t>
        </is>
      </c>
      <c r="X1546" t="inlineStr">
        <is>
          <t>1995-08-09</t>
        </is>
      </c>
      <c r="Y1546" t="n">
        <v>186</v>
      </c>
      <c r="Z1546" t="n">
        <v>145</v>
      </c>
      <c r="AA1546" t="n">
        <v>293</v>
      </c>
      <c r="AB1546" t="n">
        <v>2</v>
      </c>
      <c r="AC1546" t="n">
        <v>3</v>
      </c>
      <c r="AD1546" t="n">
        <v>7</v>
      </c>
      <c r="AE1546" t="n">
        <v>13</v>
      </c>
      <c r="AF1546" t="n">
        <v>1</v>
      </c>
      <c r="AG1546" t="n">
        <v>3</v>
      </c>
      <c r="AH1546" t="n">
        <v>4</v>
      </c>
      <c r="AI1546" t="n">
        <v>6</v>
      </c>
      <c r="AJ1546" t="n">
        <v>3</v>
      </c>
      <c r="AK1546" t="n">
        <v>6</v>
      </c>
      <c r="AL1546" t="n">
        <v>1</v>
      </c>
      <c r="AM1546" t="n">
        <v>2</v>
      </c>
      <c r="AN1546" t="n">
        <v>0</v>
      </c>
      <c r="AO1546" t="n">
        <v>0</v>
      </c>
      <c r="AP1546" t="inlineStr">
        <is>
          <t>No</t>
        </is>
      </c>
      <c r="AQ1546" t="inlineStr">
        <is>
          <t>Yes</t>
        </is>
      </c>
      <c r="AR1546">
        <f>HYPERLINK("http://catalog.hathitrust.org/Record/004408953","HathiTrust Record")</f>
        <v/>
      </c>
      <c r="AS1546">
        <f>HYPERLINK("https://creighton-primo.hosted.exlibrisgroup.com/primo-explore/search?tab=default_tab&amp;search_scope=EVERYTHING&amp;vid=01CRU&amp;lang=en_US&amp;offset=0&amp;query=any,contains,991003480039702656","Catalog Record")</f>
        <v/>
      </c>
      <c r="AT1546">
        <f>HYPERLINK("http://www.worldcat.org/oclc/1026812","WorldCat Record")</f>
        <v/>
      </c>
      <c r="AU1546" t="inlineStr">
        <is>
          <t>1612722:eng</t>
        </is>
      </c>
      <c r="AV1546" t="inlineStr">
        <is>
          <t>1026812</t>
        </is>
      </c>
      <c r="AW1546" t="inlineStr">
        <is>
          <t>991003480039702656</t>
        </is>
      </c>
      <c r="AX1546" t="inlineStr">
        <is>
          <t>991003480039702656</t>
        </is>
      </c>
      <c r="AY1546" t="inlineStr">
        <is>
          <t>2257164410002656</t>
        </is>
      </c>
      <c r="AZ1546" t="inlineStr">
        <is>
          <t>BOOK</t>
        </is>
      </c>
      <c r="BB1546" t="inlineStr">
        <is>
          <t>9780064939539</t>
        </is>
      </c>
      <c r="BC1546" t="inlineStr">
        <is>
          <t>32285002062924</t>
        </is>
      </c>
      <c r="BD1546" t="inlineStr">
        <is>
          <t>893499336</t>
        </is>
      </c>
    </row>
    <row r="1547">
      <c r="A1547" t="inlineStr">
        <is>
          <t>No</t>
        </is>
      </c>
      <c r="B1547" t="inlineStr">
        <is>
          <t>DK761 .L56 1994</t>
        </is>
      </c>
      <c r="C1547" t="inlineStr">
        <is>
          <t>0                      DK 0761000L  56          1994</t>
        </is>
      </c>
      <c r="D1547" t="inlineStr">
        <is>
          <t>The conquest of a continent : Siberia and the Russians / W. Bruce Lincoln.</t>
        </is>
      </c>
      <c r="F1547" t="inlineStr">
        <is>
          <t>No</t>
        </is>
      </c>
      <c r="G1547" t="inlineStr">
        <is>
          <t>1</t>
        </is>
      </c>
      <c r="H1547" t="inlineStr">
        <is>
          <t>No</t>
        </is>
      </c>
      <c r="I1547" t="inlineStr">
        <is>
          <t>No</t>
        </is>
      </c>
      <c r="J1547" t="inlineStr">
        <is>
          <t>0</t>
        </is>
      </c>
      <c r="K1547" t="inlineStr">
        <is>
          <t>Lincoln, W. Bruce.</t>
        </is>
      </c>
      <c r="L1547" t="inlineStr">
        <is>
          <t>New York : Random House, c1994.</t>
        </is>
      </c>
      <c r="M1547" t="inlineStr">
        <is>
          <t>1994</t>
        </is>
      </c>
      <c r="N1547" t="inlineStr">
        <is>
          <t>1st ed.</t>
        </is>
      </c>
      <c r="O1547" t="inlineStr">
        <is>
          <t>eng</t>
        </is>
      </c>
      <c r="P1547" t="inlineStr">
        <is>
          <t>nyu</t>
        </is>
      </c>
      <c r="R1547" t="inlineStr">
        <is>
          <t xml:space="preserve">DK </t>
        </is>
      </c>
      <c r="S1547" t="n">
        <v>0</v>
      </c>
      <c r="T1547" t="n">
        <v>0</v>
      </c>
      <c r="U1547" t="inlineStr">
        <is>
          <t>2009-06-03</t>
        </is>
      </c>
      <c r="V1547" t="inlineStr">
        <is>
          <t>2009-06-03</t>
        </is>
      </c>
      <c r="W1547" t="inlineStr">
        <is>
          <t>1994-05-11</t>
        </is>
      </c>
      <c r="X1547" t="inlineStr">
        <is>
          <t>1994-05-11</t>
        </is>
      </c>
      <c r="Y1547" t="n">
        <v>1078</v>
      </c>
      <c r="Z1547" t="n">
        <v>971</v>
      </c>
      <c r="AA1547" t="n">
        <v>1031</v>
      </c>
      <c r="AB1547" t="n">
        <v>4</v>
      </c>
      <c r="AC1547" t="n">
        <v>4</v>
      </c>
      <c r="AD1547" t="n">
        <v>32</v>
      </c>
      <c r="AE1547" t="n">
        <v>34</v>
      </c>
      <c r="AF1547" t="n">
        <v>13</v>
      </c>
      <c r="AG1547" t="n">
        <v>14</v>
      </c>
      <c r="AH1547" t="n">
        <v>11</v>
      </c>
      <c r="AI1547" t="n">
        <v>11</v>
      </c>
      <c r="AJ1547" t="n">
        <v>16</v>
      </c>
      <c r="AK1547" t="n">
        <v>17</v>
      </c>
      <c r="AL1547" t="n">
        <v>3</v>
      </c>
      <c r="AM1547" t="n">
        <v>3</v>
      </c>
      <c r="AN1547" t="n">
        <v>0</v>
      </c>
      <c r="AO1547" t="n">
        <v>0</v>
      </c>
      <c r="AP1547" t="inlineStr">
        <is>
          <t>No</t>
        </is>
      </c>
      <c r="AQ1547" t="inlineStr">
        <is>
          <t>Yes</t>
        </is>
      </c>
      <c r="AR1547">
        <f>HYPERLINK("http://catalog.hathitrust.org/Record/002789839","HathiTrust Record")</f>
        <v/>
      </c>
      <c r="AS1547">
        <f>HYPERLINK("https://creighton-primo.hosted.exlibrisgroup.com/primo-explore/search?tab=default_tab&amp;search_scope=EVERYTHING&amp;vid=01CRU&amp;lang=en_US&amp;offset=0&amp;query=any,contains,991002145769702656","Catalog Record")</f>
        <v/>
      </c>
      <c r="AT1547">
        <f>HYPERLINK("http://www.worldcat.org/oclc/27641949","WorldCat Record")</f>
        <v/>
      </c>
      <c r="AU1547" t="inlineStr">
        <is>
          <t>395899:eng</t>
        </is>
      </c>
      <c r="AV1547" t="inlineStr">
        <is>
          <t>27641949</t>
        </is>
      </c>
      <c r="AW1547" t="inlineStr">
        <is>
          <t>991002145769702656</t>
        </is>
      </c>
      <c r="AX1547" t="inlineStr">
        <is>
          <t>991002145769702656</t>
        </is>
      </c>
      <c r="AY1547" t="inlineStr">
        <is>
          <t>2255673900002656</t>
        </is>
      </c>
      <c r="AZ1547" t="inlineStr">
        <is>
          <t>BOOK</t>
        </is>
      </c>
      <c r="BB1547" t="inlineStr">
        <is>
          <t>9780679412144</t>
        </is>
      </c>
      <c r="BC1547" t="inlineStr">
        <is>
          <t>32285001896199</t>
        </is>
      </c>
      <c r="BD1547" t="inlineStr">
        <is>
          <t>893250867</t>
        </is>
      </c>
    </row>
    <row r="1548">
      <c r="A1548" t="inlineStr">
        <is>
          <t>No</t>
        </is>
      </c>
      <c r="B1548" t="inlineStr">
        <is>
          <t>DL1032 .K53 2006</t>
        </is>
      </c>
      <c r="C1548" t="inlineStr">
        <is>
          <t>0                      DL 1032000K  53          2006</t>
        </is>
      </c>
      <c r="D1548" t="inlineStr">
        <is>
          <t>A concise history of Finland / David Kirby.</t>
        </is>
      </c>
      <c r="F1548" t="inlineStr">
        <is>
          <t>No</t>
        </is>
      </c>
      <c r="G1548" t="inlineStr">
        <is>
          <t>1</t>
        </is>
      </c>
      <c r="H1548" t="inlineStr">
        <is>
          <t>No</t>
        </is>
      </c>
      <c r="I1548" t="inlineStr">
        <is>
          <t>No</t>
        </is>
      </c>
      <c r="J1548" t="inlineStr">
        <is>
          <t>0</t>
        </is>
      </c>
      <c r="K1548" t="inlineStr">
        <is>
          <t>Kirby, D. G.</t>
        </is>
      </c>
      <c r="L1548" t="inlineStr">
        <is>
          <t>Cambridge, UK ; New York : Cambridge University Press, 2006.</t>
        </is>
      </c>
      <c r="M1548" t="inlineStr">
        <is>
          <t>2006</t>
        </is>
      </c>
      <c r="O1548" t="inlineStr">
        <is>
          <t>eng</t>
        </is>
      </c>
      <c r="P1548" t="inlineStr">
        <is>
          <t>enk</t>
        </is>
      </c>
      <c r="Q1548" t="inlineStr">
        <is>
          <t>Cambridge concise histories</t>
        </is>
      </c>
      <c r="R1548" t="inlineStr">
        <is>
          <t xml:space="preserve">DL </t>
        </is>
      </c>
      <c r="S1548" t="n">
        <v>3</v>
      </c>
      <c r="T1548" t="n">
        <v>3</v>
      </c>
      <c r="U1548" t="inlineStr">
        <is>
          <t>2010-07-29</t>
        </is>
      </c>
      <c r="V1548" t="inlineStr">
        <is>
          <t>2010-07-29</t>
        </is>
      </c>
      <c r="W1548" t="inlineStr">
        <is>
          <t>2008-05-07</t>
        </is>
      </c>
      <c r="X1548" t="inlineStr">
        <is>
          <t>2008-05-07</t>
        </is>
      </c>
      <c r="Y1548" t="n">
        <v>745</v>
      </c>
      <c r="Z1548" t="n">
        <v>609</v>
      </c>
      <c r="AA1548" t="n">
        <v>628</v>
      </c>
      <c r="AB1548" t="n">
        <v>6</v>
      </c>
      <c r="AC1548" t="n">
        <v>6</v>
      </c>
      <c r="AD1548" t="n">
        <v>26</v>
      </c>
      <c r="AE1548" t="n">
        <v>26</v>
      </c>
      <c r="AF1548" t="n">
        <v>11</v>
      </c>
      <c r="AG1548" t="n">
        <v>11</v>
      </c>
      <c r="AH1548" t="n">
        <v>6</v>
      </c>
      <c r="AI1548" t="n">
        <v>6</v>
      </c>
      <c r="AJ1548" t="n">
        <v>9</v>
      </c>
      <c r="AK1548" t="n">
        <v>9</v>
      </c>
      <c r="AL1548" t="n">
        <v>5</v>
      </c>
      <c r="AM1548" t="n">
        <v>5</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HYPERLINK("https://creighton-primo.hosted.exlibrisgroup.com/primo-explore/search?tab=default_tab&amp;search_scope=EVERYTHING&amp;vid=01CRU&amp;lang=en_US&amp;offset=0&amp;query=any,contains,991005211809702656","Catalog Record")</f>
        <v/>
      </c>
      <c r="AT1548">
        <f>HYPERLINK("http://www.worldcat.org/oclc/65203214","WorldCat Record")</f>
        <v/>
      </c>
      <c r="AU1548" t="inlineStr">
        <is>
          <t>148315362:eng</t>
        </is>
      </c>
      <c r="AV1548" t="inlineStr">
        <is>
          <t>65203214</t>
        </is>
      </c>
      <c r="AW1548" t="inlineStr">
        <is>
          <t>991005211809702656</t>
        </is>
      </c>
      <c r="AX1548" t="inlineStr">
        <is>
          <t>991005211809702656</t>
        </is>
      </c>
      <c r="AY1548" t="inlineStr">
        <is>
          <t>2255406150002656</t>
        </is>
      </c>
      <c r="AZ1548" t="inlineStr">
        <is>
          <t>BOOK</t>
        </is>
      </c>
      <c r="BB1548" t="inlineStr">
        <is>
          <t>9780521539890</t>
        </is>
      </c>
      <c r="BC1548" t="inlineStr">
        <is>
          <t>32285005405575</t>
        </is>
      </c>
      <c r="BD1548" t="inlineStr">
        <is>
          <t>893613312</t>
        </is>
      </c>
    </row>
    <row r="1549">
      <c r="A1549" t="inlineStr">
        <is>
          <t>No</t>
        </is>
      </c>
      <c r="B1549" t="inlineStr">
        <is>
          <t>DL1032 .S55 1989</t>
        </is>
      </c>
      <c r="C1549" t="inlineStr">
        <is>
          <t>0                      DL 1032000S  55          1989</t>
        </is>
      </c>
      <c r="D1549" t="inlineStr">
        <is>
          <t>A short history of Finland / Fred Singleton.</t>
        </is>
      </c>
      <c r="F1549" t="inlineStr">
        <is>
          <t>No</t>
        </is>
      </c>
      <c r="G1549" t="inlineStr">
        <is>
          <t>1</t>
        </is>
      </c>
      <c r="H1549" t="inlineStr">
        <is>
          <t>No</t>
        </is>
      </c>
      <c r="I1549" t="inlineStr">
        <is>
          <t>No</t>
        </is>
      </c>
      <c r="J1549" t="inlineStr">
        <is>
          <t>0</t>
        </is>
      </c>
      <c r="K1549" t="inlineStr">
        <is>
          <t>Singleton, Frederick Bernard.</t>
        </is>
      </c>
      <c r="L1549" t="inlineStr">
        <is>
          <t>Cambridge ; New York : Cambridge University Press, 1989.</t>
        </is>
      </c>
      <c r="M1549" t="inlineStr">
        <is>
          <t>1989</t>
        </is>
      </c>
      <c r="O1549" t="inlineStr">
        <is>
          <t>eng</t>
        </is>
      </c>
      <c r="P1549" t="inlineStr">
        <is>
          <t>enk</t>
        </is>
      </c>
      <c r="R1549" t="inlineStr">
        <is>
          <t xml:space="preserve">DL </t>
        </is>
      </c>
      <c r="S1549" t="n">
        <v>1</v>
      </c>
      <c r="T1549" t="n">
        <v>1</v>
      </c>
      <c r="U1549" t="inlineStr">
        <is>
          <t>2010-07-29</t>
        </is>
      </c>
      <c r="V1549" t="inlineStr">
        <is>
          <t>2010-07-29</t>
        </is>
      </c>
      <c r="W1549" t="inlineStr">
        <is>
          <t>1991-06-11</t>
        </is>
      </c>
      <c r="X1549" t="inlineStr">
        <is>
          <t>1991-06-11</t>
        </is>
      </c>
      <c r="Y1549" t="n">
        <v>779</v>
      </c>
      <c r="Z1549" t="n">
        <v>599</v>
      </c>
      <c r="AA1549" t="n">
        <v>809</v>
      </c>
      <c r="AB1549" t="n">
        <v>7</v>
      </c>
      <c r="AC1549" t="n">
        <v>9</v>
      </c>
      <c r="AD1549" t="n">
        <v>23</v>
      </c>
      <c r="AE1549" t="n">
        <v>33</v>
      </c>
      <c r="AF1549" t="n">
        <v>7</v>
      </c>
      <c r="AG1549" t="n">
        <v>13</v>
      </c>
      <c r="AH1549" t="n">
        <v>5</v>
      </c>
      <c r="AI1549" t="n">
        <v>8</v>
      </c>
      <c r="AJ1549" t="n">
        <v>13</v>
      </c>
      <c r="AK1549" t="n">
        <v>14</v>
      </c>
      <c r="AL1549" t="n">
        <v>4</v>
      </c>
      <c r="AM1549" t="n">
        <v>6</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HYPERLINK("https://creighton-primo.hosted.exlibrisgroup.com/primo-explore/search?tab=default_tab&amp;search_scope=EVERYTHING&amp;vid=01CRU&amp;lang=en_US&amp;offset=0&amp;query=any,contains,991001457049702656","Catalog Record")</f>
        <v/>
      </c>
      <c r="AT1549">
        <f>HYPERLINK("http://www.worldcat.org/oclc/19388670","WorldCat Record")</f>
        <v/>
      </c>
      <c r="AU1549" t="inlineStr">
        <is>
          <t>909135:eng</t>
        </is>
      </c>
      <c r="AV1549" t="inlineStr">
        <is>
          <t>19388670</t>
        </is>
      </c>
      <c r="AW1549" t="inlineStr">
        <is>
          <t>991001457049702656</t>
        </is>
      </c>
      <c r="AX1549" t="inlineStr">
        <is>
          <t>991001457049702656</t>
        </is>
      </c>
      <c r="AY1549" t="inlineStr">
        <is>
          <t>2258699280002656</t>
        </is>
      </c>
      <c r="AZ1549" t="inlineStr">
        <is>
          <t>BOOK</t>
        </is>
      </c>
      <c r="BB1549" t="inlineStr">
        <is>
          <t>9780521311366</t>
        </is>
      </c>
      <c r="BC1549" t="inlineStr">
        <is>
          <t>32285000594159</t>
        </is>
      </c>
      <c r="BD1549" t="inlineStr">
        <is>
          <t>893444695</t>
        </is>
      </c>
    </row>
    <row r="1550">
      <c r="A1550" t="inlineStr">
        <is>
          <t>No</t>
        </is>
      </c>
      <c r="B1550" t="inlineStr">
        <is>
          <t>DL121 .G613 1971b</t>
        </is>
      </c>
      <c r="C1550" t="inlineStr">
        <is>
          <t>0                      DL 0121000G  613         1971b</t>
        </is>
      </c>
      <c r="D1550" t="inlineStr">
        <is>
          <t>Denmark; an archaeological history from the stone age to the Vikings [by] P. V. Glob. Translated from the Danish by Joan Bulman.</t>
        </is>
      </c>
      <c r="F1550" t="inlineStr">
        <is>
          <t>No</t>
        </is>
      </c>
      <c r="G1550" t="inlineStr">
        <is>
          <t>1</t>
        </is>
      </c>
      <c r="H1550" t="inlineStr">
        <is>
          <t>No</t>
        </is>
      </c>
      <c r="I1550" t="inlineStr">
        <is>
          <t>No</t>
        </is>
      </c>
      <c r="J1550" t="inlineStr">
        <is>
          <t>0</t>
        </is>
      </c>
      <c r="K1550" t="inlineStr">
        <is>
          <t>Glob, P. V. (Peter Vilhelm), 1911-1985.</t>
        </is>
      </c>
      <c r="L1550" t="inlineStr">
        <is>
          <t>Ithaca, N.Y., Cornell University Press [1971]</t>
        </is>
      </c>
      <c r="M1550" t="inlineStr">
        <is>
          <t>1971</t>
        </is>
      </c>
      <c r="O1550" t="inlineStr">
        <is>
          <t>eng</t>
        </is>
      </c>
      <c r="P1550" t="inlineStr">
        <is>
          <t>nyu</t>
        </is>
      </c>
      <c r="R1550" t="inlineStr">
        <is>
          <t xml:space="preserve">DL </t>
        </is>
      </c>
      <c r="S1550" t="n">
        <v>2</v>
      </c>
      <c r="T1550" t="n">
        <v>2</v>
      </c>
      <c r="U1550" t="inlineStr">
        <is>
          <t>2002-11-16</t>
        </is>
      </c>
      <c r="V1550" t="inlineStr">
        <is>
          <t>2002-11-16</t>
        </is>
      </c>
      <c r="W1550" t="inlineStr">
        <is>
          <t>1997-02-12</t>
        </is>
      </c>
      <c r="X1550" t="inlineStr">
        <is>
          <t>1997-02-12</t>
        </is>
      </c>
      <c r="Y1550" t="n">
        <v>487</v>
      </c>
      <c r="Z1550" t="n">
        <v>450</v>
      </c>
      <c r="AA1550" t="n">
        <v>475</v>
      </c>
      <c r="AB1550" t="n">
        <v>7</v>
      </c>
      <c r="AC1550" t="n">
        <v>7</v>
      </c>
      <c r="AD1550" t="n">
        <v>20</v>
      </c>
      <c r="AE1550" t="n">
        <v>20</v>
      </c>
      <c r="AF1550" t="n">
        <v>5</v>
      </c>
      <c r="AG1550" t="n">
        <v>5</v>
      </c>
      <c r="AH1550" t="n">
        <v>5</v>
      </c>
      <c r="AI1550" t="n">
        <v>5</v>
      </c>
      <c r="AJ1550" t="n">
        <v>10</v>
      </c>
      <c r="AK1550" t="n">
        <v>10</v>
      </c>
      <c r="AL1550" t="n">
        <v>5</v>
      </c>
      <c r="AM1550" t="n">
        <v>5</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HYPERLINK("https://creighton-primo.hosted.exlibrisgroup.com/primo-explore/search?tab=default_tab&amp;search_scope=EVERYTHING&amp;vid=01CRU&amp;lang=en_US&amp;offset=0&amp;query=any,contains,991000826349702656","Catalog Record")</f>
        <v/>
      </c>
      <c r="AT1550">
        <f>HYPERLINK("http://www.worldcat.org/oclc/146194","WorldCat Record")</f>
        <v/>
      </c>
      <c r="AU1550" t="inlineStr">
        <is>
          <t>161775778:eng</t>
        </is>
      </c>
      <c r="AV1550" t="inlineStr">
        <is>
          <t>146194</t>
        </is>
      </c>
      <c r="AW1550" t="inlineStr">
        <is>
          <t>991000826349702656</t>
        </is>
      </c>
      <c r="AX1550" t="inlineStr">
        <is>
          <t>991000826349702656</t>
        </is>
      </c>
      <c r="AY1550" t="inlineStr">
        <is>
          <t>2256218120002656</t>
        </is>
      </c>
      <c r="AZ1550" t="inlineStr">
        <is>
          <t>BOOK</t>
        </is>
      </c>
      <c r="BB1550" t="inlineStr">
        <is>
          <t>9780801406416</t>
        </is>
      </c>
      <c r="BC1550" t="inlineStr">
        <is>
          <t>32285002435831</t>
        </is>
      </c>
      <c r="BD1550" t="inlineStr">
        <is>
          <t>893690074</t>
        </is>
      </c>
    </row>
    <row r="1551">
      <c r="A1551" t="inlineStr">
        <is>
          <t>No</t>
        </is>
      </c>
      <c r="B1551" t="inlineStr">
        <is>
          <t>DL148 .B5 1975</t>
        </is>
      </c>
      <c r="C1551" t="inlineStr">
        <is>
          <t>0                      DL 0148000B  5           1975</t>
        </is>
      </c>
      <c r="D1551" t="inlineStr">
        <is>
          <t>Denmark in history / by J. H. S. Birch.</t>
        </is>
      </c>
      <c r="F1551" t="inlineStr">
        <is>
          <t>No</t>
        </is>
      </c>
      <c r="G1551" t="inlineStr">
        <is>
          <t>1</t>
        </is>
      </c>
      <c r="H1551" t="inlineStr">
        <is>
          <t>No</t>
        </is>
      </c>
      <c r="I1551" t="inlineStr">
        <is>
          <t>No</t>
        </is>
      </c>
      <c r="J1551" t="inlineStr">
        <is>
          <t>0</t>
        </is>
      </c>
      <c r="K1551" t="inlineStr">
        <is>
          <t>Birch, John Henry Stopford, 1883-1949.</t>
        </is>
      </c>
      <c r="L1551" t="inlineStr">
        <is>
          <t>Westport, Conn. : Greenwood Press, 1975.</t>
        </is>
      </c>
      <c r="M1551" t="inlineStr">
        <is>
          <t>1975</t>
        </is>
      </c>
      <c r="O1551" t="inlineStr">
        <is>
          <t>eng</t>
        </is>
      </c>
      <c r="P1551" t="inlineStr">
        <is>
          <t>ctu</t>
        </is>
      </c>
      <c r="R1551" t="inlineStr">
        <is>
          <t xml:space="preserve">DL </t>
        </is>
      </c>
      <c r="S1551" t="n">
        <v>2</v>
      </c>
      <c r="T1551" t="n">
        <v>2</v>
      </c>
      <c r="U1551" t="inlineStr">
        <is>
          <t>2002-11-16</t>
        </is>
      </c>
      <c r="V1551" t="inlineStr">
        <is>
          <t>2002-11-16</t>
        </is>
      </c>
      <c r="W1551" t="inlineStr">
        <is>
          <t>1997-02-12</t>
        </is>
      </c>
      <c r="X1551" t="inlineStr">
        <is>
          <t>1997-02-12</t>
        </is>
      </c>
      <c r="Y1551" t="n">
        <v>82</v>
      </c>
      <c r="Z1551" t="n">
        <v>73</v>
      </c>
      <c r="AA1551" t="n">
        <v>206</v>
      </c>
      <c r="AB1551" t="n">
        <v>2</v>
      </c>
      <c r="AC1551" t="n">
        <v>2</v>
      </c>
      <c r="AD1551" t="n">
        <v>5</v>
      </c>
      <c r="AE1551" t="n">
        <v>7</v>
      </c>
      <c r="AF1551" t="n">
        <v>0</v>
      </c>
      <c r="AG1551" t="n">
        <v>0</v>
      </c>
      <c r="AH1551" t="n">
        <v>3</v>
      </c>
      <c r="AI1551" t="n">
        <v>3</v>
      </c>
      <c r="AJ1551" t="n">
        <v>2</v>
      </c>
      <c r="AK1551" t="n">
        <v>4</v>
      </c>
      <c r="AL1551" t="n">
        <v>1</v>
      </c>
      <c r="AM1551" t="n">
        <v>1</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HYPERLINK("https://creighton-primo.hosted.exlibrisgroup.com/primo-explore/search?tab=default_tab&amp;search_scope=EVERYTHING&amp;vid=01CRU&amp;lang=en_US&amp;offset=0&amp;query=any,contains,991003802179702656","Catalog Record")</f>
        <v/>
      </c>
      <c r="AT1551">
        <f>HYPERLINK("http://www.worldcat.org/oclc/1528314","WorldCat Record")</f>
        <v/>
      </c>
      <c r="AU1551" t="inlineStr">
        <is>
          <t>348741185:eng</t>
        </is>
      </c>
      <c r="AV1551" t="inlineStr">
        <is>
          <t>1528314</t>
        </is>
      </c>
      <c r="AW1551" t="inlineStr">
        <is>
          <t>991003802179702656</t>
        </is>
      </c>
      <c r="AX1551" t="inlineStr">
        <is>
          <t>991003802179702656</t>
        </is>
      </c>
      <c r="AY1551" t="inlineStr">
        <is>
          <t>2257333590002656</t>
        </is>
      </c>
      <c r="AZ1551" t="inlineStr">
        <is>
          <t>BOOK</t>
        </is>
      </c>
      <c r="BB1551" t="inlineStr">
        <is>
          <t>9780837182544</t>
        </is>
      </c>
      <c r="BC1551" t="inlineStr">
        <is>
          <t>32285002435856</t>
        </is>
      </c>
      <c r="BD1551" t="inlineStr">
        <is>
          <t>893705648</t>
        </is>
      </c>
    </row>
    <row r="1552">
      <c r="A1552" t="inlineStr">
        <is>
          <t>No</t>
        </is>
      </c>
      <c r="B1552" t="inlineStr">
        <is>
          <t>DL148 .O2 1972</t>
        </is>
      </c>
      <c r="C1552" t="inlineStr">
        <is>
          <t>0                      DL 0148000O  2           1972</t>
        </is>
      </c>
      <c r="D1552" t="inlineStr">
        <is>
          <t>A short history of Denmark.</t>
        </is>
      </c>
      <c r="F1552" t="inlineStr">
        <is>
          <t>No</t>
        </is>
      </c>
      <c r="G1552" t="inlineStr">
        <is>
          <t>1</t>
        </is>
      </c>
      <c r="H1552" t="inlineStr">
        <is>
          <t>No</t>
        </is>
      </c>
      <c r="I1552" t="inlineStr">
        <is>
          <t>No</t>
        </is>
      </c>
      <c r="J1552" t="inlineStr">
        <is>
          <t>0</t>
        </is>
      </c>
      <c r="K1552" t="inlineStr">
        <is>
          <t>Oakley, Stewart P.</t>
        </is>
      </c>
      <c r="L1552" t="inlineStr">
        <is>
          <t>New York : Praeger Publishers, [1972]</t>
        </is>
      </c>
      <c r="M1552" t="inlineStr">
        <is>
          <t>1972</t>
        </is>
      </c>
      <c r="O1552" t="inlineStr">
        <is>
          <t>eng</t>
        </is>
      </c>
      <c r="P1552" t="inlineStr">
        <is>
          <t>nyu</t>
        </is>
      </c>
      <c r="R1552" t="inlineStr">
        <is>
          <t xml:space="preserve">DL </t>
        </is>
      </c>
      <c r="S1552" t="n">
        <v>9</v>
      </c>
      <c r="T1552" t="n">
        <v>9</v>
      </c>
      <c r="U1552" t="inlineStr">
        <is>
          <t>2008-05-02</t>
        </is>
      </c>
      <c r="V1552" t="inlineStr">
        <is>
          <t>2008-05-02</t>
        </is>
      </c>
      <c r="W1552" t="inlineStr">
        <is>
          <t>1992-03-13</t>
        </is>
      </c>
      <c r="X1552" t="inlineStr">
        <is>
          <t>1992-03-13</t>
        </is>
      </c>
      <c r="Y1552" t="n">
        <v>592</v>
      </c>
      <c r="Z1552" t="n">
        <v>555</v>
      </c>
      <c r="AA1552" t="n">
        <v>558</v>
      </c>
      <c r="AB1552" t="n">
        <v>6</v>
      </c>
      <c r="AC1552" t="n">
        <v>6</v>
      </c>
      <c r="AD1552" t="n">
        <v>16</v>
      </c>
      <c r="AE1552" t="n">
        <v>16</v>
      </c>
      <c r="AF1552" t="n">
        <v>7</v>
      </c>
      <c r="AG1552" t="n">
        <v>7</v>
      </c>
      <c r="AH1552" t="n">
        <v>3</v>
      </c>
      <c r="AI1552" t="n">
        <v>3</v>
      </c>
      <c r="AJ1552" t="n">
        <v>7</v>
      </c>
      <c r="AK1552" t="n">
        <v>7</v>
      </c>
      <c r="AL1552" t="n">
        <v>4</v>
      </c>
      <c r="AM1552" t="n">
        <v>4</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HYPERLINK("https://creighton-primo.hosted.exlibrisgroup.com/primo-explore/search?tab=default_tab&amp;search_scope=EVERYTHING&amp;vid=01CRU&amp;lang=en_US&amp;offset=0&amp;query=any,contains,991002970489702656","Catalog Record")</f>
        <v/>
      </c>
      <c r="AT1552">
        <f>HYPERLINK("http://www.worldcat.org/oclc/548269","WorldCat Record")</f>
        <v/>
      </c>
      <c r="AU1552" t="inlineStr">
        <is>
          <t>3944249675:eng</t>
        </is>
      </c>
      <c r="AV1552" t="inlineStr">
        <is>
          <t>548269</t>
        </is>
      </c>
      <c r="AW1552" t="inlineStr">
        <is>
          <t>991002970489702656</t>
        </is>
      </c>
      <c r="AX1552" t="inlineStr">
        <is>
          <t>991002970489702656</t>
        </is>
      </c>
      <c r="AY1552" t="inlineStr">
        <is>
          <t>2262691270002656</t>
        </is>
      </c>
      <c r="AZ1552" t="inlineStr">
        <is>
          <t>BOOK</t>
        </is>
      </c>
      <c r="BC1552" t="inlineStr">
        <is>
          <t>32285000999424</t>
        </is>
      </c>
      <c r="BD1552" t="inlineStr">
        <is>
          <t>893335973</t>
        </is>
      </c>
    </row>
    <row r="1553">
      <c r="A1553" t="inlineStr">
        <is>
          <t>No</t>
        </is>
      </c>
      <c r="B1553" t="inlineStr">
        <is>
          <t>DL21 .K55</t>
        </is>
      </c>
      <c r="C1553" t="inlineStr">
        <is>
          <t>0                      DL 0021000K  55</t>
        </is>
      </c>
      <c r="D1553" t="inlineStr">
        <is>
          <t>Denmark before the Vikings.</t>
        </is>
      </c>
      <c r="F1553" t="inlineStr">
        <is>
          <t>No</t>
        </is>
      </c>
      <c r="G1553" t="inlineStr">
        <is>
          <t>1</t>
        </is>
      </c>
      <c r="H1553" t="inlineStr">
        <is>
          <t>No</t>
        </is>
      </c>
      <c r="I1553" t="inlineStr">
        <is>
          <t>No</t>
        </is>
      </c>
      <c r="J1553" t="inlineStr">
        <is>
          <t>0</t>
        </is>
      </c>
      <c r="K1553" t="inlineStr">
        <is>
          <t>Klindt-Jensen, Ole.</t>
        </is>
      </c>
      <c r="L1553" t="inlineStr">
        <is>
          <t>New York, Praeger, [1962]</t>
        </is>
      </c>
      <c r="M1553" t="inlineStr">
        <is>
          <t>1962</t>
        </is>
      </c>
      <c r="O1553" t="inlineStr">
        <is>
          <t>eng</t>
        </is>
      </c>
      <c r="P1553" t="inlineStr">
        <is>
          <t>nyu</t>
        </is>
      </c>
      <c r="Q1553" t="inlineStr">
        <is>
          <t>Ancient peoples and places ; v. 4</t>
        </is>
      </c>
      <c r="R1553" t="inlineStr">
        <is>
          <t xml:space="preserve">DL </t>
        </is>
      </c>
      <c r="S1553" t="n">
        <v>1</v>
      </c>
      <c r="T1553" t="n">
        <v>1</v>
      </c>
      <c r="U1553" t="inlineStr">
        <is>
          <t>2002-11-16</t>
        </is>
      </c>
      <c r="V1553" t="inlineStr">
        <is>
          <t>2002-11-16</t>
        </is>
      </c>
      <c r="W1553" t="inlineStr">
        <is>
          <t>1997-02-12</t>
        </is>
      </c>
      <c r="X1553" t="inlineStr">
        <is>
          <t>1997-02-12</t>
        </is>
      </c>
      <c r="Y1553" t="n">
        <v>31</v>
      </c>
      <c r="Z1553" t="n">
        <v>30</v>
      </c>
      <c r="AA1553" t="n">
        <v>661</v>
      </c>
      <c r="AB1553" t="n">
        <v>1</v>
      </c>
      <c r="AC1553" t="n">
        <v>6</v>
      </c>
      <c r="AD1553" t="n">
        <v>2</v>
      </c>
      <c r="AE1553" t="n">
        <v>25</v>
      </c>
      <c r="AF1553" t="n">
        <v>1</v>
      </c>
      <c r="AG1553" t="n">
        <v>9</v>
      </c>
      <c r="AH1553" t="n">
        <v>0</v>
      </c>
      <c r="AI1553" t="n">
        <v>5</v>
      </c>
      <c r="AJ1553" t="n">
        <v>2</v>
      </c>
      <c r="AK1553" t="n">
        <v>12</v>
      </c>
      <c r="AL1553" t="n">
        <v>0</v>
      </c>
      <c r="AM1553" t="n">
        <v>5</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HYPERLINK("https://creighton-primo.hosted.exlibrisgroup.com/primo-explore/search?tab=default_tab&amp;search_scope=EVERYTHING&amp;vid=01CRU&amp;lang=en_US&amp;offset=0&amp;query=any,contains,991005231719702656","Catalog Record")</f>
        <v/>
      </c>
      <c r="AT1553">
        <f>HYPERLINK("http://www.worldcat.org/oclc/8340566","WorldCat Record")</f>
        <v/>
      </c>
      <c r="AU1553" t="inlineStr">
        <is>
          <t>1543469:eng</t>
        </is>
      </c>
      <c r="AV1553" t="inlineStr">
        <is>
          <t>8340566</t>
        </is>
      </c>
      <c r="AW1553" t="inlineStr">
        <is>
          <t>991005231719702656</t>
        </is>
      </c>
      <c r="AX1553" t="inlineStr">
        <is>
          <t>991005231719702656</t>
        </is>
      </c>
      <c r="AY1553" t="inlineStr">
        <is>
          <t>2258269940002656</t>
        </is>
      </c>
      <c r="AZ1553" t="inlineStr">
        <is>
          <t>BOOK</t>
        </is>
      </c>
      <c r="BC1553" t="inlineStr">
        <is>
          <t>32285002435708</t>
        </is>
      </c>
      <c r="BD1553" t="inlineStr">
        <is>
          <t>893514292</t>
        </is>
      </c>
    </row>
    <row r="1554">
      <c r="A1554" t="inlineStr">
        <is>
          <t>No</t>
        </is>
      </c>
      <c r="B1554" t="inlineStr">
        <is>
          <t>DL31 .J6</t>
        </is>
      </c>
      <c r="C1554" t="inlineStr">
        <is>
          <t>0                      DL 0031000J  6</t>
        </is>
      </c>
      <c r="D1554" t="inlineStr">
        <is>
          <t>A history of the Vikings.</t>
        </is>
      </c>
      <c r="F1554" t="inlineStr">
        <is>
          <t>No</t>
        </is>
      </c>
      <c r="G1554" t="inlineStr">
        <is>
          <t>1</t>
        </is>
      </c>
      <c r="H1554" t="inlineStr">
        <is>
          <t>No</t>
        </is>
      </c>
      <c r="I1554" t="inlineStr">
        <is>
          <t>Yes</t>
        </is>
      </c>
      <c r="J1554" t="inlineStr">
        <is>
          <t>0</t>
        </is>
      </c>
      <c r="K1554" t="inlineStr">
        <is>
          <t>Jones, Gwyn, 1907-1999.</t>
        </is>
      </c>
      <c r="L1554" t="inlineStr">
        <is>
          <t>London ; New York : Oxford U.P., 1968.</t>
        </is>
      </c>
      <c r="M1554" t="inlineStr">
        <is>
          <t>1968</t>
        </is>
      </c>
      <c r="O1554" t="inlineStr">
        <is>
          <t>eng</t>
        </is>
      </c>
      <c r="P1554" t="inlineStr">
        <is>
          <t>enk</t>
        </is>
      </c>
      <c r="R1554" t="inlineStr">
        <is>
          <t xml:space="preserve">DL </t>
        </is>
      </c>
      <c r="S1554" t="n">
        <v>4</v>
      </c>
      <c r="T1554" t="n">
        <v>4</v>
      </c>
      <c r="U1554" t="inlineStr">
        <is>
          <t>2008-04-26</t>
        </is>
      </c>
      <c r="V1554" t="inlineStr">
        <is>
          <t>2008-04-26</t>
        </is>
      </c>
      <c r="W1554" t="inlineStr">
        <is>
          <t>1990-05-09</t>
        </is>
      </c>
      <c r="X1554" t="inlineStr">
        <is>
          <t>1990-05-09</t>
        </is>
      </c>
      <c r="Y1554" t="n">
        <v>1510</v>
      </c>
      <c r="Z1554" t="n">
        <v>1331</v>
      </c>
      <c r="AA1554" t="n">
        <v>2280</v>
      </c>
      <c r="AB1554" t="n">
        <v>11</v>
      </c>
      <c r="AC1554" t="n">
        <v>22</v>
      </c>
      <c r="AD1554" t="n">
        <v>44</v>
      </c>
      <c r="AE1554" t="n">
        <v>63</v>
      </c>
      <c r="AF1554" t="n">
        <v>18</v>
      </c>
      <c r="AG1554" t="n">
        <v>27</v>
      </c>
      <c r="AH1554" t="n">
        <v>9</v>
      </c>
      <c r="AI1554" t="n">
        <v>10</v>
      </c>
      <c r="AJ1554" t="n">
        <v>21</v>
      </c>
      <c r="AK1554" t="n">
        <v>26</v>
      </c>
      <c r="AL1554" t="n">
        <v>5</v>
      </c>
      <c r="AM1554" t="n">
        <v>13</v>
      </c>
      <c r="AN1554" t="n">
        <v>1</v>
      </c>
      <c r="AO1554" t="n">
        <v>1</v>
      </c>
      <c r="AP1554" t="inlineStr">
        <is>
          <t>No</t>
        </is>
      </c>
      <c r="AQ1554" t="inlineStr">
        <is>
          <t>Yes</t>
        </is>
      </c>
      <c r="AR1554">
        <f>HYPERLINK("http://catalog.hathitrust.org/Record/001235683","HathiTrust Record")</f>
        <v/>
      </c>
      <c r="AS1554">
        <f>HYPERLINK("https://creighton-primo.hosted.exlibrisgroup.com/primo-explore/search?tab=default_tab&amp;search_scope=EVERYTHING&amp;vid=01CRU&amp;lang=en_US&amp;offset=0&amp;query=any,contains,991002672059702656","Catalog Record")</f>
        <v/>
      </c>
      <c r="AT1554">
        <f>HYPERLINK("http://www.worldcat.org/oclc/395601","WorldCat Record")</f>
        <v/>
      </c>
      <c r="AU1554" t="inlineStr">
        <is>
          <t>136787381:eng</t>
        </is>
      </c>
      <c r="AV1554" t="inlineStr">
        <is>
          <t>395601</t>
        </is>
      </c>
      <c r="AW1554" t="inlineStr">
        <is>
          <t>991002672059702656</t>
        </is>
      </c>
      <c r="AX1554" t="inlineStr">
        <is>
          <t>991002672059702656</t>
        </is>
      </c>
      <c r="AY1554" t="inlineStr">
        <is>
          <t>2260612270002656</t>
        </is>
      </c>
      <c r="AZ1554" t="inlineStr">
        <is>
          <t>BOOK</t>
        </is>
      </c>
      <c r="BC1554" t="inlineStr">
        <is>
          <t>32285000138981</t>
        </is>
      </c>
      <c r="BD1554" t="inlineStr">
        <is>
          <t>893616409</t>
        </is>
      </c>
    </row>
    <row r="1555">
      <c r="A1555" t="inlineStr">
        <is>
          <t>No</t>
        </is>
      </c>
      <c r="B1555" t="inlineStr">
        <is>
          <t>DL31 .J6 1984</t>
        </is>
      </c>
      <c r="C1555" t="inlineStr">
        <is>
          <t>0                      DL 0031000J  6           1984</t>
        </is>
      </c>
      <c r="D1555" t="inlineStr">
        <is>
          <t>A history of the Vikings / Gwyn Jones.</t>
        </is>
      </c>
      <c r="F1555" t="inlineStr">
        <is>
          <t>No</t>
        </is>
      </c>
      <c r="G1555" t="inlineStr">
        <is>
          <t>1</t>
        </is>
      </c>
      <c r="H1555" t="inlineStr">
        <is>
          <t>No</t>
        </is>
      </c>
      <c r="I1555" t="inlineStr">
        <is>
          <t>Yes</t>
        </is>
      </c>
      <c r="J1555" t="inlineStr">
        <is>
          <t>0</t>
        </is>
      </c>
      <c r="K1555" t="inlineStr">
        <is>
          <t>Jones, Gwyn, 1907-1999.</t>
        </is>
      </c>
      <c r="L1555" t="inlineStr">
        <is>
          <t>Oxford ; New York : Oxford University Press, c1984, 1987 printing.</t>
        </is>
      </c>
      <c r="M1555" t="inlineStr">
        <is>
          <t>1984</t>
        </is>
      </c>
      <c r="N1555" t="inlineStr">
        <is>
          <t>Rev. ed.</t>
        </is>
      </c>
      <c r="O1555" t="inlineStr">
        <is>
          <t>eng</t>
        </is>
      </c>
      <c r="P1555" t="inlineStr">
        <is>
          <t>enk</t>
        </is>
      </c>
      <c r="Q1555" t="inlineStr">
        <is>
          <t>Oxford paperbacks</t>
        </is>
      </c>
      <c r="R1555" t="inlineStr">
        <is>
          <t xml:space="preserve">DL </t>
        </is>
      </c>
      <c r="S1555" t="n">
        <v>11</v>
      </c>
      <c r="T1555" t="n">
        <v>11</v>
      </c>
      <c r="U1555" t="inlineStr">
        <is>
          <t>2008-04-26</t>
        </is>
      </c>
      <c r="V1555" t="inlineStr">
        <is>
          <t>2008-04-26</t>
        </is>
      </c>
      <c r="W1555" t="inlineStr">
        <is>
          <t>1991-09-12</t>
        </is>
      </c>
      <c r="X1555" t="inlineStr">
        <is>
          <t>1991-09-12</t>
        </is>
      </c>
      <c r="Y1555" t="n">
        <v>1091</v>
      </c>
      <c r="Z1555" t="n">
        <v>914</v>
      </c>
      <c r="AA1555" t="n">
        <v>2280</v>
      </c>
      <c r="AB1555" t="n">
        <v>7</v>
      </c>
      <c r="AC1555" t="n">
        <v>22</v>
      </c>
      <c r="AD1555" t="n">
        <v>25</v>
      </c>
      <c r="AE1555" t="n">
        <v>63</v>
      </c>
      <c r="AF1555" t="n">
        <v>10</v>
      </c>
      <c r="AG1555" t="n">
        <v>27</v>
      </c>
      <c r="AH1555" t="n">
        <v>4</v>
      </c>
      <c r="AI1555" t="n">
        <v>10</v>
      </c>
      <c r="AJ1555" t="n">
        <v>13</v>
      </c>
      <c r="AK1555" t="n">
        <v>26</v>
      </c>
      <c r="AL1555" t="n">
        <v>4</v>
      </c>
      <c r="AM1555" t="n">
        <v>13</v>
      </c>
      <c r="AN1555" t="n">
        <v>0</v>
      </c>
      <c r="AO1555" t="n">
        <v>1</v>
      </c>
      <c r="AP1555" t="inlineStr">
        <is>
          <t>No</t>
        </is>
      </c>
      <c r="AQ1555" t="inlineStr">
        <is>
          <t>No</t>
        </is>
      </c>
      <c r="AS1555">
        <f>HYPERLINK("https://creighton-primo.hosted.exlibrisgroup.com/primo-explore/search?tab=default_tab&amp;search_scope=EVERYTHING&amp;vid=01CRU&amp;lang=en_US&amp;offset=0&amp;query=any,contains,991000251049702656","Catalog Record")</f>
        <v/>
      </c>
      <c r="AT1555">
        <f>HYPERLINK("http://www.worldcat.org/oclc/9757784","WorldCat Record")</f>
        <v/>
      </c>
      <c r="AU1555" t="inlineStr">
        <is>
          <t>136787381:eng</t>
        </is>
      </c>
      <c r="AV1555" t="inlineStr">
        <is>
          <t>9757784</t>
        </is>
      </c>
      <c r="AW1555" t="inlineStr">
        <is>
          <t>991000251049702656</t>
        </is>
      </c>
      <c r="AX1555" t="inlineStr">
        <is>
          <t>991000251049702656</t>
        </is>
      </c>
      <c r="AY1555" t="inlineStr">
        <is>
          <t>2255448090002656</t>
        </is>
      </c>
      <c r="AZ1555" t="inlineStr">
        <is>
          <t>BOOK</t>
        </is>
      </c>
      <c r="BB1555" t="inlineStr">
        <is>
          <t>9780192851390</t>
        </is>
      </c>
      <c r="BC1555" t="inlineStr">
        <is>
          <t>32285000651496</t>
        </is>
      </c>
      <c r="BD1555" t="inlineStr">
        <is>
          <t>893620330</t>
        </is>
      </c>
    </row>
    <row r="1556">
      <c r="A1556" t="inlineStr">
        <is>
          <t>No</t>
        </is>
      </c>
      <c r="B1556" t="inlineStr">
        <is>
          <t>DL31 .W54 1970b</t>
        </is>
      </c>
      <c r="C1556" t="inlineStr">
        <is>
          <t>0                      DL 0031000W  54          1970b</t>
        </is>
      </c>
      <c r="D1556" t="inlineStr">
        <is>
          <t>The Vikings and their origins; Scandinavia in the first millennium [by] David M. Wilson.</t>
        </is>
      </c>
      <c r="F1556" t="inlineStr">
        <is>
          <t>No</t>
        </is>
      </c>
      <c r="G1556" t="inlineStr">
        <is>
          <t>1</t>
        </is>
      </c>
      <c r="H1556" t="inlineStr">
        <is>
          <t>No</t>
        </is>
      </c>
      <c r="I1556" t="inlineStr">
        <is>
          <t>No</t>
        </is>
      </c>
      <c r="J1556" t="inlineStr">
        <is>
          <t>0</t>
        </is>
      </c>
      <c r="K1556" t="inlineStr">
        <is>
          <t>Wilson, David M. (David Mackenzie), 1931-</t>
        </is>
      </c>
      <c r="L1556" t="inlineStr">
        <is>
          <t>New York, McGraw-Hill [1970]</t>
        </is>
      </c>
      <c r="M1556" t="inlineStr">
        <is>
          <t>1970</t>
        </is>
      </c>
      <c r="O1556" t="inlineStr">
        <is>
          <t>eng</t>
        </is>
      </c>
      <c r="P1556" t="inlineStr">
        <is>
          <t>nyu</t>
        </is>
      </c>
      <c r="Q1556" t="inlineStr">
        <is>
          <t>Library of early medieval civilizations</t>
        </is>
      </c>
      <c r="R1556" t="inlineStr">
        <is>
          <t xml:space="preserve">DL </t>
        </is>
      </c>
      <c r="S1556" t="n">
        <v>5</v>
      </c>
      <c r="T1556" t="n">
        <v>5</v>
      </c>
      <c r="U1556" t="inlineStr">
        <is>
          <t>2006-03-29</t>
        </is>
      </c>
      <c r="V1556" t="inlineStr">
        <is>
          <t>2006-03-29</t>
        </is>
      </c>
      <c r="W1556" t="inlineStr">
        <is>
          <t>1992-03-31</t>
        </is>
      </c>
      <c r="X1556" t="inlineStr">
        <is>
          <t>1992-03-31</t>
        </is>
      </c>
      <c r="Y1556" t="n">
        <v>684</v>
      </c>
      <c r="Z1556" t="n">
        <v>650</v>
      </c>
      <c r="AA1556" t="n">
        <v>856</v>
      </c>
      <c r="AB1556" t="n">
        <v>7</v>
      </c>
      <c r="AC1556" t="n">
        <v>8</v>
      </c>
      <c r="AD1556" t="n">
        <v>23</v>
      </c>
      <c r="AE1556" t="n">
        <v>29</v>
      </c>
      <c r="AF1556" t="n">
        <v>8</v>
      </c>
      <c r="AG1556" t="n">
        <v>9</v>
      </c>
      <c r="AH1556" t="n">
        <v>5</v>
      </c>
      <c r="AI1556" t="n">
        <v>6</v>
      </c>
      <c r="AJ1556" t="n">
        <v>11</v>
      </c>
      <c r="AK1556" t="n">
        <v>14</v>
      </c>
      <c r="AL1556" t="n">
        <v>5</v>
      </c>
      <c r="AM1556" t="n">
        <v>6</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HYPERLINK("https://creighton-primo.hosted.exlibrisgroup.com/primo-explore/search?tab=default_tab&amp;search_scope=EVERYTHING&amp;vid=01CRU&amp;lang=en_US&amp;offset=0&amp;query=any,contains,991000506719702656","Catalog Record")</f>
        <v/>
      </c>
      <c r="AT1556">
        <f>HYPERLINK("http://www.worldcat.org/oclc/82775","WorldCat Record")</f>
        <v/>
      </c>
      <c r="AU1556" t="inlineStr">
        <is>
          <t>4917687794:eng</t>
        </is>
      </c>
      <c r="AV1556" t="inlineStr">
        <is>
          <t>82775</t>
        </is>
      </c>
      <c r="AW1556" t="inlineStr">
        <is>
          <t>991000506719702656</t>
        </is>
      </c>
      <c r="AX1556" t="inlineStr">
        <is>
          <t>991000506719702656</t>
        </is>
      </c>
      <c r="AY1556" t="inlineStr">
        <is>
          <t>2272053420002656</t>
        </is>
      </c>
      <c r="AZ1556" t="inlineStr">
        <is>
          <t>BOOK</t>
        </is>
      </c>
      <c r="BC1556" t="inlineStr">
        <is>
          <t>32285000529965</t>
        </is>
      </c>
      <c r="BD1556" t="inlineStr">
        <is>
          <t>893333536</t>
        </is>
      </c>
    </row>
    <row r="1557">
      <c r="A1557" t="inlineStr">
        <is>
          <t>No</t>
        </is>
      </c>
      <c r="B1557" t="inlineStr">
        <is>
          <t>DL326 .L33 1998</t>
        </is>
      </c>
      <c r="C1557" t="inlineStr">
        <is>
          <t>0                      DL 0326000L  33          1998</t>
        </is>
      </c>
      <c r="D1557" t="inlineStr">
        <is>
          <t>Ring of seasons : Iceland, its culture and history / text and photos, Terry G. Lacy.</t>
        </is>
      </c>
      <c r="F1557" t="inlineStr">
        <is>
          <t>No</t>
        </is>
      </c>
      <c r="G1557" t="inlineStr">
        <is>
          <t>1</t>
        </is>
      </c>
      <c r="H1557" t="inlineStr">
        <is>
          <t>No</t>
        </is>
      </c>
      <c r="I1557" t="inlineStr">
        <is>
          <t>No</t>
        </is>
      </c>
      <c r="J1557" t="inlineStr">
        <is>
          <t>0</t>
        </is>
      </c>
      <c r="K1557" t="inlineStr">
        <is>
          <t>Lacy, Terry G.</t>
        </is>
      </c>
      <c r="L1557" t="inlineStr">
        <is>
          <t>Ann Arbor : University of Michigan Press, c1998.</t>
        </is>
      </c>
      <c r="M1557" t="inlineStr">
        <is>
          <t>1998</t>
        </is>
      </c>
      <c r="O1557" t="inlineStr">
        <is>
          <t>eng</t>
        </is>
      </c>
      <c r="P1557" t="inlineStr">
        <is>
          <t>miu</t>
        </is>
      </c>
      <c r="R1557" t="inlineStr">
        <is>
          <t xml:space="preserve">DL </t>
        </is>
      </c>
      <c r="S1557" t="n">
        <v>9</v>
      </c>
      <c r="T1557" t="n">
        <v>9</v>
      </c>
      <c r="U1557" t="inlineStr">
        <is>
          <t>2010-03-18</t>
        </is>
      </c>
      <c r="V1557" t="inlineStr">
        <is>
          <t>2010-03-18</t>
        </is>
      </c>
      <c r="W1557" t="inlineStr">
        <is>
          <t>1999-10-19</t>
        </is>
      </c>
      <c r="X1557" t="inlineStr">
        <is>
          <t>1999-10-19</t>
        </is>
      </c>
      <c r="Y1557" t="n">
        <v>487</v>
      </c>
      <c r="Z1557" t="n">
        <v>427</v>
      </c>
      <c r="AA1557" t="n">
        <v>479</v>
      </c>
      <c r="AB1557" t="n">
        <v>3</v>
      </c>
      <c r="AC1557" t="n">
        <v>3</v>
      </c>
      <c r="AD1557" t="n">
        <v>15</v>
      </c>
      <c r="AE1557" t="n">
        <v>16</v>
      </c>
      <c r="AF1557" t="n">
        <v>2</v>
      </c>
      <c r="AG1557" t="n">
        <v>3</v>
      </c>
      <c r="AH1557" t="n">
        <v>6</v>
      </c>
      <c r="AI1557" t="n">
        <v>6</v>
      </c>
      <c r="AJ1557" t="n">
        <v>9</v>
      </c>
      <c r="AK1557" t="n">
        <v>9</v>
      </c>
      <c r="AL1557" t="n">
        <v>2</v>
      </c>
      <c r="AM1557" t="n">
        <v>2</v>
      </c>
      <c r="AN1557" t="n">
        <v>0</v>
      </c>
      <c r="AO1557" t="n">
        <v>0</v>
      </c>
      <c r="AP1557" t="inlineStr">
        <is>
          <t>No</t>
        </is>
      </c>
      <c r="AQ1557" t="inlineStr">
        <is>
          <t>Yes</t>
        </is>
      </c>
      <c r="AR1557">
        <f>HYPERLINK("http://catalog.hathitrust.org/Record/003297096","HathiTrust Record")</f>
        <v/>
      </c>
      <c r="AS1557">
        <f>HYPERLINK("https://creighton-primo.hosted.exlibrisgroup.com/primo-explore/search?tab=default_tab&amp;search_scope=EVERYTHING&amp;vid=01CRU&amp;lang=en_US&amp;offset=0&amp;query=any,contains,991002885719702656","Catalog Record")</f>
        <v/>
      </c>
      <c r="AT1557">
        <f>HYPERLINK("http://www.worldcat.org/oclc/38024135","WorldCat Record")</f>
        <v/>
      </c>
      <c r="AU1557" t="inlineStr">
        <is>
          <t>551973:eng</t>
        </is>
      </c>
      <c r="AV1557" t="inlineStr">
        <is>
          <t>38024135</t>
        </is>
      </c>
      <c r="AW1557" t="inlineStr">
        <is>
          <t>991002885719702656</t>
        </is>
      </c>
      <c r="AX1557" t="inlineStr">
        <is>
          <t>991002885719702656</t>
        </is>
      </c>
      <c r="AY1557" t="inlineStr">
        <is>
          <t>2264238400002656</t>
        </is>
      </c>
      <c r="AZ1557" t="inlineStr">
        <is>
          <t>BOOK</t>
        </is>
      </c>
      <c r="BB1557" t="inlineStr">
        <is>
          <t>9780472109265</t>
        </is>
      </c>
      <c r="BC1557" t="inlineStr">
        <is>
          <t>32285003611976</t>
        </is>
      </c>
      <c r="BD1557" t="inlineStr">
        <is>
          <t>893421908</t>
        </is>
      </c>
    </row>
    <row r="1558">
      <c r="A1558" t="inlineStr">
        <is>
          <t>No</t>
        </is>
      </c>
      <c r="B1558" t="inlineStr">
        <is>
          <t>DL338 .H849 2000</t>
        </is>
      </c>
      <c r="C1558" t="inlineStr">
        <is>
          <t>0                      DL 0338000H  849         2000</t>
        </is>
      </c>
      <c r="D1558" t="inlineStr">
        <is>
          <t>The history of Iceland / Gunnar Karlsson.</t>
        </is>
      </c>
      <c r="F1558" t="inlineStr">
        <is>
          <t>No</t>
        </is>
      </c>
      <c r="G1558" t="inlineStr">
        <is>
          <t>1</t>
        </is>
      </c>
      <c r="H1558" t="inlineStr">
        <is>
          <t>No</t>
        </is>
      </c>
      <c r="I1558" t="inlineStr">
        <is>
          <t>No</t>
        </is>
      </c>
      <c r="J1558" t="inlineStr">
        <is>
          <t>0</t>
        </is>
      </c>
      <c r="K1558" t="inlineStr">
        <is>
          <t>Gunnar Karlsson, 1939-</t>
        </is>
      </c>
      <c r="L1558" t="inlineStr">
        <is>
          <t>Minneapolis, Minn. : University of Minnesota Press, c2000.</t>
        </is>
      </c>
      <c r="M1558" t="inlineStr">
        <is>
          <t>2000</t>
        </is>
      </c>
      <c r="O1558" t="inlineStr">
        <is>
          <t>eng</t>
        </is>
      </c>
      <c r="P1558" t="inlineStr">
        <is>
          <t>mnu</t>
        </is>
      </c>
      <c r="R1558" t="inlineStr">
        <is>
          <t xml:space="preserve">DL </t>
        </is>
      </c>
      <c r="S1558" t="n">
        <v>5</v>
      </c>
      <c r="T1558" t="n">
        <v>5</v>
      </c>
      <c r="U1558" t="inlineStr">
        <is>
          <t>2009-11-30</t>
        </is>
      </c>
      <c r="V1558" t="inlineStr">
        <is>
          <t>2009-11-30</t>
        </is>
      </c>
      <c r="W1558" t="inlineStr">
        <is>
          <t>2002-01-10</t>
        </is>
      </c>
      <c r="X1558" t="inlineStr">
        <is>
          <t>2002-01-10</t>
        </is>
      </c>
      <c r="Y1558" t="n">
        <v>695</v>
      </c>
      <c r="Z1558" t="n">
        <v>626</v>
      </c>
      <c r="AA1558" t="n">
        <v>685</v>
      </c>
      <c r="AB1558" t="n">
        <v>5</v>
      </c>
      <c r="AC1558" t="n">
        <v>7</v>
      </c>
      <c r="AD1558" t="n">
        <v>26</v>
      </c>
      <c r="AE1558" t="n">
        <v>29</v>
      </c>
      <c r="AF1558" t="n">
        <v>13</v>
      </c>
      <c r="AG1558" t="n">
        <v>14</v>
      </c>
      <c r="AH1558" t="n">
        <v>6</v>
      </c>
      <c r="AI1558" t="n">
        <v>6</v>
      </c>
      <c r="AJ1558" t="n">
        <v>11</v>
      </c>
      <c r="AK1558" t="n">
        <v>11</v>
      </c>
      <c r="AL1558" t="n">
        <v>3</v>
      </c>
      <c r="AM1558" t="n">
        <v>5</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HYPERLINK("https://creighton-primo.hosted.exlibrisgroup.com/primo-explore/search?tab=default_tab&amp;search_scope=EVERYTHING&amp;vid=01CRU&amp;lang=en_US&amp;offset=0&amp;query=any,contains,991003695949702656","Catalog Record")</f>
        <v/>
      </c>
      <c r="AT1558">
        <f>HYPERLINK("http://www.worldcat.org/oclc/42736334","WorldCat Record")</f>
        <v/>
      </c>
      <c r="AU1558" t="inlineStr">
        <is>
          <t>195517188:eng</t>
        </is>
      </c>
      <c r="AV1558" t="inlineStr">
        <is>
          <t>42736334</t>
        </is>
      </c>
      <c r="AW1558" t="inlineStr">
        <is>
          <t>991003695949702656</t>
        </is>
      </c>
      <c r="AX1558" t="inlineStr">
        <is>
          <t>991003695949702656</t>
        </is>
      </c>
      <c r="AY1558" t="inlineStr">
        <is>
          <t>2258988040002656</t>
        </is>
      </c>
      <c r="AZ1558" t="inlineStr">
        <is>
          <t>BOOK</t>
        </is>
      </c>
      <c r="BB1558" t="inlineStr">
        <is>
          <t>9780816635887</t>
        </is>
      </c>
      <c r="BC1558" t="inlineStr">
        <is>
          <t>32285004447941</t>
        </is>
      </c>
      <c r="BD1558" t="inlineStr">
        <is>
          <t>893252649</t>
        </is>
      </c>
    </row>
    <row r="1559">
      <c r="A1559" t="inlineStr">
        <is>
          <t>No</t>
        </is>
      </c>
      <c r="B1559" t="inlineStr">
        <is>
          <t>DL352 .B96 1988</t>
        </is>
      </c>
      <c r="C1559" t="inlineStr">
        <is>
          <t>0                      DL 0352000B  96          1988</t>
        </is>
      </c>
      <c r="D1559" t="inlineStr">
        <is>
          <t>Medieval Iceland : society, sagas, and power / Jesse L. Byock.</t>
        </is>
      </c>
      <c r="F1559" t="inlineStr">
        <is>
          <t>No</t>
        </is>
      </c>
      <c r="G1559" t="inlineStr">
        <is>
          <t>1</t>
        </is>
      </c>
      <c r="H1559" t="inlineStr">
        <is>
          <t>No</t>
        </is>
      </c>
      <c r="I1559" t="inlineStr">
        <is>
          <t>No</t>
        </is>
      </c>
      <c r="J1559" t="inlineStr">
        <is>
          <t>0</t>
        </is>
      </c>
      <c r="K1559" t="inlineStr">
        <is>
          <t>Byock, Jesse L.</t>
        </is>
      </c>
      <c r="L1559" t="inlineStr">
        <is>
          <t>Berkeley : University of California Press, c1988</t>
        </is>
      </c>
      <c r="M1559" t="inlineStr">
        <is>
          <t>1988</t>
        </is>
      </c>
      <c r="O1559" t="inlineStr">
        <is>
          <t>eng</t>
        </is>
      </c>
      <c r="P1559" t="inlineStr">
        <is>
          <t>cau</t>
        </is>
      </c>
      <c r="R1559" t="inlineStr">
        <is>
          <t xml:space="preserve">DL </t>
        </is>
      </c>
      <c r="S1559" t="n">
        <v>3</v>
      </c>
      <c r="T1559" t="n">
        <v>3</v>
      </c>
      <c r="U1559" t="inlineStr">
        <is>
          <t>2009-11-30</t>
        </is>
      </c>
      <c r="V1559" t="inlineStr">
        <is>
          <t>2009-11-30</t>
        </is>
      </c>
      <c r="W1559" t="inlineStr">
        <is>
          <t>2006-11-30</t>
        </is>
      </c>
      <c r="X1559" t="inlineStr">
        <is>
          <t>2006-11-30</t>
        </is>
      </c>
      <c r="Y1559" t="n">
        <v>78</v>
      </c>
      <c r="Z1559" t="n">
        <v>56</v>
      </c>
      <c r="AA1559" t="n">
        <v>473</v>
      </c>
      <c r="AB1559" t="n">
        <v>1</v>
      </c>
      <c r="AC1559" t="n">
        <v>3</v>
      </c>
      <c r="AD1559" t="n">
        <v>2</v>
      </c>
      <c r="AE1559" t="n">
        <v>23</v>
      </c>
      <c r="AF1559" t="n">
        <v>1</v>
      </c>
      <c r="AG1559" t="n">
        <v>6</v>
      </c>
      <c r="AH1559" t="n">
        <v>1</v>
      </c>
      <c r="AI1559" t="n">
        <v>8</v>
      </c>
      <c r="AJ1559" t="n">
        <v>2</v>
      </c>
      <c r="AK1559" t="n">
        <v>14</v>
      </c>
      <c r="AL1559" t="n">
        <v>0</v>
      </c>
      <c r="AM1559" t="n">
        <v>2</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HYPERLINK("https://creighton-primo.hosted.exlibrisgroup.com/primo-explore/search?tab=default_tab&amp;search_scope=EVERYTHING&amp;vid=01CRU&amp;lang=en_US&amp;offset=0&amp;query=any,contains,991004951859702656","Catalog Record")</f>
        <v/>
      </c>
      <c r="AT1559">
        <f>HYPERLINK("http://www.worldcat.org/oclc/28824516","WorldCat Record")</f>
        <v/>
      </c>
      <c r="AU1559" t="inlineStr">
        <is>
          <t>6117828:eng</t>
        </is>
      </c>
      <c r="AV1559" t="inlineStr">
        <is>
          <t>28824516</t>
        </is>
      </c>
      <c r="AW1559" t="inlineStr">
        <is>
          <t>991004951859702656</t>
        </is>
      </c>
      <c r="AX1559" t="inlineStr">
        <is>
          <t>991004951859702656</t>
        </is>
      </c>
      <c r="AY1559" t="inlineStr">
        <is>
          <t>2258748300002656</t>
        </is>
      </c>
      <c r="AZ1559" t="inlineStr">
        <is>
          <t>BOOK</t>
        </is>
      </c>
      <c r="BB1559" t="inlineStr">
        <is>
          <t>9780520069541</t>
        </is>
      </c>
      <c r="BC1559" t="inlineStr">
        <is>
          <t>32285005263057</t>
        </is>
      </c>
      <c r="BD1559" t="inlineStr">
        <is>
          <t>893254259</t>
        </is>
      </c>
    </row>
    <row r="1560">
      <c r="A1560" t="inlineStr">
        <is>
          <t>No</t>
        </is>
      </c>
      <c r="B1560" t="inlineStr">
        <is>
          <t>DL42.L36 R49 1992</t>
        </is>
      </c>
      <c r="C1560" t="inlineStr">
        <is>
          <t>0                      DL 0042000L  36                 R  49          1992</t>
        </is>
      </c>
      <c r="D1560" t="inlineStr">
        <is>
          <t>Far north : vanishing cultures / Jan Reynolds.</t>
        </is>
      </c>
      <c r="F1560" t="inlineStr">
        <is>
          <t>No</t>
        </is>
      </c>
      <c r="G1560" t="inlineStr">
        <is>
          <t>1</t>
        </is>
      </c>
      <c r="H1560" t="inlineStr">
        <is>
          <t>No</t>
        </is>
      </c>
      <c r="I1560" t="inlineStr">
        <is>
          <t>No</t>
        </is>
      </c>
      <c r="J1560" t="inlineStr">
        <is>
          <t>0</t>
        </is>
      </c>
      <c r="K1560" t="inlineStr">
        <is>
          <t>Reynolds, Jan, 1956-</t>
        </is>
      </c>
      <c r="L1560" t="inlineStr">
        <is>
          <t>San Diego : Harcourt Brace Jovanovich, c1992.</t>
        </is>
      </c>
      <c r="M1560" t="inlineStr">
        <is>
          <t>1992</t>
        </is>
      </c>
      <c r="N1560" t="inlineStr">
        <is>
          <t>1st ed.</t>
        </is>
      </c>
      <c r="O1560" t="inlineStr">
        <is>
          <t>eng</t>
        </is>
      </c>
      <c r="P1560" t="inlineStr">
        <is>
          <t>cau</t>
        </is>
      </c>
      <c r="Q1560" t="inlineStr">
        <is>
          <t>Vanishing cultures series</t>
        </is>
      </c>
      <c r="R1560" t="inlineStr">
        <is>
          <t xml:space="preserve">DL </t>
        </is>
      </c>
      <c r="S1560" t="n">
        <v>11</v>
      </c>
      <c r="T1560" t="n">
        <v>11</v>
      </c>
      <c r="U1560" t="inlineStr">
        <is>
          <t>1999-10-21</t>
        </is>
      </c>
      <c r="V1560" t="inlineStr">
        <is>
          <t>1999-10-21</t>
        </is>
      </c>
      <c r="W1560" t="inlineStr">
        <is>
          <t>1995-04-24</t>
        </is>
      </c>
      <c r="X1560" t="inlineStr">
        <is>
          <t>1995-04-24</t>
        </is>
      </c>
      <c r="Y1560" t="n">
        <v>351</v>
      </c>
      <c r="Z1560" t="n">
        <v>326</v>
      </c>
      <c r="AA1560" t="n">
        <v>394</v>
      </c>
      <c r="AB1560" t="n">
        <v>3</v>
      </c>
      <c r="AC1560" t="n">
        <v>3</v>
      </c>
      <c r="AD1560" t="n">
        <v>3</v>
      </c>
      <c r="AE1560" t="n">
        <v>3</v>
      </c>
      <c r="AF1560" t="n">
        <v>1</v>
      </c>
      <c r="AG1560" t="n">
        <v>1</v>
      </c>
      <c r="AH1560" t="n">
        <v>1</v>
      </c>
      <c r="AI1560" t="n">
        <v>1</v>
      </c>
      <c r="AJ1560" t="n">
        <v>1</v>
      </c>
      <c r="AK1560" t="n">
        <v>1</v>
      </c>
      <c r="AL1560" t="n">
        <v>1</v>
      </c>
      <c r="AM1560" t="n">
        <v>1</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HYPERLINK("https://creighton-primo.hosted.exlibrisgroup.com/primo-explore/search?tab=default_tab&amp;search_scope=EVERYTHING&amp;vid=01CRU&amp;lang=en_US&amp;offset=0&amp;query=any,contains,991004514319702656","Catalog Record")</f>
        <v/>
      </c>
      <c r="AT1560">
        <f>HYPERLINK("http://www.worldcat.org/oclc/23382726","WorldCat Record")</f>
        <v/>
      </c>
      <c r="AU1560" t="inlineStr">
        <is>
          <t>1103438512:eng</t>
        </is>
      </c>
      <c r="AV1560" t="inlineStr">
        <is>
          <t>23382726</t>
        </is>
      </c>
      <c r="AW1560" t="inlineStr">
        <is>
          <t>991004514319702656</t>
        </is>
      </c>
      <c r="AX1560" t="inlineStr">
        <is>
          <t>991004514319702656</t>
        </is>
      </c>
      <c r="AY1560" t="inlineStr">
        <is>
          <t>2266438560002656</t>
        </is>
      </c>
      <c r="AZ1560" t="inlineStr">
        <is>
          <t>BOOK</t>
        </is>
      </c>
      <c r="BB1560" t="inlineStr">
        <is>
          <t>9780152271787</t>
        </is>
      </c>
      <c r="BC1560" t="inlineStr">
        <is>
          <t>32285002035771</t>
        </is>
      </c>
      <c r="BD1560" t="inlineStr">
        <is>
          <t>893311391</t>
        </is>
      </c>
    </row>
    <row r="1561">
      <c r="A1561" t="inlineStr">
        <is>
          <t>No</t>
        </is>
      </c>
      <c r="B1561" t="inlineStr">
        <is>
          <t>DL448 .N76 1995</t>
        </is>
      </c>
      <c r="C1561" t="inlineStr">
        <is>
          <t>0                      DL 0448000N  76          1995</t>
        </is>
      </c>
      <c r="D1561" t="inlineStr">
        <is>
          <t>Norway : a history from the vikings to our own times / [contributions by] Rolf Danielsen ... [et al.] ; translated by Michael Drake.</t>
        </is>
      </c>
      <c r="F1561" t="inlineStr">
        <is>
          <t>No</t>
        </is>
      </c>
      <c r="G1561" t="inlineStr">
        <is>
          <t>1</t>
        </is>
      </c>
      <c r="H1561" t="inlineStr">
        <is>
          <t>No</t>
        </is>
      </c>
      <c r="I1561" t="inlineStr">
        <is>
          <t>No</t>
        </is>
      </c>
      <c r="J1561" t="inlineStr">
        <is>
          <t>0</t>
        </is>
      </c>
      <c r="L1561" t="inlineStr">
        <is>
          <t>Oslo, Norway : Scandinavian University Press, c1995.</t>
        </is>
      </c>
      <c r="M1561" t="inlineStr">
        <is>
          <t>1995</t>
        </is>
      </c>
      <c r="O1561" t="inlineStr">
        <is>
          <t>eng</t>
        </is>
      </c>
      <c r="P1561" t="inlineStr">
        <is>
          <t xml:space="preserve">no </t>
        </is>
      </c>
      <c r="R1561" t="inlineStr">
        <is>
          <t xml:space="preserve">DL </t>
        </is>
      </c>
      <c r="S1561" t="n">
        <v>5</v>
      </c>
      <c r="T1561" t="n">
        <v>5</v>
      </c>
      <c r="U1561" t="inlineStr">
        <is>
          <t>1999-12-02</t>
        </is>
      </c>
      <c r="V1561" t="inlineStr">
        <is>
          <t>1999-12-02</t>
        </is>
      </c>
      <c r="W1561" t="inlineStr">
        <is>
          <t>1997-01-14</t>
        </is>
      </c>
      <c r="X1561" t="inlineStr">
        <is>
          <t>1997-01-14</t>
        </is>
      </c>
      <c r="Y1561" t="n">
        <v>139</v>
      </c>
      <c r="Z1561" t="n">
        <v>132</v>
      </c>
      <c r="AA1561" t="n">
        <v>165</v>
      </c>
      <c r="AB1561" t="n">
        <v>4</v>
      </c>
      <c r="AC1561" t="n">
        <v>4</v>
      </c>
      <c r="AD1561" t="n">
        <v>8</v>
      </c>
      <c r="AE1561" t="n">
        <v>11</v>
      </c>
      <c r="AF1561" t="n">
        <v>1</v>
      </c>
      <c r="AG1561" t="n">
        <v>2</v>
      </c>
      <c r="AH1561" t="n">
        <v>2</v>
      </c>
      <c r="AI1561" t="n">
        <v>3</v>
      </c>
      <c r="AJ1561" t="n">
        <v>3</v>
      </c>
      <c r="AK1561" t="n">
        <v>5</v>
      </c>
      <c r="AL1561" t="n">
        <v>3</v>
      </c>
      <c r="AM1561" t="n">
        <v>3</v>
      </c>
      <c r="AN1561" t="n">
        <v>0</v>
      </c>
      <c r="AO1561" t="n">
        <v>1</v>
      </c>
      <c r="AP1561" t="inlineStr">
        <is>
          <t>No</t>
        </is>
      </c>
      <c r="AQ1561" t="inlineStr">
        <is>
          <t>Yes</t>
        </is>
      </c>
      <c r="AR1561">
        <f>HYPERLINK("http://catalog.hathitrust.org/Record/003024790","HathiTrust Record")</f>
        <v/>
      </c>
      <c r="AS1561">
        <f>HYPERLINK("https://creighton-primo.hosted.exlibrisgroup.com/primo-explore/search?tab=default_tab&amp;search_scope=EVERYTHING&amp;vid=01CRU&amp;lang=en_US&amp;offset=0&amp;query=any,contains,991002565509702656","Catalog Record")</f>
        <v/>
      </c>
      <c r="AT1561">
        <f>HYPERLINK("http://www.worldcat.org/oclc/33350865","WorldCat Record")</f>
        <v/>
      </c>
      <c r="AU1561" t="inlineStr">
        <is>
          <t>55979836:eng</t>
        </is>
      </c>
      <c r="AV1561" t="inlineStr">
        <is>
          <t>33350865</t>
        </is>
      </c>
      <c r="AW1561" t="inlineStr">
        <is>
          <t>991002565509702656</t>
        </is>
      </c>
      <c r="AX1561" t="inlineStr">
        <is>
          <t>991002565509702656</t>
        </is>
      </c>
      <c r="AY1561" t="inlineStr">
        <is>
          <t>2266546710002656</t>
        </is>
      </c>
      <c r="AZ1561" t="inlineStr">
        <is>
          <t>BOOK</t>
        </is>
      </c>
      <c r="BB1561" t="inlineStr">
        <is>
          <t>9788200218036</t>
        </is>
      </c>
      <c r="BC1561" t="inlineStr">
        <is>
          <t>32285002407566</t>
        </is>
      </c>
      <c r="BD1561" t="inlineStr">
        <is>
          <t>893716613</t>
        </is>
      </c>
    </row>
    <row r="1562">
      <c r="A1562" t="inlineStr">
        <is>
          <t>No</t>
        </is>
      </c>
      <c r="B1562" t="inlineStr">
        <is>
          <t>DL449 .K5 1967</t>
        </is>
      </c>
      <c r="C1562" t="inlineStr">
        <is>
          <t>0                      DL 0449000K  5           1967</t>
        </is>
      </c>
      <c r="D1562" t="inlineStr">
        <is>
          <t>The voice of Norway / by Halvdan Koht and Sigmund Skard.</t>
        </is>
      </c>
      <c r="F1562" t="inlineStr">
        <is>
          <t>No</t>
        </is>
      </c>
      <c r="G1562" t="inlineStr">
        <is>
          <t>1</t>
        </is>
      </c>
      <c r="H1562" t="inlineStr">
        <is>
          <t>No</t>
        </is>
      </c>
      <c r="I1562" t="inlineStr">
        <is>
          <t>No</t>
        </is>
      </c>
      <c r="J1562" t="inlineStr">
        <is>
          <t>0</t>
        </is>
      </c>
      <c r="K1562" t="inlineStr">
        <is>
          <t>Koht, Halvdan, 1873-1965.</t>
        </is>
      </c>
      <c r="L1562" t="inlineStr">
        <is>
          <t>New York : AMS Press, 1967 [c1944]</t>
        </is>
      </c>
      <c r="M1562" t="inlineStr">
        <is>
          <t>1967</t>
        </is>
      </c>
      <c r="O1562" t="inlineStr">
        <is>
          <t>eng</t>
        </is>
      </c>
      <c r="P1562" t="inlineStr">
        <is>
          <t>nyu</t>
        </is>
      </c>
      <c r="R1562" t="inlineStr">
        <is>
          <t xml:space="preserve">DL </t>
        </is>
      </c>
      <c r="S1562" t="n">
        <v>5</v>
      </c>
      <c r="T1562" t="n">
        <v>5</v>
      </c>
      <c r="U1562" t="inlineStr">
        <is>
          <t>1995-06-14</t>
        </is>
      </c>
      <c r="V1562" t="inlineStr">
        <is>
          <t>1995-06-14</t>
        </is>
      </c>
      <c r="W1562" t="inlineStr">
        <is>
          <t>1992-03-12</t>
        </is>
      </c>
      <c r="X1562" t="inlineStr">
        <is>
          <t>1992-03-12</t>
        </is>
      </c>
      <c r="Y1562" t="n">
        <v>136</v>
      </c>
      <c r="Z1562" t="n">
        <v>123</v>
      </c>
      <c r="AA1562" t="n">
        <v>501</v>
      </c>
      <c r="AB1562" t="n">
        <v>1</v>
      </c>
      <c r="AC1562" t="n">
        <v>7</v>
      </c>
      <c r="AD1562" t="n">
        <v>7</v>
      </c>
      <c r="AE1562" t="n">
        <v>27</v>
      </c>
      <c r="AF1562" t="n">
        <v>3</v>
      </c>
      <c r="AG1562" t="n">
        <v>11</v>
      </c>
      <c r="AH1562" t="n">
        <v>1</v>
      </c>
      <c r="AI1562" t="n">
        <v>6</v>
      </c>
      <c r="AJ1562" t="n">
        <v>3</v>
      </c>
      <c r="AK1562" t="n">
        <v>8</v>
      </c>
      <c r="AL1562" t="n">
        <v>0</v>
      </c>
      <c r="AM1562" t="n">
        <v>6</v>
      </c>
      <c r="AN1562" t="n">
        <v>1</v>
      </c>
      <c r="AO1562" t="n">
        <v>1</v>
      </c>
      <c r="AP1562" t="inlineStr">
        <is>
          <t>No</t>
        </is>
      </c>
      <c r="AQ1562" t="inlineStr">
        <is>
          <t>Yes</t>
        </is>
      </c>
      <c r="AR1562">
        <f>HYPERLINK("http://catalog.hathitrust.org/Record/004409088","HathiTrust Record")</f>
        <v/>
      </c>
      <c r="AS1562">
        <f>HYPERLINK("https://creighton-primo.hosted.exlibrisgroup.com/primo-explore/search?tab=default_tab&amp;search_scope=EVERYTHING&amp;vid=01CRU&amp;lang=en_US&amp;offset=0&amp;query=any,contains,991002694749702656","Catalog Record")</f>
        <v/>
      </c>
      <c r="AT1562">
        <f>HYPERLINK("http://www.worldcat.org/oclc/403048","WorldCat Record")</f>
        <v/>
      </c>
      <c r="AU1562" t="inlineStr">
        <is>
          <t>1422660:eng</t>
        </is>
      </c>
      <c r="AV1562" t="inlineStr">
        <is>
          <t>403048</t>
        </is>
      </c>
      <c r="AW1562" t="inlineStr">
        <is>
          <t>991002694749702656</t>
        </is>
      </c>
      <c r="AX1562" t="inlineStr">
        <is>
          <t>991002694749702656</t>
        </is>
      </c>
      <c r="AY1562" t="inlineStr">
        <is>
          <t>2265319170002656</t>
        </is>
      </c>
      <c r="AZ1562" t="inlineStr">
        <is>
          <t>BOOK</t>
        </is>
      </c>
      <c r="BC1562" t="inlineStr">
        <is>
          <t>32285000998756</t>
        </is>
      </c>
      <c r="BD1562" t="inlineStr">
        <is>
          <t>893239375</t>
        </is>
      </c>
    </row>
    <row r="1563">
      <c r="A1563" t="inlineStr">
        <is>
          <t>No</t>
        </is>
      </c>
      <c r="B1563" t="inlineStr">
        <is>
          <t>DL449 .S68</t>
        </is>
      </c>
      <c r="C1563" t="inlineStr">
        <is>
          <t>0                      DL 0449000S  68</t>
        </is>
      </c>
      <c r="D1563" t="inlineStr">
        <is>
          <t>Norway / by Sigvart Sörensen.</t>
        </is>
      </c>
      <c r="F1563" t="inlineStr">
        <is>
          <t>No</t>
        </is>
      </c>
      <c r="G1563" t="inlineStr">
        <is>
          <t>1</t>
        </is>
      </c>
      <c r="H1563" t="inlineStr">
        <is>
          <t>No</t>
        </is>
      </c>
      <c r="I1563" t="inlineStr">
        <is>
          <t>No</t>
        </is>
      </c>
      <c r="J1563" t="inlineStr">
        <is>
          <t>0</t>
        </is>
      </c>
      <c r="K1563" t="inlineStr">
        <is>
          <t>Sörensen, Sigvart, 1849-1929.</t>
        </is>
      </c>
      <c r="L1563" t="inlineStr">
        <is>
          <t>New York : P. F. Collier, 1899, (1901 printing).</t>
        </is>
      </c>
      <c r="M1563" t="inlineStr">
        <is>
          <t>1899</t>
        </is>
      </c>
      <c r="O1563" t="inlineStr">
        <is>
          <t>eng</t>
        </is>
      </c>
      <c r="P1563" t="inlineStr">
        <is>
          <t>nyu</t>
        </is>
      </c>
      <c r="Q1563" t="inlineStr">
        <is>
          <t>Nations of the world</t>
        </is>
      </c>
      <c r="R1563" t="inlineStr">
        <is>
          <t xml:space="preserve">DL </t>
        </is>
      </c>
      <c r="S1563" t="n">
        <v>3</v>
      </c>
      <c r="T1563" t="n">
        <v>3</v>
      </c>
      <c r="U1563" t="inlineStr">
        <is>
          <t>1995-04-17</t>
        </is>
      </c>
      <c r="V1563" t="inlineStr">
        <is>
          <t>1995-04-17</t>
        </is>
      </c>
      <c r="W1563" t="inlineStr">
        <is>
          <t>1992-02-26</t>
        </is>
      </c>
      <c r="X1563" t="inlineStr">
        <is>
          <t>1992-02-26</t>
        </is>
      </c>
      <c r="Y1563" t="n">
        <v>220</v>
      </c>
      <c r="Z1563" t="n">
        <v>209</v>
      </c>
      <c r="AA1563" t="n">
        <v>403</v>
      </c>
      <c r="AB1563" t="n">
        <v>2</v>
      </c>
      <c r="AC1563" t="n">
        <v>5</v>
      </c>
      <c r="AD1563" t="n">
        <v>9</v>
      </c>
      <c r="AE1563" t="n">
        <v>20</v>
      </c>
      <c r="AF1563" t="n">
        <v>6</v>
      </c>
      <c r="AG1563" t="n">
        <v>8</v>
      </c>
      <c r="AH1563" t="n">
        <v>0</v>
      </c>
      <c r="AI1563" t="n">
        <v>3</v>
      </c>
      <c r="AJ1563" t="n">
        <v>4</v>
      </c>
      <c r="AK1563" t="n">
        <v>9</v>
      </c>
      <c r="AL1563" t="n">
        <v>1</v>
      </c>
      <c r="AM1563" t="n">
        <v>3</v>
      </c>
      <c r="AN1563" t="n">
        <v>0</v>
      </c>
      <c r="AO1563" t="n">
        <v>0</v>
      </c>
      <c r="AP1563" t="inlineStr">
        <is>
          <t>Yes</t>
        </is>
      </c>
      <c r="AQ1563" t="inlineStr">
        <is>
          <t>No</t>
        </is>
      </c>
      <c r="AR1563">
        <f>HYPERLINK("http://catalog.hathitrust.org/Record/000235385","HathiTrust Record")</f>
        <v/>
      </c>
      <c r="AS1563">
        <f>HYPERLINK("https://creighton-primo.hosted.exlibrisgroup.com/primo-explore/search?tab=default_tab&amp;search_scope=EVERYTHING&amp;vid=01CRU&amp;lang=en_US&amp;offset=0&amp;query=any,contains,991003440329702656","Catalog Record")</f>
        <v/>
      </c>
      <c r="AT1563">
        <f>HYPERLINK("http://www.worldcat.org/oclc/976566","WorldCat Record")</f>
        <v/>
      </c>
      <c r="AU1563" t="inlineStr">
        <is>
          <t>1937678:eng</t>
        </is>
      </c>
      <c r="AV1563" t="inlineStr">
        <is>
          <t>976566</t>
        </is>
      </c>
      <c r="AW1563" t="inlineStr">
        <is>
          <t>991003440329702656</t>
        </is>
      </c>
      <c r="AX1563" t="inlineStr">
        <is>
          <t>991003440329702656</t>
        </is>
      </c>
      <c r="AY1563" t="inlineStr">
        <is>
          <t>2261505660002656</t>
        </is>
      </c>
      <c r="AZ1563" t="inlineStr">
        <is>
          <t>BOOK</t>
        </is>
      </c>
      <c r="BC1563" t="inlineStr">
        <is>
          <t>32285000938067</t>
        </is>
      </c>
      <c r="BD1563" t="inlineStr">
        <is>
          <t>893717646</t>
        </is>
      </c>
    </row>
    <row r="1564">
      <c r="A1564" t="inlineStr">
        <is>
          <t>No</t>
        </is>
      </c>
      <c r="B1564" t="inlineStr">
        <is>
          <t>DL46 .J67 2004</t>
        </is>
      </c>
      <c r="C1564" t="inlineStr">
        <is>
          <t>0                      DL 0046000J  67          2004</t>
        </is>
      </c>
      <c r="D1564" t="inlineStr">
        <is>
          <t>North Sea saga / Paul Jordan.</t>
        </is>
      </c>
      <c r="F1564" t="inlineStr">
        <is>
          <t>No</t>
        </is>
      </c>
      <c r="G1564" t="inlineStr">
        <is>
          <t>1</t>
        </is>
      </c>
      <c r="H1564" t="inlineStr">
        <is>
          <t>No</t>
        </is>
      </c>
      <c r="I1564" t="inlineStr">
        <is>
          <t>No</t>
        </is>
      </c>
      <c r="J1564" t="inlineStr">
        <is>
          <t>0</t>
        </is>
      </c>
      <c r="K1564" t="inlineStr">
        <is>
          <t>Jordan, Paul, 1941-</t>
        </is>
      </c>
      <c r="L1564" t="inlineStr">
        <is>
          <t>Harlow, England ; New York : Pearson/Longman, 2004.</t>
        </is>
      </c>
      <c r="M1564" t="inlineStr">
        <is>
          <t>2004</t>
        </is>
      </c>
      <c r="N1564" t="inlineStr">
        <is>
          <t>1st ed.</t>
        </is>
      </c>
      <c r="O1564" t="inlineStr">
        <is>
          <t>eng</t>
        </is>
      </c>
      <c r="P1564" t="inlineStr">
        <is>
          <t>enk</t>
        </is>
      </c>
      <c r="R1564" t="inlineStr">
        <is>
          <t xml:space="preserve">DL </t>
        </is>
      </c>
      <c r="S1564" t="n">
        <v>1</v>
      </c>
      <c r="T1564" t="n">
        <v>1</v>
      </c>
      <c r="U1564" t="inlineStr">
        <is>
          <t>2008-04-02</t>
        </is>
      </c>
      <c r="V1564" t="inlineStr">
        <is>
          <t>2008-04-02</t>
        </is>
      </c>
      <c r="W1564" t="inlineStr">
        <is>
          <t>2008-04-02</t>
        </is>
      </c>
      <c r="X1564" t="inlineStr">
        <is>
          <t>2008-04-02</t>
        </is>
      </c>
      <c r="Y1564" t="n">
        <v>206</v>
      </c>
      <c r="Z1564" t="n">
        <v>170</v>
      </c>
      <c r="AA1564" t="n">
        <v>176</v>
      </c>
      <c r="AB1564" t="n">
        <v>2</v>
      </c>
      <c r="AC1564" t="n">
        <v>2</v>
      </c>
      <c r="AD1564" t="n">
        <v>11</v>
      </c>
      <c r="AE1564" t="n">
        <v>11</v>
      </c>
      <c r="AF1564" t="n">
        <v>4</v>
      </c>
      <c r="AG1564" t="n">
        <v>4</v>
      </c>
      <c r="AH1564" t="n">
        <v>4</v>
      </c>
      <c r="AI1564" t="n">
        <v>4</v>
      </c>
      <c r="AJ1564" t="n">
        <v>5</v>
      </c>
      <c r="AK1564" t="n">
        <v>5</v>
      </c>
      <c r="AL1564" t="n">
        <v>1</v>
      </c>
      <c r="AM1564" t="n">
        <v>1</v>
      </c>
      <c r="AN1564" t="n">
        <v>0</v>
      </c>
      <c r="AO1564" t="n">
        <v>0</v>
      </c>
      <c r="AP1564" t="inlineStr">
        <is>
          <t>No</t>
        </is>
      </c>
      <c r="AQ1564" t="inlineStr">
        <is>
          <t>Yes</t>
        </is>
      </c>
      <c r="AR1564">
        <f>HYPERLINK("http://catalog.hathitrust.org/Record/004911000","HathiTrust Record")</f>
        <v/>
      </c>
      <c r="AS1564">
        <f>HYPERLINK("https://creighton-primo.hosted.exlibrisgroup.com/primo-explore/search?tab=default_tab&amp;search_scope=EVERYTHING&amp;vid=01CRU&amp;lang=en_US&amp;offset=0&amp;query=any,contains,991005196129702656","Catalog Record")</f>
        <v/>
      </c>
      <c r="AT1564">
        <f>HYPERLINK("http://www.worldcat.org/oclc/56161691","WorldCat Record")</f>
        <v/>
      </c>
      <c r="AU1564" t="inlineStr">
        <is>
          <t>1031051:eng</t>
        </is>
      </c>
      <c r="AV1564" t="inlineStr">
        <is>
          <t>56161691</t>
        </is>
      </c>
      <c r="AW1564" t="inlineStr">
        <is>
          <t>991005196129702656</t>
        </is>
      </c>
      <c r="AX1564" t="inlineStr">
        <is>
          <t>991005196129702656</t>
        </is>
      </c>
      <c r="AY1564" t="inlineStr">
        <is>
          <t>2256902150002656</t>
        </is>
      </c>
      <c r="AZ1564" t="inlineStr">
        <is>
          <t>BOOK</t>
        </is>
      </c>
      <c r="BB1564" t="inlineStr">
        <is>
          <t>9780582772571</t>
        </is>
      </c>
      <c r="BC1564" t="inlineStr">
        <is>
          <t>32285005400295</t>
        </is>
      </c>
      <c r="BD1564" t="inlineStr">
        <is>
          <t>893424710</t>
        </is>
      </c>
    </row>
    <row r="1565">
      <c r="A1565" t="inlineStr">
        <is>
          <t>No</t>
        </is>
      </c>
      <c r="B1565" t="inlineStr">
        <is>
          <t>DL46 .N7 2000</t>
        </is>
      </c>
      <c r="C1565" t="inlineStr">
        <is>
          <t>0                      DL 0046000N  7           2000</t>
        </is>
      </c>
      <c r="D1565" t="inlineStr">
        <is>
          <t>Scandinavia since 1500 / Byron J. Nordstrom.</t>
        </is>
      </c>
      <c r="F1565" t="inlineStr">
        <is>
          <t>No</t>
        </is>
      </c>
      <c r="G1565" t="inlineStr">
        <is>
          <t>1</t>
        </is>
      </c>
      <c r="H1565" t="inlineStr">
        <is>
          <t>No</t>
        </is>
      </c>
      <c r="I1565" t="inlineStr">
        <is>
          <t>No</t>
        </is>
      </c>
      <c r="J1565" t="inlineStr">
        <is>
          <t>0</t>
        </is>
      </c>
      <c r="K1565" t="inlineStr">
        <is>
          <t>Nordstrom, Byron J.</t>
        </is>
      </c>
      <c r="L1565" t="inlineStr">
        <is>
          <t>Minneapolis : University of Minnesota Press, 2000.</t>
        </is>
      </c>
      <c r="M1565" t="inlineStr">
        <is>
          <t>2000</t>
        </is>
      </c>
      <c r="O1565" t="inlineStr">
        <is>
          <t>eng</t>
        </is>
      </c>
      <c r="P1565" t="inlineStr">
        <is>
          <t>mnu</t>
        </is>
      </c>
      <c r="R1565" t="inlineStr">
        <is>
          <t xml:space="preserve">DL </t>
        </is>
      </c>
      <c r="S1565" t="n">
        <v>4</v>
      </c>
      <c r="T1565" t="n">
        <v>4</v>
      </c>
      <c r="U1565" t="inlineStr">
        <is>
          <t>2010-05-20</t>
        </is>
      </c>
      <c r="V1565" t="inlineStr">
        <is>
          <t>2010-05-20</t>
        </is>
      </c>
      <c r="W1565" t="inlineStr">
        <is>
          <t>2002-07-16</t>
        </is>
      </c>
      <c r="X1565" t="inlineStr">
        <is>
          <t>2002-07-16</t>
        </is>
      </c>
      <c r="Y1565" t="n">
        <v>693</v>
      </c>
      <c r="Z1565" t="n">
        <v>630</v>
      </c>
      <c r="AA1565" t="n">
        <v>631</v>
      </c>
      <c r="AB1565" t="n">
        <v>6</v>
      </c>
      <c r="AC1565" t="n">
        <v>6</v>
      </c>
      <c r="AD1565" t="n">
        <v>28</v>
      </c>
      <c r="AE1565" t="n">
        <v>28</v>
      </c>
      <c r="AF1565" t="n">
        <v>12</v>
      </c>
      <c r="AG1565" t="n">
        <v>12</v>
      </c>
      <c r="AH1565" t="n">
        <v>8</v>
      </c>
      <c r="AI1565" t="n">
        <v>8</v>
      </c>
      <c r="AJ1565" t="n">
        <v>11</v>
      </c>
      <c r="AK1565" t="n">
        <v>11</v>
      </c>
      <c r="AL1565" t="n">
        <v>5</v>
      </c>
      <c r="AM1565" t="n">
        <v>5</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HYPERLINK("https://creighton-primo.hosted.exlibrisgroup.com/primo-explore/search?tab=default_tab&amp;search_scope=EVERYTHING&amp;vid=01CRU&amp;lang=en_US&amp;offset=0&amp;query=any,contains,991003822709702656","Catalog Record")</f>
        <v/>
      </c>
      <c r="AT1565">
        <f>HYPERLINK("http://www.worldcat.org/oclc/43050225","WorldCat Record")</f>
        <v/>
      </c>
      <c r="AU1565" t="inlineStr">
        <is>
          <t>27479588:eng</t>
        </is>
      </c>
      <c r="AV1565" t="inlineStr">
        <is>
          <t>43050225</t>
        </is>
      </c>
      <c r="AW1565" t="inlineStr">
        <is>
          <t>991003822709702656</t>
        </is>
      </c>
      <c r="AX1565" t="inlineStr">
        <is>
          <t>991003822709702656</t>
        </is>
      </c>
      <c r="AY1565" t="inlineStr">
        <is>
          <t>2256226370002656</t>
        </is>
      </c>
      <c r="AZ1565" t="inlineStr">
        <is>
          <t>BOOK</t>
        </is>
      </c>
      <c r="BB1565" t="inlineStr">
        <is>
          <t>9780816620982</t>
        </is>
      </c>
      <c r="BC1565" t="inlineStr">
        <is>
          <t>32285004498274</t>
        </is>
      </c>
      <c r="BD1565" t="inlineStr">
        <is>
          <t>893611487</t>
        </is>
      </c>
    </row>
    <row r="1566">
      <c r="A1566" t="inlineStr">
        <is>
          <t>No</t>
        </is>
      </c>
      <c r="B1566" t="inlineStr">
        <is>
          <t>DL46 .S3</t>
        </is>
      </c>
      <c r="C1566" t="inlineStr">
        <is>
          <t>0                      DL 0046000S  3</t>
        </is>
      </c>
      <c r="D1566" t="inlineStr">
        <is>
          <t>Scandinavia past and present. Editors Jørgen Bukdahl [and others.</t>
        </is>
      </c>
      <c r="E1566" t="inlineStr">
        <is>
          <t>V.3</t>
        </is>
      </c>
      <c r="F1566" t="inlineStr">
        <is>
          <t>Yes</t>
        </is>
      </c>
      <c r="G1566" t="inlineStr">
        <is>
          <t>1</t>
        </is>
      </c>
      <c r="H1566" t="inlineStr">
        <is>
          <t>No</t>
        </is>
      </c>
      <c r="I1566" t="inlineStr">
        <is>
          <t>No</t>
        </is>
      </c>
      <c r="J1566" t="inlineStr">
        <is>
          <t>0</t>
        </is>
      </c>
      <c r="L1566" t="inlineStr">
        <is>
          <t>Odense, Denmark] Arnkrone [c1959]</t>
        </is>
      </c>
      <c r="M1566" t="inlineStr">
        <is>
          <t>1959</t>
        </is>
      </c>
      <c r="O1566" t="inlineStr">
        <is>
          <t>eng</t>
        </is>
      </c>
      <c r="P1566" t="inlineStr">
        <is>
          <t xml:space="preserve">dk </t>
        </is>
      </c>
      <c r="R1566" t="inlineStr">
        <is>
          <t xml:space="preserve">DL </t>
        </is>
      </c>
      <c r="S1566" t="n">
        <v>0</v>
      </c>
      <c r="T1566" t="n">
        <v>1</v>
      </c>
      <c r="V1566" t="inlineStr">
        <is>
          <t>2002-11-10</t>
        </is>
      </c>
      <c r="W1566" t="inlineStr">
        <is>
          <t>1997-02-12</t>
        </is>
      </c>
      <c r="X1566" t="inlineStr">
        <is>
          <t>1997-02-12</t>
        </is>
      </c>
      <c r="Y1566" t="n">
        <v>732</v>
      </c>
      <c r="Z1566" t="n">
        <v>684</v>
      </c>
      <c r="AA1566" t="n">
        <v>696</v>
      </c>
      <c r="AB1566" t="n">
        <v>9</v>
      </c>
      <c r="AC1566" t="n">
        <v>9</v>
      </c>
      <c r="AD1566" t="n">
        <v>41</v>
      </c>
      <c r="AE1566" t="n">
        <v>42</v>
      </c>
      <c r="AF1566" t="n">
        <v>13</v>
      </c>
      <c r="AG1566" t="n">
        <v>14</v>
      </c>
      <c r="AH1566" t="n">
        <v>10</v>
      </c>
      <c r="AI1566" t="n">
        <v>10</v>
      </c>
      <c r="AJ1566" t="n">
        <v>22</v>
      </c>
      <c r="AK1566" t="n">
        <v>22</v>
      </c>
      <c r="AL1566" t="n">
        <v>7</v>
      </c>
      <c r="AM1566" t="n">
        <v>7</v>
      </c>
      <c r="AN1566" t="n">
        <v>0</v>
      </c>
      <c r="AO1566" t="n">
        <v>0</v>
      </c>
      <c r="AP1566" t="inlineStr">
        <is>
          <t>No</t>
        </is>
      </c>
      <c r="AQ1566" t="inlineStr">
        <is>
          <t>Yes</t>
        </is>
      </c>
      <c r="AR1566">
        <f>HYPERLINK("http://catalog.hathitrust.org/Record/007026354","HathiTrust Record")</f>
        <v/>
      </c>
      <c r="AS1566">
        <f>HYPERLINK("https://creighton-primo.hosted.exlibrisgroup.com/primo-explore/search?tab=default_tab&amp;search_scope=EVERYTHING&amp;vid=01CRU&amp;lang=en_US&amp;offset=0&amp;query=any,contains,991003119849702656","Catalog Record")</f>
        <v/>
      </c>
      <c r="AT1566">
        <f>HYPERLINK("http://www.worldcat.org/oclc/665546","WorldCat Record")</f>
        <v/>
      </c>
      <c r="AU1566" t="inlineStr">
        <is>
          <t>4535717434:eng</t>
        </is>
      </c>
      <c r="AV1566" t="inlineStr">
        <is>
          <t>665546</t>
        </is>
      </c>
      <c r="AW1566" t="inlineStr">
        <is>
          <t>991003119849702656</t>
        </is>
      </c>
      <c r="AX1566" t="inlineStr">
        <is>
          <t>991003119849702656</t>
        </is>
      </c>
      <c r="AY1566" t="inlineStr">
        <is>
          <t>2272470100002656</t>
        </is>
      </c>
      <c r="AZ1566" t="inlineStr">
        <is>
          <t>BOOK</t>
        </is>
      </c>
      <c r="BC1566" t="inlineStr">
        <is>
          <t>32285002435740</t>
        </is>
      </c>
      <c r="BD1566" t="inlineStr">
        <is>
          <t>893317666</t>
        </is>
      </c>
    </row>
    <row r="1567">
      <c r="A1567" t="inlineStr">
        <is>
          <t>No</t>
        </is>
      </c>
      <c r="B1567" t="inlineStr">
        <is>
          <t>DL46 .S3</t>
        </is>
      </c>
      <c r="C1567" t="inlineStr">
        <is>
          <t>0                      DL 0046000S  3</t>
        </is>
      </c>
      <c r="D1567" t="inlineStr">
        <is>
          <t>Scandinavia past and present. Editors Jørgen Bukdahl [and others.</t>
        </is>
      </c>
      <c r="E1567" t="inlineStr">
        <is>
          <t>V.1</t>
        </is>
      </c>
      <c r="F1567" t="inlineStr">
        <is>
          <t>Yes</t>
        </is>
      </c>
      <c r="G1567" t="inlineStr">
        <is>
          <t>1</t>
        </is>
      </c>
      <c r="H1567" t="inlineStr">
        <is>
          <t>No</t>
        </is>
      </c>
      <c r="I1567" t="inlineStr">
        <is>
          <t>No</t>
        </is>
      </c>
      <c r="J1567" t="inlineStr">
        <is>
          <t>0</t>
        </is>
      </c>
      <c r="L1567" t="inlineStr">
        <is>
          <t>Odense, Denmark] Arnkrone [c1959]</t>
        </is>
      </c>
      <c r="M1567" t="inlineStr">
        <is>
          <t>1959</t>
        </is>
      </c>
      <c r="O1567" t="inlineStr">
        <is>
          <t>eng</t>
        </is>
      </c>
      <c r="P1567" t="inlineStr">
        <is>
          <t xml:space="preserve">dk </t>
        </is>
      </c>
      <c r="R1567" t="inlineStr">
        <is>
          <t xml:space="preserve">DL </t>
        </is>
      </c>
      <c r="S1567" t="n">
        <v>1</v>
      </c>
      <c r="T1567" t="n">
        <v>1</v>
      </c>
      <c r="U1567" t="inlineStr">
        <is>
          <t>2002-11-10</t>
        </is>
      </c>
      <c r="V1567" t="inlineStr">
        <is>
          <t>2002-11-10</t>
        </is>
      </c>
      <c r="W1567" t="inlineStr">
        <is>
          <t>1997-02-12</t>
        </is>
      </c>
      <c r="X1567" t="inlineStr">
        <is>
          <t>1997-02-12</t>
        </is>
      </c>
      <c r="Y1567" t="n">
        <v>732</v>
      </c>
      <c r="Z1567" t="n">
        <v>684</v>
      </c>
      <c r="AA1567" t="n">
        <v>696</v>
      </c>
      <c r="AB1567" t="n">
        <v>9</v>
      </c>
      <c r="AC1567" t="n">
        <v>9</v>
      </c>
      <c r="AD1567" t="n">
        <v>41</v>
      </c>
      <c r="AE1567" t="n">
        <v>42</v>
      </c>
      <c r="AF1567" t="n">
        <v>13</v>
      </c>
      <c r="AG1567" t="n">
        <v>14</v>
      </c>
      <c r="AH1567" t="n">
        <v>10</v>
      </c>
      <c r="AI1567" t="n">
        <v>10</v>
      </c>
      <c r="AJ1567" t="n">
        <v>22</v>
      </c>
      <c r="AK1567" t="n">
        <v>22</v>
      </c>
      <c r="AL1567" t="n">
        <v>7</v>
      </c>
      <c r="AM1567" t="n">
        <v>7</v>
      </c>
      <c r="AN1567" t="n">
        <v>0</v>
      </c>
      <c r="AO1567" t="n">
        <v>0</v>
      </c>
      <c r="AP1567" t="inlineStr">
        <is>
          <t>No</t>
        </is>
      </c>
      <c r="AQ1567" t="inlineStr">
        <is>
          <t>Yes</t>
        </is>
      </c>
      <c r="AR1567">
        <f>HYPERLINK("http://catalog.hathitrust.org/Record/007026354","HathiTrust Record")</f>
        <v/>
      </c>
      <c r="AS1567">
        <f>HYPERLINK("https://creighton-primo.hosted.exlibrisgroup.com/primo-explore/search?tab=default_tab&amp;search_scope=EVERYTHING&amp;vid=01CRU&amp;lang=en_US&amp;offset=0&amp;query=any,contains,991003119849702656","Catalog Record")</f>
        <v/>
      </c>
      <c r="AT1567">
        <f>HYPERLINK("http://www.worldcat.org/oclc/665546","WorldCat Record")</f>
        <v/>
      </c>
      <c r="AU1567" t="inlineStr">
        <is>
          <t>4535717434:eng</t>
        </is>
      </c>
      <c r="AV1567" t="inlineStr">
        <is>
          <t>665546</t>
        </is>
      </c>
      <c r="AW1567" t="inlineStr">
        <is>
          <t>991003119849702656</t>
        </is>
      </c>
      <c r="AX1567" t="inlineStr">
        <is>
          <t>991003119849702656</t>
        </is>
      </c>
      <c r="AY1567" t="inlineStr">
        <is>
          <t>2272470100002656</t>
        </is>
      </c>
      <c r="AZ1567" t="inlineStr">
        <is>
          <t>BOOK</t>
        </is>
      </c>
      <c r="BC1567" t="inlineStr">
        <is>
          <t>32285002435724</t>
        </is>
      </c>
      <c r="BD1567" t="inlineStr">
        <is>
          <t>893352690</t>
        </is>
      </c>
    </row>
    <row r="1568">
      <c r="A1568" t="inlineStr">
        <is>
          <t>No</t>
        </is>
      </c>
      <c r="B1568" t="inlineStr">
        <is>
          <t>DL46 .S3</t>
        </is>
      </c>
      <c r="C1568" t="inlineStr">
        <is>
          <t>0                      DL 0046000S  3</t>
        </is>
      </c>
      <c r="D1568" t="inlineStr">
        <is>
          <t>Scandinavia past and present. Editors Jørgen Bukdahl [and others.</t>
        </is>
      </c>
      <c r="E1568" t="inlineStr">
        <is>
          <t>V.2</t>
        </is>
      </c>
      <c r="F1568" t="inlineStr">
        <is>
          <t>Yes</t>
        </is>
      </c>
      <c r="G1568" t="inlineStr">
        <is>
          <t>1</t>
        </is>
      </c>
      <c r="H1568" t="inlineStr">
        <is>
          <t>No</t>
        </is>
      </c>
      <c r="I1568" t="inlineStr">
        <is>
          <t>No</t>
        </is>
      </c>
      <c r="J1568" t="inlineStr">
        <is>
          <t>0</t>
        </is>
      </c>
      <c r="L1568" t="inlineStr">
        <is>
          <t>Odense, Denmark] Arnkrone [c1959]</t>
        </is>
      </c>
      <c r="M1568" t="inlineStr">
        <is>
          <t>1959</t>
        </is>
      </c>
      <c r="O1568" t="inlineStr">
        <is>
          <t>eng</t>
        </is>
      </c>
      <c r="P1568" t="inlineStr">
        <is>
          <t xml:space="preserve">dk </t>
        </is>
      </c>
      <c r="R1568" t="inlineStr">
        <is>
          <t xml:space="preserve">DL </t>
        </is>
      </c>
      <c r="S1568" t="n">
        <v>0</v>
      </c>
      <c r="T1568" t="n">
        <v>1</v>
      </c>
      <c r="V1568" t="inlineStr">
        <is>
          <t>2002-11-10</t>
        </is>
      </c>
      <c r="W1568" t="inlineStr">
        <is>
          <t>1997-02-12</t>
        </is>
      </c>
      <c r="X1568" t="inlineStr">
        <is>
          <t>1997-02-12</t>
        </is>
      </c>
      <c r="Y1568" t="n">
        <v>732</v>
      </c>
      <c r="Z1568" t="n">
        <v>684</v>
      </c>
      <c r="AA1568" t="n">
        <v>696</v>
      </c>
      <c r="AB1568" t="n">
        <v>9</v>
      </c>
      <c r="AC1568" t="n">
        <v>9</v>
      </c>
      <c r="AD1568" t="n">
        <v>41</v>
      </c>
      <c r="AE1568" t="n">
        <v>42</v>
      </c>
      <c r="AF1568" t="n">
        <v>13</v>
      </c>
      <c r="AG1568" t="n">
        <v>14</v>
      </c>
      <c r="AH1568" t="n">
        <v>10</v>
      </c>
      <c r="AI1568" t="n">
        <v>10</v>
      </c>
      <c r="AJ1568" t="n">
        <v>22</v>
      </c>
      <c r="AK1568" t="n">
        <v>22</v>
      </c>
      <c r="AL1568" t="n">
        <v>7</v>
      </c>
      <c r="AM1568" t="n">
        <v>7</v>
      </c>
      <c r="AN1568" t="n">
        <v>0</v>
      </c>
      <c r="AO1568" t="n">
        <v>0</v>
      </c>
      <c r="AP1568" t="inlineStr">
        <is>
          <t>No</t>
        </is>
      </c>
      <c r="AQ1568" t="inlineStr">
        <is>
          <t>Yes</t>
        </is>
      </c>
      <c r="AR1568">
        <f>HYPERLINK("http://catalog.hathitrust.org/Record/007026354","HathiTrust Record")</f>
        <v/>
      </c>
      <c r="AS1568">
        <f>HYPERLINK("https://creighton-primo.hosted.exlibrisgroup.com/primo-explore/search?tab=default_tab&amp;search_scope=EVERYTHING&amp;vid=01CRU&amp;lang=en_US&amp;offset=0&amp;query=any,contains,991003119849702656","Catalog Record")</f>
        <v/>
      </c>
      <c r="AT1568">
        <f>HYPERLINK("http://www.worldcat.org/oclc/665546","WorldCat Record")</f>
        <v/>
      </c>
      <c r="AU1568" t="inlineStr">
        <is>
          <t>4535717434:eng</t>
        </is>
      </c>
      <c r="AV1568" t="inlineStr">
        <is>
          <t>665546</t>
        </is>
      </c>
      <c r="AW1568" t="inlineStr">
        <is>
          <t>991003119849702656</t>
        </is>
      </c>
      <c r="AX1568" t="inlineStr">
        <is>
          <t>991003119849702656</t>
        </is>
      </c>
      <c r="AY1568" t="inlineStr">
        <is>
          <t>2272470100002656</t>
        </is>
      </c>
      <c r="AZ1568" t="inlineStr">
        <is>
          <t>BOOK</t>
        </is>
      </c>
      <c r="BC1568" t="inlineStr">
        <is>
          <t>32285002435732</t>
        </is>
      </c>
      <c r="BD1568" t="inlineStr">
        <is>
          <t>893317667</t>
        </is>
      </c>
    </row>
    <row r="1569">
      <c r="A1569" t="inlineStr">
        <is>
          <t>No</t>
        </is>
      </c>
      <c r="B1569" t="inlineStr">
        <is>
          <t>DL460 .S643 pt.2</t>
        </is>
      </c>
      <c r="C1569" t="inlineStr">
        <is>
          <t>0                      DL 0460000S  643                                                     pt.2</t>
        </is>
      </c>
      <c r="D1569" t="inlineStr">
        <is>
          <t>Heimskringla : part two, of sagas of the Norse Kings / Snorri Sturluson; translated by Samuel Laing; revised with introduction and notes by Peter Foote.</t>
        </is>
      </c>
      <c r="E1569" t="inlineStr">
        <is>
          <t>pt.2*</t>
        </is>
      </c>
      <c r="F1569" t="inlineStr">
        <is>
          <t>No</t>
        </is>
      </c>
      <c r="G1569" t="inlineStr">
        <is>
          <t>1</t>
        </is>
      </c>
      <c r="H1569" t="inlineStr">
        <is>
          <t>No</t>
        </is>
      </c>
      <c r="I1569" t="inlineStr">
        <is>
          <t>No</t>
        </is>
      </c>
      <c r="J1569" t="inlineStr">
        <is>
          <t>0</t>
        </is>
      </c>
      <c r="K1569" t="inlineStr">
        <is>
          <t>Snorri Sturluson, 1179?-1241.</t>
        </is>
      </c>
      <c r="L1569" t="inlineStr">
        <is>
          <t>London : Dent ; New York : Dutton, c1961.</t>
        </is>
      </c>
      <c r="M1569" t="inlineStr">
        <is>
          <t>1961</t>
        </is>
      </c>
      <c r="O1569" t="inlineStr">
        <is>
          <t>eng</t>
        </is>
      </c>
      <c r="P1569" t="inlineStr">
        <is>
          <t>enk</t>
        </is>
      </c>
      <c r="Q1569" t="inlineStr">
        <is>
          <t>Everyman's library ; 847</t>
        </is>
      </c>
      <c r="R1569" t="inlineStr">
        <is>
          <t xml:space="preserve">DL </t>
        </is>
      </c>
      <c r="S1569" t="n">
        <v>1</v>
      </c>
      <c r="T1569" t="n">
        <v>1</v>
      </c>
      <c r="U1569" t="inlineStr">
        <is>
          <t>2006-03-13</t>
        </is>
      </c>
      <c r="V1569" t="inlineStr">
        <is>
          <t>2006-03-13</t>
        </is>
      </c>
      <c r="W1569" t="inlineStr">
        <is>
          <t>1999-11-18</t>
        </is>
      </c>
      <c r="X1569" t="inlineStr">
        <is>
          <t>1999-11-18</t>
        </is>
      </c>
      <c r="Y1569" t="n">
        <v>23</v>
      </c>
      <c r="Z1569" t="n">
        <v>14</v>
      </c>
      <c r="AA1569" t="n">
        <v>24</v>
      </c>
      <c r="AB1569" t="n">
        <v>1</v>
      </c>
      <c r="AC1569" t="n">
        <v>1</v>
      </c>
      <c r="AD1569" t="n">
        <v>0</v>
      </c>
      <c r="AE1569" t="n">
        <v>0</v>
      </c>
      <c r="AF1569" t="n">
        <v>0</v>
      </c>
      <c r="AG1569" t="n">
        <v>0</v>
      </c>
      <c r="AH1569" t="n">
        <v>0</v>
      </c>
      <c r="AI1569" t="n">
        <v>0</v>
      </c>
      <c r="AJ1569" t="n">
        <v>0</v>
      </c>
      <c r="AK1569" t="n">
        <v>0</v>
      </c>
      <c r="AL1569" t="n">
        <v>0</v>
      </c>
      <c r="AM1569" t="n">
        <v>0</v>
      </c>
      <c r="AN1569" t="n">
        <v>0</v>
      </c>
      <c r="AO1569" t="n">
        <v>0</v>
      </c>
      <c r="AP1569" t="inlineStr">
        <is>
          <t>No</t>
        </is>
      </c>
      <c r="AQ1569" t="inlineStr">
        <is>
          <t>Yes</t>
        </is>
      </c>
      <c r="AR1569">
        <f>HYPERLINK("http://catalog.hathitrust.org/Record/007032061","HathiTrust Record")</f>
        <v/>
      </c>
      <c r="AS1569">
        <f>HYPERLINK("https://creighton-primo.hosted.exlibrisgroup.com/primo-explore/search?tab=default_tab&amp;search_scope=EVERYTHING&amp;vid=01CRU&amp;lang=en_US&amp;offset=0&amp;query=any,contains,991001801469702656","Catalog Record")</f>
        <v/>
      </c>
      <c r="AT1569">
        <f>HYPERLINK("http://www.worldcat.org/oclc/22652387","WorldCat Record")</f>
        <v/>
      </c>
      <c r="AU1569" t="inlineStr">
        <is>
          <t>8960515494:eng</t>
        </is>
      </c>
      <c r="AV1569" t="inlineStr">
        <is>
          <t>22652387</t>
        </is>
      </c>
      <c r="AW1569" t="inlineStr">
        <is>
          <t>991001801469702656</t>
        </is>
      </c>
      <c r="AX1569" t="inlineStr">
        <is>
          <t>991001801469702656</t>
        </is>
      </c>
      <c r="AY1569" t="inlineStr">
        <is>
          <t>2256970600002656</t>
        </is>
      </c>
      <c r="AZ1569" t="inlineStr">
        <is>
          <t>BOOK</t>
        </is>
      </c>
      <c r="BC1569" t="inlineStr">
        <is>
          <t>32285003624995</t>
        </is>
      </c>
      <c r="BD1569" t="inlineStr">
        <is>
          <t>893439458</t>
        </is>
      </c>
    </row>
    <row r="1570">
      <c r="A1570" t="inlineStr">
        <is>
          <t>No</t>
        </is>
      </c>
      <c r="B1570" t="inlineStr">
        <is>
          <t>DL506 .D47</t>
        </is>
      </c>
      <c r="C1570" t="inlineStr">
        <is>
          <t>0                      DL 0506000D  47</t>
        </is>
      </c>
      <c r="D1570" t="inlineStr">
        <is>
          <t>A history of modern Norway, 1814-1972 [by] T. K. Derry.</t>
        </is>
      </c>
      <c r="F1570" t="inlineStr">
        <is>
          <t>No</t>
        </is>
      </c>
      <c r="G1570" t="inlineStr">
        <is>
          <t>1</t>
        </is>
      </c>
      <c r="H1570" t="inlineStr">
        <is>
          <t>No</t>
        </is>
      </c>
      <c r="I1570" t="inlineStr">
        <is>
          <t>No</t>
        </is>
      </c>
      <c r="J1570" t="inlineStr">
        <is>
          <t>0</t>
        </is>
      </c>
      <c r="K1570" t="inlineStr">
        <is>
          <t>Derry, T. K. (Thomas Kingston), 1905-2001.</t>
        </is>
      </c>
      <c r="L1570" t="inlineStr">
        <is>
          <t>Oxford, Clarendon Press, 1973.</t>
        </is>
      </c>
      <c r="M1570" t="inlineStr">
        <is>
          <t>1973</t>
        </is>
      </c>
      <c r="O1570" t="inlineStr">
        <is>
          <t>eng</t>
        </is>
      </c>
      <c r="P1570" t="inlineStr">
        <is>
          <t>enk</t>
        </is>
      </c>
      <c r="R1570" t="inlineStr">
        <is>
          <t xml:space="preserve">DL </t>
        </is>
      </c>
      <c r="S1570" t="n">
        <v>10</v>
      </c>
      <c r="T1570" t="n">
        <v>10</v>
      </c>
      <c r="U1570" t="inlineStr">
        <is>
          <t>2005-07-05</t>
        </is>
      </c>
      <c r="V1570" t="inlineStr">
        <is>
          <t>2005-07-05</t>
        </is>
      </c>
      <c r="W1570" t="inlineStr">
        <is>
          <t>1990-02-09</t>
        </is>
      </c>
      <c r="X1570" t="inlineStr">
        <is>
          <t>1990-02-09</t>
        </is>
      </c>
      <c r="Y1570" t="n">
        <v>840</v>
      </c>
      <c r="Z1570" t="n">
        <v>631</v>
      </c>
      <c r="AA1570" t="n">
        <v>633</v>
      </c>
      <c r="AB1570" t="n">
        <v>5</v>
      </c>
      <c r="AC1570" t="n">
        <v>5</v>
      </c>
      <c r="AD1570" t="n">
        <v>25</v>
      </c>
      <c r="AE1570" t="n">
        <v>25</v>
      </c>
      <c r="AF1570" t="n">
        <v>7</v>
      </c>
      <c r="AG1570" t="n">
        <v>7</v>
      </c>
      <c r="AH1570" t="n">
        <v>8</v>
      </c>
      <c r="AI1570" t="n">
        <v>8</v>
      </c>
      <c r="AJ1570" t="n">
        <v>12</v>
      </c>
      <c r="AK1570" t="n">
        <v>12</v>
      </c>
      <c r="AL1570" t="n">
        <v>4</v>
      </c>
      <c r="AM1570" t="n">
        <v>4</v>
      </c>
      <c r="AN1570" t="n">
        <v>0</v>
      </c>
      <c r="AO1570" t="n">
        <v>0</v>
      </c>
      <c r="AP1570" t="inlineStr">
        <is>
          <t>No</t>
        </is>
      </c>
      <c r="AQ1570" t="inlineStr">
        <is>
          <t>Yes</t>
        </is>
      </c>
      <c r="AR1570">
        <f>HYPERLINK("http://catalog.hathitrust.org/Record/001235909","HathiTrust Record")</f>
        <v/>
      </c>
      <c r="AS1570">
        <f>HYPERLINK("https://creighton-primo.hosted.exlibrisgroup.com/primo-explore/search?tab=default_tab&amp;search_scope=EVERYTHING&amp;vid=01CRU&amp;lang=en_US&amp;offset=0&amp;query=any,contains,991003168329702656","Catalog Record")</f>
        <v/>
      </c>
      <c r="AT1570">
        <f>HYPERLINK("http://www.worldcat.org/oclc/705415","WorldCat Record")</f>
        <v/>
      </c>
      <c r="AU1570" t="inlineStr">
        <is>
          <t>416015:eng</t>
        </is>
      </c>
      <c r="AV1570" t="inlineStr">
        <is>
          <t>705415</t>
        </is>
      </c>
      <c r="AW1570" t="inlineStr">
        <is>
          <t>991003168329702656</t>
        </is>
      </c>
      <c r="AX1570" t="inlineStr">
        <is>
          <t>991003168329702656</t>
        </is>
      </c>
      <c r="AY1570" t="inlineStr">
        <is>
          <t>2259126910002656</t>
        </is>
      </c>
      <c r="AZ1570" t="inlineStr">
        <is>
          <t>BOOK</t>
        </is>
      </c>
      <c r="BB1570" t="inlineStr">
        <is>
          <t>9780198225034</t>
        </is>
      </c>
      <c r="BC1570" t="inlineStr">
        <is>
          <t>32285000034453</t>
        </is>
      </c>
      <c r="BD1570" t="inlineStr">
        <is>
          <t>893330035</t>
        </is>
      </c>
    </row>
    <row r="1571">
      <c r="A1571" t="inlineStr">
        <is>
          <t>No</t>
        </is>
      </c>
      <c r="B1571" t="inlineStr">
        <is>
          <t>DL529.Q5 H38 1972</t>
        </is>
      </c>
      <c r="C1571" t="inlineStr">
        <is>
          <t>0                      DL 0529000Q  5                  H  38          1972</t>
        </is>
      </c>
      <c r="D1571" t="inlineStr">
        <is>
          <t>Quisling : the career and political ideas of Vidkun Quisling, 1887-1945 / [by] Paul M. Hayes.</t>
        </is>
      </c>
      <c r="F1571" t="inlineStr">
        <is>
          <t>No</t>
        </is>
      </c>
      <c r="G1571" t="inlineStr">
        <is>
          <t>1</t>
        </is>
      </c>
      <c r="H1571" t="inlineStr">
        <is>
          <t>No</t>
        </is>
      </c>
      <c r="I1571" t="inlineStr">
        <is>
          <t>No</t>
        </is>
      </c>
      <c r="J1571" t="inlineStr">
        <is>
          <t>0</t>
        </is>
      </c>
      <c r="K1571" t="inlineStr">
        <is>
          <t>Hayes, Paul M.</t>
        </is>
      </c>
      <c r="L1571" t="inlineStr">
        <is>
          <t>Bloomington, Indiana University Press [1972, c1971]</t>
        </is>
      </c>
      <c r="M1571" t="inlineStr">
        <is>
          <t>1972</t>
        </is>
      </c>
      <c r="O1571" t="inlineStr">
        <is>
          <t>eng</t>
        </is>
      </c>
      <c r="P1571" t="inlineStr">
        <is>
          <t>inu</t>
        </is>
      </c>
      <c r="R1571" t="inlineStr">
        <is>
          <t xml:space="preserve">DL </t>
        </is>
      </c>
      <c r="S1571" t="n">
        <v>2</v>
      </c>
      <c r="T1571" t="n">
        <v>2</v>
      </c>
      <c r="U1571" t="inlineStr">
        <is>
          <t>1995-06-07</t>
        </is>
      </c>
      <c r="V1571" t="inlineStr">
        <is>
          <t>1995-06-07</t>
        </is>
      </c>
      <c r="W1571" t="inlineStr">
        <is>
          <t>1991-09-12</t>
        </is>
      </c>
      <c r="X1571" t="inlineStr">
        <is>
          <t>1991-09-12</t>
        </is>
      </c>
      <c r="Y1571" t="n">
        <v>541</v>
      </c>
      <c r="Z1571" t="n">
        <v>506</v>
      </c>
      <c r="AA1571" t="n">
        <v>643</v>
      </c>
      <c r="AB1571" t="n">
        <v>2</v>
      </c>
      <c r="AC1571" t="n">
        <v>4</v>
      </c>
      <c r="AD1571" t="n">
        <v>15</v>
      </c>
      <c r="AE1571" t="n">
        <v>22</v>
      </c>
      <c r="AF1571" t="n">
        <v>4</v>
      </c>
      <c r="AG1571" t="n">
        <v>4</v>
      </c>
      <c r="AH1571" t="n">
        <v>6</v>
      </c>
      <c r="AI1571" t="n">
        <v>9</v>
      </c>
      <c r="AJ1571" t="n">
        <v>9</v>
      </c>
      <c r="AK1571" t="n">
        <v>12</v>
      </c>
      <c r="AL1571" t="n">
        <v>1</v>
      </c>
      <c r="AM1571" t="n">
        <v>3</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HYPERLINK("https://creighton-primo.hosted.exlibrisgroup.com/primo-explore/search?tab=default_tab&amp;search_scope=EVERYTHING&amp;vid=01CRU&amp;lang=en_US&amp;offset=0&amp;query=any,contains,991002325619702656","Catalog Record")</f>
        <v/>
      </c>
      <c r="AT1571">
        <f>HYPERLINK("http://www.worldcat.org/oclc/320725","WorldCat Record")</f>
        <v/>
      </c>
      <c r="AU1571" t="inlineStr">
        <is>
          <t>1368817:eng</t>
        </is>
      </c>
      <c r="AV1571" t="inlineStr">
        <is>
          <t>320725</t>
        </is>
      </c>
      <c r="AW1571" t="inlineStr">
        <is>
          <t>991002325619702656</t>
        </is>
      </c>
      <c r="AX1571" t="inlineStr">
        <is>
          <t>991002325619702656</t>
        </is>
      </c>
      <c r="AY1571" t="inlineStr">
        <is>
          <t>2255870550002656</t>
        </is>
      </c>
      <c r="AZ1571" t="inlineStr">
        <is>
          <t>BOOK</t>
        </is>
      </c>
      <c r="BB1571" t="inlineStr">
        <is>
          <t>9780253347602</t>
        </is>
      </c>
      <c r="BC1571" t="inlineStr">
        <is>
          <t>32285000651587</t>
        </is>
      </c>
      <c r="BD1571" t="inlineStr">
        <is>
          <t>893504288</t>
        </is>
      </c>
    </row>
    <row r="1572">
      <c r="A1572" t="inlineStr">
        <is>
          <t>No</t>
        </is>
      </c>
      <c r="B1572" t="inlineStr">
        <is>
          <t>DL530 .A5 1942c</t>
        </is>
      </c>
      <c r="C1572" t="inlineStr">
        <is>
          <t>0                      DL 0530000A  5           1942c</t>
        </is>
      </c>
      <c r="D1572" t="inlineStr">
        <is>
          <t>All for Norway! : published on the occasion of H.M. King Haakon's 70th birthday, August 3, 1942 / by the Royal Norwegian government's information office.</t>
        </is>
      </c>
      <c r="F1572" t="inlineStr">
        <is>
          <t>No</t>
        </is>
      </c>
      <c r="G1572" t="inlineStr">
        <is>
          <t>1</t>
        </is>
      </c>
      <c r="H1572" t="inlineStr">
        <is>
          <t>No</t>
        </is>
      </c>
      <c r="I1572" t="inlineStr">
        <is>
          <t>No</t>
        </is>
      </c>
      <c r="J1572" t="inlineStr">
        <is>
          <t>0</t>
        </is>
      </c>
      <c r="K1572" t="inlineStr">
        <is>
          <t>Norway. Norske regjerings informasjonskontor.</t>
        </is>
      </c>
      <c r="M1572" t="inlineStr">
        <is>
          <t>1942</t>
        </is>
      </c>
      <c r="O1572" t="inlineStr">
        <is>
          <t>eng</t>
        </is>
      </c>
      <c r="P1572" t="inlineStr">
        <is>
          <t>enk</t>
        </is>
      </c>
      <c r="R1572" t="inlineStr">
        <is>
          <t xml:space="preserve">DL </t>
        </is>
      </c>
      <c r="S1572" t="n">
        <v>4</v>
      </c>
      <c r="T1572" t="n">
        <v>4</v>
      </c>
      <c r="U1572" t="inlineStr">
        <is>
          <t>1995-06-07</t>
        </is>
      </c>
      <c r="V1572" t="inlineStr">
        <is>
          <t>1995-06-07</t>
        </is>
      </c>
      <c r="W1572" t="inlineStr">
        <is>
          <t>1993-05-13</t>
        </is>
      </c>
      <c r="X1572" t="inlineStr">
        <is>
          <t>1993-05-13</t>
        </is>
      </c>
      <c r="Y1572" t="n">
        <v>95</v>
      </c>
      <c r="Z1572" t="n">
        <v>76</v>
      </c>
      <c r="AA1572" t="n">
        <v>76</v>
      </c>
      <c r="AB1572" t="n">
        <v>1</v>
      </c>
      <c r="AC1572" t="n">
        <v>1</v>
      </c>
      <c r="AD1572" t="n">
        <v>1</v>
      </c>
      <c r="AE1572" t="n">
        <v>1</v>
      </c>
      <c r="AF1572" t="n">
        <v>0</v>
      </c>
      <c r="AG1572" t="n">
        <v>0</v>
      </c>
      <c r="AH1572" t="n">
        <v>0</v>
      </c>
      <c r="AI1572" t="n">
        <v>0</v>
      </c>
      <c r="AJ1572" t="n">
        <v>1</v>
      </c>
      <c r="AK1572" t="n">
        <v>1</v>
      </c>
      <c r="AL1572" t="n">
        <v>0</v>
      </c>
      <c r="AM1572" t="n">
        <v>0</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HYPERLINK("https://creighton-primo.hosted.exlibrisgroup.com/primo-explore/search?tab=default_tab&amp;search_scope=EVERYTHING&amp;vid=01CRU&amp;lang=en_US&amp;offset=0&amp;query=any,contains,991002903319702656","Catalog Record")</f>
        <v/>
      </c>
      <c r="AT1572">
        <f>HYPERLINK("http://www.worldcat.org/oclc/518284","WorldCat Record")</f>
        <v/>
      </c>
      <c r="AU1572" t="inlineStr">
        <is>
          <t>1811760447:eng</t>
        </is>
      </c>
      <c r="AV1572" t="inlineStr">
        <is>
          <t>518284</t>
        </is>
      </c>
      <c r="AW1572" t="inlineStr">
        <is>
          <t>991002903319702656</t>
        </is>
      </c>
      <c r="AX1572" t="inlineStr">
        <is>
          <t>991002903319702656</t>
        </is>
      </c>
      <c r="AY1572" t="inlineStr">
        <is>
          <t>2255878370002656</t>
        </is>
      </c>
      <c r="AZ1572" t="inlineStr">
        <is>
          <t>BOOK</t>
        </is>
      </c>
      <c r="BC1572" t="inlineStr">
        <is>
          <t>32285001654044</t>
        </is>
      </c>
      <c r="BD1572" t="inlineStr">
        <is>
          <t>893498693</t>
        </is>
      </c>
    </row>
    <row r="1573">
      <c r="A1573" t="inlineStr">
        <is>
          <t>No</t>
        </is>
      </c>
      <c r="B1573" t="inlineStr">
        <is>
          <t>DL55 .F67 1982</t>
        </is>
      </c>
      <c r="C1573" t="inlineStr">
        <is>
          <t>0                      DL 0055000F  67          1982</t>
        </is>
      </c>
      <c r="D1573" t="inlineStr">
        <is>
          <t>Foreign policies of Northern Europe / edited by Bengt Sundelius.</t>
        </is>
      </c>
      <c r="F1573" t="inlineStr">
        <is>
          <t>No</t>
        </is>
      </c>
      <c r="G1573" t="inlineStr">
        <is>
          <t>1</t>
        </is>
      </c>
      <c r="H1573" t="inlineStr">
        <is>
          <t>No</t>
        </is>
      </c>
      <c r="I1573" t="inlineStr">
        <is>
          <t>No</t>
        </is>
      </c>
      <c r="J1573" t="inlineStr">
        <is>
          <t>0</t>
        </is>
      </c>
      <c r="L1573" t="inlineStr">
        <is>
          <t>Boulder, Colo. : Westview Press, 1982.</t>
        </is>
      </c>
      <c r="M1573" t="inlineStr">
        <is>
          <t>1982</t>
        </is>
      </c>
      <c r="O1573" t="inlineStr">
        <is>
          <t>eng</t>
        </is>
      </c>
      <c r="P1573" t="inlineStr">
        <is>
          <t>cou</t>
        </is>
      </c>
      <c r="Q1573" t="inlineStr">
        <is>
          <t>Westview special studies in international relations</t>
        </is>
      </c>
      <c r="R1573" t="inlineStr">
        <is>
          <t xml:space="preserve">DL </t>
        </is>
      </c>
      <c r="S1573" t="n">
        <v>2</v>
      </c>
      <c r="T1573" t="n">
        <v>2</v>
      </c>
      <c r="U1573" t="inlineStr">
        <is>
          <t>1994-10-03</t>
        </is>
      </c>
      <c r="V1573" t="inlineStr">
        <is>
          <t>1994-10-03</t>
        </is>
      </c>
      <c r="W1573" t="inlineStr">
        <is>
          <t>1991-09-12</t>
        </is>
      </c>
      <c r="X1573" t="inlineStr">
        <is>
          <t>1991-09-12</t>
        </is>
      </c>
      <c r="Y1573" t="n">
        <v>299</v>
      </c>
      <c r="Z1573" t="n">
        <v>233</v>
      </c>
      <c r="AA1573" t="n">
        <v>253</v>
      </c>
      <c r="AB1573" t="n">
        <v>3</v>
      </c>
      <c r="AC1573" t="n">
        <v>3</v>
      </c>
      <c r="AD1573" t="n">
        <v>9</v>
      </c>
      <c r="AE1573" t="n">
        <v>9</v>
      </c>
      <c r="AF1573" t="n">
        <v>1</v>
      </c>
      <c r="AG1573" t="n">
        <v>1</v>
      </c>
      <c r="AH1573" t="n">
        <v>1</v>
      </c>
      <c r="AI1573" t="n">
        <v>1</v>
      </c>
      <c r="AJ1573" t="n">
        <v>6</v>
      </c>
      <c r="AK1573" t="n">
        <v>6</v>
      </c>
      <c r="AL1573" t="n">
        <v>2</v>
      </c>
      <c r="AM1573" t="n">
        <v>2</v>
      </c>
      <c r="AN1573" t="n">
        <v>0</v>
      </c>
      <c r="AO1573" t="n">
        <v>0</v>
      </c>
      <c r="AP1573" t="inlineStr">
        <is>
          <t>No</t>
        </is>
      </c>
      <c r="AQ1573" t="inlineStr">
        <is>
          <t>Yes</t>
        </is>
      </c>
      <c r="AR1573">
        <f>HYPERLINK("http://catalog.hathitrust.org/Record/000233868","HathiTrust Record")</f>
        <v/>
      </c>
      <c r="AS1573">
        <f>HYPERLINK("https://creighton-primo.hosted.exlibrisgroup.com/primo-explore/search?tab=default_tab&amp;search_scope=EVERYTHING&amp;vid=01CRU&amp;lang=en_US&amp;offset=0&amp;query=any,contains,991005207269702656","Catalog Record")</f>
        <v/>
      </c>
      <c r="AT1573">
        <f>HYPERLINK("http://www.worldcat.org/oclc/8131934","WorldCat Record")</f>
        <v/>
      </c>
      <c r="AU1573" t="inlineStr">
        <is>
          <t>54479863:eng</t>
        </is>
      </c>
      <c r="AV1573" t="inlineStr">
        <is>
          <t>8131934</t>
        </is>
      </c>
      <c r="AW1573" t="inlineStr">
        <is>
          <t>991005207269702656</t>
        </is>
      </c>
      <c r="AX1573" t="inlineStr">
        <is>
          <t>991005207269702656</t>
        </is>
      </c>
      <c r="AY1573" t="inlineStr">
        <is>
          <t>2266433030002656</t>
        </is>
      </c>
      <c r="AZ1573" t="inlineStr">
        <is>
          <t>BOOK</t>
        </is>
      </c>
      <c r="BB1573" t="inlineStr">
        <is>
          <t>9780865311374</t>
        </is>
      </c>
      <c r="BC1573" t="inlineStr">
        <is>
          <t>32285000651504</t>
        </is>
      </c>
      <c r="BD1573" t="inlineStr">
        <is>
          <t>893236480</t>
        </is>
      </c>
    </row>
    <row r="1574">
      <c r="A1574" t="inlineStr">
        <is>
          <t>No</t>
        </is>
      </c>
      <c r="B1574" t="inlineStr">
        <is>
          <t>DL6.7 .M43 1981</t>
        </is>
      </c>
      <c r="C1574" t="inlineStr">
        <is>
          <t>0                      DL 0006700M  43          1981</t>
        </is>
      </c>
      <c r="D1574" t="inlineStr">
        <is>
          <t>An historical geography of Scandinavia / W.R. Mead.</t>
        </is>
      </c>
      <c r="F1574" t="inlineStr">
        <is>
          <t>No</t>
        </is>
      </c>
      <c r="G1574" t="inlineStr">
        <is>
          <t>1</t>
        </is>
      </c>
      <c r="H1574" t="inlineStr">
        <is>
          <t>No</t>
        </is>
      </c>
      <c r="I1574" t="inlineStr">
        <is>
          <t>No</t>
        </is>
      </c>
      <c r="J1574" t="inlineStr">
        <is>
          <t>0</t>
        </is>
      </c>
      <c r="K1574" t="inlineStr">
        <is>
          <t>Mead, W. R. (William Richard)</t>
        </is>
      </c>
      <c r="L1574" t="inlineStr">
        <is>
          <t>London ; New York : Academic Press, 1981.</t>
        </is>
      </c>
      <c r="M1574" t="inlineStr">
        <is>
          <t>1981</t>
        </is>
      </c>
      <c r="O1574" t="inlineStr">
        <is>
          <t>eng</t>
        </is>
      </c>
      <c r="P1574" t="inlineStr">
        <is>
          <t>enk</t>
        </is>
      </c>
      <c r="R1574" t="inlineStr">
        <is>
          <t xml:space="preserve">DL </t>
        </is>
      </c>
      <c r="S1574" t="n">
        <v>1</v>
      </c>
      <c r="T1574" t="n">
        <v>1</v>
      </c>
      <c r="U1574" t="inlineStr">
        <is>
          <t>2010-08-10</t>
        </is>
      </c>
      <c r="V1574" t="inlineStr">
        <is>
          <t>2010-08-10</t>
        </is>
      </c>
      <c r="W1574" t="inlineStr">
        <is>
          <t>1991-09-12</t>
        </is>
      </c>
      <c r="X1574" t="inlineStr">
        <is>
          <t>1991-09-12</t>
        </is>
      </c>
      <c r="Y1574" t="n">
        <v>361</v>
      </c>
      <c r="Z1574" t="n">
        <v>242</v>
      </c>
      <c r="AA1574" t="n">
        <v>250</v>
      </c>
      <c r="AB1574" t="n">
        <v>4</v>
      </c>
      <c r="AC1574" t="n">
        <v>4</v>
      </c>
      <c r="AD1574" t="n">
        <v>11</v>
      </c>
      <c r="AE1574" t="n">
        <v>11</v>
      </c>
      <c r="AF1574" t="n">
        <v>3</v>
      </c>
      <c r="AG1574" t="n">
        <v>3</v>
      </c>
      <c r="AH1574" t="n">
        <v>2</v>
      </c>
      <c r="AI1574" t="n">
        <v>2</v>
      </c>
      <c r="AJ1574" t="n">
        <v>5</v>
      </c>
      <c r="AK1574" t="n">
        <v>5</v>
      </c>
      <c r="AL1574" t="n">
        <v>3</v>
      </c>
      <c r="AM1574" t="n">
        <v>3</v>
      </c>
      <c r="AN1574" t="n">
        <v>0</v>
      </c>
      <c r="AO1574" t="n">
        <v>0</v>
      </c>
      <c r="AP1574" t="inlineStr">
        <is>
          <t>No</t>
        </is>
      </c>
      <c r="AQ1574" t="inlineStr">
        <is>
          <t>Yes</t>
        </is>
      </c>
      <c r="AR1574">
        <f>HYPERLINK("http://catalog.hathitrust.org/Record/000139678","HathiTrust Record")</f>
        <v/>
      </c>
      <c r="AS1574">
        <f>HYPERLINK("https://creighton-primo.hosted.exlibrisgroup.com/primo-explore/search?tab=default_tab&amp;search_scope=EVERYTHING&amp;vid=01CRU&amp;lang=en_US&amp;offset=0&amp;query=any,contains,991000218069702656","Catalog Record")</f>
        <v/>
      </c>
      <c r="AT1574">
        <f>HYPERLINK("http://www.worldcat.org/oclc/9575106","WorldCat Record")</f>
        <v/>
      </c>
      <c r="AU1574" t="inlineStr">
        <is>
          <t>29891001:eng</t>
        </is>
      </c>
      <c r="AV1574" t="inlineStr">
        <is>
          <t>9575106</t>
        </is>
      </c>
      <c r="AW1574" t="inlineStr">
        <is>
          <t>991000218069702656</t>
        </is>
      </c>
      <c r="AX1574" t="inlineStr">
        <is>
          <t>991000218069702656</t>
        </is>
      </c>
      <c r="AY1574" t="inlineStr">
        <is>
          <t>2270538490002656</t>
        </is>
      </c>
      <c r="AZ1574" t="inlineStr">
        <is>
          <t>BOOK</t>
        </is>
      </c>
      <c r="BB1574" t="inlineStr">
        <is>
          <t>9780124874206</t>
        </is>
      </c>
      <c r="BC1574" t="inlineStr">
        <is>
          <t>32285000651488</t>
        </is>
      </c>
      <c r="BD1574" t="inlineStr">
        <is>
          <t>893777791</t>
        </is>
      </c>
    </row>
    <row r="1575">
      <c r="A1575" t="inlineStr">
        <is>
          <t>No</t>
        </is>
      </c>
      <c r="B1575" t="inlineStr">
        <is>
          <t>DL603 .R6 1968b</t>
        </is>
      </c>
      <c r="C1575" t="inlineStr">
        <is>
          <t>0                      DL 0603000R  6           1968b</t>
        </is>
      </c>
      <c r="D1575" t="inlineStr">
        <is>
          <t>Sweden as a great power, 1611-1697 : government, society, foreign policy / edited by Michael Roberts.</t>
        </is>
      </c>
      <c r="F1575" t="inlineStr">
        <is>
          <t>No</t>
        </is>
      </c>
      <c r="G1575" t="inlineStr">
        <is>
          <t>1</t>
        </is>
      </c>
      <c r="H1575" t="inlineStr">
        <is>
          <t>No</t>
        </is>
      </c>
      <c r="I1575" t="inlineStr">
        <is>
          <t>No</t>
        </is>
      </c>
      <c r="J1575" t="inlineStr">
        <is>
          <t>0</t>
        </is>
      </c>
      <c r="K1575" t="inlineStr">
        <is>
          <t>Roberts, Michael, 1908-1996.</t>
        </is>
      </c>
      <c r="L1575" t="inlineStr">
        <is>
          <t>New York : St. Martin's Press, 1968.</t>
        </is>
      </c>
      <c r="M1575" t="inlineStr">
        <is>
          <t>1968</t>
        </is>
      </c>
      <c r="O1575" t="inlineStr">
        <is>
          <t>eng</t>
        </is>
      </c>
      <c r="P1575" t="inlineStr">
        <is>
          <t>nyu</t>
        </is>
      </c>
      <c r="Q1575" t="inlineStr">
        <is>
          <t>Documents of modern history</t>
        </is>
      </c>
      <c r="R1575" t="inlineStr">
        <is>
          <t xml:space="preserve">DL </t>
        </is>
      </c>
      <c r="S1575" t="n">
        <v>4</v>
      </c>
      <c r="T1575" t="n">
        <v>4</v>
      </c>
      <c r="U1575" t="inlineStr">
        <is>
          <t>1992-04-06</t>
        </is>
      </c>
      <c r="V1575" t="inlineStr">
        <is>
          <t>1992-04-06</t>
        </is>
      </c>
      <c r="W1575" t="inlineStr">
        <is>
          <t>1990-11-16</t>
        </is>
      </c>
      <c r="X1575" t="inlineStr">
        <is>
          <t>1990-11-16</t>
        </is>
      </c>
      <c r="Y1575" t="n">
        <v>406</v>
      </c>
      <c r="Z1575" t="n">
        <v>388</v>
      </c>
      <c r="AA1575" t="n">
        <v>442</v>
      </c>
      <c r="AB1575" t="n">
        <v>3</v>
      </c>
      <c r="AC1575" t="n">
        <v>3</v>
      </c>
      <c r="AD1575" t="n">
        <v>20</v>
      </c>
      <c r="AE1575" t="n">
        <v>20</v>
      </c>
      <c r="AF1575" t="n">
        <v>6</v>
      </c>
      <c r="AG1575" t="n">
        <v>6</v>
      </c>
      <c r="AH1575" t="n">
        <v>7</v>
      </c>
      <c r="AI1575" t="n">
        <v>7</v>
      </c>
      <c r="AJ1575" t="n">
        <v>14</v>
      </c>
      <c r="AK1575" t="n">
        <v>14</v>
      </c>
      <c r="AL1575" t="n">
        <v>2</v>
      </c>
      <c r="AM1575" t="n">
        <v>2</v>
      </c>
      <c r="AN1575" t="n">
        <v>0</v>
      </c>
      <c r="AO1575" t="n">
        <v>0</v>
      </c>
      <c r="AP1575" t="inlineStr">
        <is>
          <t>No</t>
        </is>
      </c>
      <c r="AQ1575" t="inlineStr">
        <is>
          <t>Yes</t>
        </is>
      </c>
      <c r="AR1575">
        <f>HYPERLINK("http://catalog.hathitrust.org/Record/001235918","HathiTrust Record")</f>
        <v/>
      </c>
      <c r="AS1575">
        <f>HYPERLINK("https://creighton-primo.hosted.exlibrisgroup.com/primo-explore/search?tab=default_tab&amp;search_scope=EVERYTHING&amp;vid=01CRU&amp;lang=en_US&amp;offset=0&amp;query=any,contains,991005433619702656","Catalog Record")</f>
        <v/>
      </c>
      <c r="AT1575">
        <f>HYPERLINK("http://www.worldcat.org/oclc/1932","WorldCat Record")</f>
        <v/>
      </c>
      <c r="AU1575" t="inlineStr">
        <is>
          <t>836628817:eng</t>
        </is>
      </c>
      <c r="AV1575" t="inlineStr">
        <is>
          <t>1932</t>
        </is>
      </c>
      <c r="AW1575" t="inlineStr">
        <is>
          <t>991005433619702656</t>
        </is>
      </c>
      <c r="AX1575" t="inlineStr">
        <is>
          <t>991005433619702656</t>
        </is>
      </c>
      <c r="AY1575" t="inlineStr">
        <is>
          <t>2271316130002656</t>
        </is>
      </c>
      <c r="AZ1575" t="inlineStr">
        <is>
          <t>BOOK</t>
        </is>
      </c>
      <c r="BC1575" t="inlineStr">
        <is>
          <t>32285000397363</t>
        </is>
      </c>
      <c r="BD1575" t="inlineStr">
        <is>
          <t>893332968</t>
        </is>
      </c>
    </row>
    <row r="1576">
      <c r="A1576" t="inlineStr">
        <is>
          <t>No</t>
        </is>
      </c>
      <c r="B1576" t="inlineStr">
        <is>
          <t>DL603 .S9</t>
        </is>
      </c>
      <c r="C1576" t="inlineStr">
        <is>
          <t>0                      DL 0603000S  9</t>
        </is>
      </c>
      <c r="D1576" t="inlineStr">
        <is>
          <t>Sweden and the world : documents from the Swedish National Archives / Introd. by Ingvar Andersson.</t>
        </is>
      </c>
      <c r="F1576" t="inlineStr">
        <is>
          <t>No</t>
        </is>
      </c>
      <c r="G1576" t="inlineStr">
        <is>
          <t>1</t>
        </is>
      </c>
      <c r="H1576" t="inlineStr">
        <is>
          <t>No</t>
        </is>
      </c>
      <c r="I1576" t="inlineStr">
        <is>
          <t>No</t>
        </is>
      </c>
      <c r="J1576" t="inlineStr">
        <is>
          <t>0</t>
        </is>
      </c>
      <c r="K1576" t="inlineStr">
        <is>
          <t>Sweden. Riksarkivet.</t>
        </is>
      </c>
      <c r="L1576" t="inlineStr">
        <is>
          <t>[Stockholm] Swedish Institute [1960]</t>
        </is>
      </c>
      <c r="M1576" t="inlineStr">
        <is>
          <t>1960</t>
        </is>
      </c>
      <c r="O1576" t="inlineStr">
        <is>
          <t>eng</t>
        </is>
      </c>
      <c r="P1576" t="inlineStr">
        <is>
          <t xml:space="preserve">xx </t>
        </is>
      </c>
      <c r="R1576" t="inlineStr">
        <is>
          <t xml:space="preserve">DL </t>
        </is>
      </c>
      <c r="S1576" t="n">
        <v>2</v>
      </c>
      <c r="T1576" t="n">
        <v>2</v>
      </c>
      <c r="U1576" t="inlineStr">
        <is>
          <t>2001-05-08</t>
        </is>
      </c>
      <c r="V1576" t="inlineStr">
        <is>
          <t>2001-05-08</t>
        </is>
      </c>
      <c r="W1576" t="inlineStr">
        <is>
          <t>1997-02-21</t>
        </is>
      </c>
      <c r="X1576" t="inlineStr">
        <is>
          <t>1997-02-21</t>
        </is>
      </c>
      <c r="Y1576" t="n">
        <v>87</v>
      </c>
      <c r="Z1576" t="n">
        <v>69</v>
      </c>
      <c r="AA1576" t="n">
        <v>69</v>
      </c>
      <c r="AB1576" t="n">
        <v>3</v>
      </c>
      <c r="AC1576" t="n">
        <v>3</v>
      </c>
      <c r="AD1576" t="n">
        <v>2</v>
      </c>
      <c r="AE1576" t="n">
        <v>2</v>
      </c>
      <c r="AF1576" t="n">
        <v>0</v>
      </c>
      <c r="AG1576" t="n">
        <v>0</v>
      </c>
      <c r="AH1576" t="n">
        <v>0</v>
      </c>
      <c r="AI1576" t="n">
        <v>0</v>
      </c>
      <c r="AJ1576" t="n">
        <v>0</v>
      </c>
      <c r="AK1576" t="n">
        <v>0</v>
      </c>
      <c r="AL1576" t="n">
        <v>2</v>
      </c>
      <c r="AM1576" t="n">
        <v>2</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HYPERLINK("https://creighton-primo.hosted.exlibrisgroup.com/primo-explore/search?tab=default_tab&amp;search_scope=EVERYTHING&amp;vid=01CRU&amp;lang=en_US&amp;offset=0&amp;query=any,contains,991003779389702656","Catalog Record")</f>
        <v/>
      </c>
      <c r="AT1576">
        <f>HYPERLINK("http://www.worldcat.org/oclc/1491164","WorldCat Record")</f>
        <v/>
      </c>
      <c r="AU1576" t="inlineStr">
        <is>
          <t>367579049:eng</t>
        </is>
      </c>
      <c r="AV1576" t="inlineStr">
        <is>
          <t>1491164</t>
        </is>
      </c>
      <c r="AW1576" t="inlineStr">
        <is>
          <t>991003779389702656</t>
        </is>
      </c>
      <c r="AX1576" t="inlineStr">
        <is>
          <t>991003779389702656</t>
        </is>
      </c>
      <c r="AY1576" t="inlineStr">
        <is>
          <t>2272286340002656</t>
        </is>
      </c>
      <c r="AZ1576" t="inlineStr">
        <is>
          <t>BOOK</t>
        </is>
      </c>
      <c r="BC1576" t="inlineStr">
        <is>
          <t>32285002436003</t>
        </is>
      </c>
      <c r="BD1576" t="inlineStr">
        <is>
          <t>893617755</t>
        </is>
      </c>
    </row>
    <row r="1577">
      <c r="A1577" t="inlineStr">
        <is>
          <t>No</t>
        </is>
      </c>
      <c r="B1577" t="inlineStr">
        <is>
          <t>DL61 .T8 1976</t>
        </is>
      </c>
      <c r="C1577" t="inlineStr">
        <is>
          <t>0                      DL 0061000T  8           1976</t>
        </is>
      </c>
      <c r="D1577" t="inlineStr">
        <is>
          <t>The heroic age of Scandinavia / by G. Turville-Petre.</t>
        </is>
      </c>
      <c r="F1577" t="inlineStr">
        <is>
          <t>No</t>
        </is>
      </c>
      <c r="G1577" t="inlineStr">
        <is>
          <t>1</t>
        </is>
      </c>
      <c r="H1577" t="inlineStr">
        <is>
          <t>No</t>
        </is>
      </c>
      <c r="I1577" t="inlineStr">
        <is>
          <t>No</t>
        </is>
      </c>
      <c r="J1577" t="inlineStr">
        <is>
          <t>0</t>
        </is>
      </c>
      <c r="K1577" t="inlineStr">
        <is>
          <t>Turville-Petre, Gabriel.</t>
        </is>
      </c>
      <c r="L1577" t="inlineStr">
        <is>
          <t>Westport, Conn. : Greenwood Press, 1976.</t>
        </is>
      </c>
      <c r="M1577" t="inlineStr">
        <is>
          <t>1976</t>
        </is>
      </c>
      <c r="O1577" t="inlineStr">
        <is>
          <t>eng</t>
        </is>
      </c>
      <c r="P1577" t="inlineStr">
        <is>
          <t>ctu</t>
        </is>
      </c>
      <c r="R1577" t="inlineStr">
        <is>
          <t xml:space="preserve">DL </t>
        </is>
      </c>
      <c r="S1577" t="n">
        <v>3</v>
      </c>
      <c r="T1577" t="n">
        <v>3</v>
      </c>
      <c r="U1577" t="inlineStr">
        <is>
          <t>2002-11-16</t>
        </is>
      </c>
      <c r="V1577" t="inlineStr">
        <is>
          <t>2002-11-16</t>
        </is>
      </c>
      <c r="W1577" t="inlineStr">
        <is>
          <t>1990-12-18</t>
        </is>
      </c>
      <c r="X1577" t="inlineStr">
        <is>
          <t>1990-12-18</t>
        </is>
      </c>
      <c r="Y1577" t="n">
        <v>91</v>
      </c>
      <c r="Z1577" t="n">
        <v>72</v>
      </c>
      <c r="AA1577" t="n">
        <v>403</v>
      </c>
      <c r="AB1577" t="n">
        <v>1</v>
      </c>
      <c r="AC1577" t="n">
        <v>2</v>
      </c>
      <c r="AD1577" t="n">
        <v>2</v>
      </c>
      <c r="AE1577" t="n">
        <v>19</v>
      </c>
      <c r="AF1577" t="n">
        <v>1</v>
      </c>
      <c r="AG1577" t="n">
        <v>7</v>
      </c>
      <c r="AH1577" t="n">
        <v>2</v>
      </c>
      <c r="AI1577" t="n">
        <v>5</v>
      </c>
      <c r="AJ1577" t="n">
        <v>0</v>
      </c>
      <c r="AK1577" t="n">
        <v>11</v>
      </c>
      <c r="AL1577" t="n">
        <v>0</v>
      </c>
      <c r="AM1577" t="n">
        <v>1</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HYPERLINK("https://creighton-primo.hosted.exlibrisgroup.com/primo-explore/search?tab=default_tab&amp;search_scope=EVERYTHING&amp;vid=01CRU&amp;lang=en_US&amp;offset=0&amp;query=any,contains,991004050599702656","Catalog Record")</f>
        <v/>
      </c>
      <c r="AT1577">
        <f>HYPERLINK("http://www.worldcat.org/oclc/2212744","WorldCat Record")</f>
        <v/>
      </c>
      <c r="AU1577" t="inlineStr">
        <is>
          <t>1543410:eng</t>
        </is>
      </c>
      <c r="AV1577" t="inlineStr">
        <is>
          <t>2212744</t>
        </is>
      </c>
      <c r="AW1577" t="inlineStr">
        <is>
          <t>991004050599702656</t>
        </is>
      </c>
      <c r="AX1577" t="inlineStr">
        <is>
          <t>991004050599702656</t>
        </is>
      </c>
      <c r="AY1577" t="inlineStr">
        <is>
          <t>2255586830002656</t>
        </is>
      </c>
      <c r="AZ1577" t="inlineStr">
        <is>
          <t>BOOK</t>
        </is>
      </c>
      <c r="BB1577" t="inlineStr">
        <is>
          <t>9780837181288</t>
        </is>
      </c>
      <c r="BC1577" t="inlineStr">
        <is>
          <t>32285000425636</t>
        </is>
      </c>
      <c r="BD1577" t="inlineStr">
        <is>
          <t>893900731</t>
        </is>
      </c>
    </row>
    <row r="1578">
      <c r="A1578" t="inlineStr">
        <is>
          <t>No</t>
        </is>
      </c>
      <c r="B1578" t="inlineStr">
        <is>
          <t>DL618 .S85</t>
        </is>
      </c>
      <c r="C1578" t="inlineStr">
        <is>
          <t>0                      DL 0618000S  85</t>
        </is>
      </c>
      <c r="D1578" t="inlineStr">
        <is>
          <t>Sweden, model for a world.</t>
        </is>
      </c>
      <c r="F1578" t="inlineStr">
        <is>
          <t>No</t>
        </is>
      </c>
      <c r="G1578" t="inlineStr">
        <is>
          <t>1</t>
        </is>
      </c>
      <c r="H1578" t="inlineStr">
        <is>
          <t>No</t>
        </is>
      </c>
      <c r="I1578" t="inlineStr">
        <is>
          <t>No</t>
        </is>
      </c>
      <c r="J1578" t="inlineStr">
        <is>
          <t>0</t>
        </is>
      </c>
      <c r="K1578" t="inlineStr">
        <is>
          <t>Strode, Hudson, 1892-1976.</t>
        </is>
      </c>
      <c r="L1578" t="inlineStr">
        <is>
          <t>New York, Harcourt, Brace [1949]</t>
        </is>
      </c>
      <c r="M1578" t="inlineStr">
        <is>
          <t>1949</t>
        </is>
      </c>
      <c r="N1578" t="inlineStr">
        <is>
          <t>[1st ed.]</t>
        </is>
      </c>
      <c r="O1578" t="inlineStr">
        <is>
          <t>eng</t>
        </is>
      </c>
      <c r="P1578" t="inlineStr">
        <is>
          <t>nyu</t>
        </is>
      </c>
      <c r="R1578" t="inlineStr">
        <is>
          <t xml:space="preserve">DL </t>
        </is>
      </c>
      <c r="S1578" t="n">
        <v>3</v>
      </c>
      <c r="T1578" t="n">
        <v>3</v>
      </c>
      <c r="U1578" t="inlineStr">
        <is>
          <t>2001-05-08</t>
        </is>
      </c>
      <c r="V1578" t="inlineStr">
        <is>
          <t>2001-05-08</t>
        </is>
      </c>
      <c r="W1578" t="inlineStr">
        <is>
          <t>1997-02-12</t>
        </is>
      </c>
      <c r="X1578" t="inlineStr">
        <is>
          <t>1997-02-12</t>
        </is>
      </c>
      <c r="Y1578" t="n">
        <v>570</v>
      </c>
      <c r="Z1578" t="n">
        <v>539</v>
      </c>
      <c r="AA1578" t="n">
        <v>547</v>
      </c>
      <c r="AB1578" t="n">
        <v>9</v>
      </c>
      <c r="AC1578" t="n">
        <v>9</v>
      </c>
      <c r="AD1578" t="n">
        <v>19</v>
      </c>
      <c r="AE1578" t="n">
        <v>19</v>
      </c>
      <c r="AF1578" t="n">
        <v>7</v>
      </c>
      <c r="AG1578" t="n">
        <v>7</v>
      </c>
      <c r="AH1578" t="n">
        <v>6</v>
      </c>
      <c r="AI1578" t="n">
        <v>6</v>
      </c>
      <c r="AJ1578" t="n">
        <v>2</v>
      </c>
      <c r="AK1578" t="n">
        <v>2</v>
      </c>
      <c r="AL1578" t="n">
        <v>7</v>
      </c>
      <c r="AM1578" t="n">
        <v>7</v>
      </c>
      <c r="AN1578" t="n">
        <v>0</v>
      </c>
      <c r="AO1578" t="n">
        <v>0</v>
      </c>
      <c r="AP1578" t="inlineStr">
        <is>
          <t>No</t>
        </is>
      </c>
      <c r="AQ1578" t="inlineStr">
        <is>
          <t>Yes</t>
        </is>
      </c>
      <c r="AR1578">
        <f>HYPERLINK("http://catalog.hathitrust.org/Record/001235946","HathiTrust Record")</f>
        <v/>
      </c>
      <c r="AS1578">
        <f>HYPERLINK("https://creighton-primo.hosted.exlibrisgroup.com/primo-explore/search?tab=default_tab&amp;search_scope=EVERYTHING&amp;vid=01CRU&amp;lang=en_US&amp;offset=0&amp;query=any,contains,991002672199702656","Catalog Record")</f>
        <v/>
      </c>
      <c r="AT1578">
        <f>HYPERLINK("http://www.worldcat.org/oclc/395615","WorldCat Record")</f>
        <v/>
      </c>
      <c r="AU1578" t="inlineStr">
        <is>
          <t>284945791:eng</t>
        </is>
      </c>
      <c r="AV1578" t="inlineStr">
        <is>
          <t>395615</t>
        </is>
      </c>
      <c r="AW1578" t="inlineStr">
        <is>
          <t>991002672199702656</t>
        </is>
      </c>
      <c r="AX1578" t="inlineStr">
        <is>
          <t>991002672199702656</t>
        </is>
      </c>
      <c r="AY1578" t="inlineStr">
        <is>
          <t>2260612020002656</t>
        </is>
      </c>
      <c r="AZ1578" t="inlineStr">
        <is>
          <t>BOOK</t>
        </is>
      </c>
      <c r="BC1578" t="inlineStr">
        <is>
          <t>32285002436052</t>
        </is>
      </c>
      <c r="BD1578" t="inlineStr">
        <is>
          <t>893341715</t>
        </is>
      </c>
    </row>
    <row r="1579">
      <c r="A1579" t="inlineStr">
        <is>
          <t>No</t>
        </is>
      </c>
      <c r="B1579" t="inlineStr">
        <is>
          <t>DL639 .N66 2005</t>
        </is>
      </c>
      <c r="C1579" t="inlineStr">
        <is>
          <t>0                      DL 0639000N  66          2005</t>
        </is>
      </c>
      <c r="D1579" t="inlineStr">
        <is>
          <t>A Swedish dilemma : a liberal European nation's struggle with racism and xenophobia, 1990-2000 / Dennis Sven Nordin.</t>
        </is>
      </c>
      <c r="F1579" t="inlineStr">
        <is>
          <t>No</t>
        </is>
      </c>
      <c r="G1579" t="inlineStr">
        <is>
          <t>1</t>
        </is>
      </c>
      <c r="H1579" t="inlineStr">
        <is>
          <t>No</t>
        </is>
      </c>
      <c r="I1579" t="inlineStr">
        <is>
          <t>No</t>
        </is>
      </c>
      <c r="J1579" t="inlineStr">
        <is>
          <t>0</t>
        </is>
      </c>
      <c r="K1579" t="inlineStr">
        <is>
          <t>Nordin, Dennis S. (Dennis Sven), 1942-</t>
        </is>
      </c>
      <c r="L1579" t="inlineStr">
        <is>
          <t>Lanham, Md. : University Press of America, c2005.</t>
        </is>
      </c>
      <c r="M1579" t="inlineStr">
        <is>
          <t>2005</t>
        </is>
      </c>
      <c r="O1579" t="inlineStr">
        <is>
          <t>eng</t>
        </is>
      </c>
      <c r="P1579" t="inlineStr">
        <is>
          <t>mdu</t>
        </is>
      </c>
      <c r="R1579" t="inlineStr">
        <is>
          <t xml:space="preserve">DL </t>
        </is>
      </c>
      <c r="S1579" t="n">
        <v>1</v>
      </c>
      <c r="T1579" t="n">
        <v>1</v>
      </c>
      <c r="U1579" t="inlineStr">
        <is>
          <t>2007-12-05</t>
        </is>
      </c>
      <c r="V1579" t="inlineStr">
        <is>
          <t>2007-12-05</t>
        </is>
      </c>
      <c r="W1579" t="inlineStr">
        <is>
          <t>2007-12-05</t>
        </is>
      </c>
      <c r="X1579" t="inlineStr">
        <is>
          <t>2007-12-05</t>
        </is>
      </c>
      <c r="Y1579" t="n">
        <v>162</v>
      </c>
      <c r="Z1579" t="n">
        <v>134</v>
      </c>
      <c r="AA1579" t="n">
        <v>136</v>
      </c>
      <c r="AB1579" t="n">
        <v>2</v>
      </c>
      <c r="AC1579" t="n">
        <v>2</v>
      </c>
      <c r="AD1579" t="n">
        <v>7</v>
      </c>
      <c r="AE1579" t="n">
        <v>7</v>
      </c>
      <c r="AF1579" t="n">
        <v>2</v>
      </c>
      <c r="AG1579" t="n">
        <v>2</v>
      </c>
      <c r="AH1579" t="n">
        <v>4</v>
      </c>
      <c r="AI1579" t="n">
        <v>4</v>
      </c>
      <c r="AJ1579" t="n">
        <v>3</v>
      </c>
      <c r="AK1579" t="n">
        <v>3</v>
      </c>
      <c r="AL1579" t="n">
        <v>1</v>
      </c>
      <c r="AM1579" t="n">
        <v>1</v>
      </c>
      <c r="AN1579" t="n">
        <v>0</v>
      </c>
      <c r="AO1579" t="n">
        <v>0</v>
      </c>
      <c r="AP1579" t="inlineStr">
        <is>
          <t>No</t>
        </is>
      </c>
      <c r="AQ1579" t="inlineStr">
        <is>
          <t>Yes</t>
        </is>
      </c>
      <c r="AR1579">
        <f>HYPERLINK("http://catalog.hathitrust.org/Record/005096410","HathiTrust Record")</f>
        <v/>
      </c>
      <c r="AS1579">
        <f>HYPERLINK("https://creighton-primo.hosted.exlibrisgroup.com/primo-explore/search?tab=default_tab&amp;search_scope=EVERYTHING&amp;vid=01CRU&amp;lang=en_US&amp;offset=0&amp;query=any,contains,991005155339702656","Catalog Record")</f>
        <v/>
      </c>
      <c r="AT1579">
        <f>HYPERLINK("http://www.worldcat.org/oclc/60759161","WorldCat Record")</f>
        <v/>
      </c>
      <c r="AU1579" t="inlineStr">
        <is>
          <t>367766421:eng</t>
        </is>
      </c>
      <c r="AV1579" t="inlineStr">
        <is>
          <t>60759161</t>
        </is>
      </c>
      <c r="AW1579" t="inlineStr">
        <is>
          <t>991005155339702656</t>
        </is>
      </c>
      <c r="AX1579" t="inlineStr">
        <is>
          <t>991005155339702656</t>
        </is>
      </c>
      <c r="AY1579" t="inlineStr">
        <is>
          <t>2267136490002656</t>
        </is>
      </c>
      <c r="AZ1579" t="inlineStr">
        <is>
          <t>BOOK</t>
        </is>
      </c>
      <c r="BB1579" t="inlineStr">
        <is>
          <t>9780761831518</t>
        </is>
      </c>
      <c r="BC1579" t="inlineStr">
        <is>
          <t>32285005370084</t>
        </is>
      </c>
      <c r="BD1579" t="inlineStr">
        <is>
          <t>893701104</t>
        </is>
      </c>
    </row>
    <row r="1580">
      <c r="A1580" t="inlineStr">
        <is>
          <t>No</t>
        </is>
      </c>
      <c r="B1580" t="inlineStr">
        <is>
          <t>DL648 .A612 1975</t>
        </is>
      </c>
      <c r="C1580" t="inlineStr">
        <is>
          <t>0                      DL 0648000A  612         1975</t>
        </is>
      </c>
      <c r="D1580" t="inlineStr">
        <is>
          <t>A history of Sweden / Ingvar Andersson ; translated by Carolyn Hannay.</t>
        </is>
      </c>
      <c r="F1580" t="inlineStr">
        <is>
          <t>No</t>
        </is>
      </c>
      <c r="G1580" t="inlineStr">
        <is>
          <t>1</t>
        </is>
      </c>
      <c r="H1580" t="inlineStr">
        <is>
          <t>No</t>
        </is>
      </c>
      <c r="I1580" t="inlineStr">
        <is>
          <t>No</t>
        </is>
      </c>
      <c r="J1580" t="inlineStr">
        <is>
          <t>0</t>
        </is>
      </c>
      <c r="K1580" t="inlineStr">
        <is>
          <t>Andersson, Ingvar, 1899-1974.</t>
        </is>
      </c>
      <c r="L1580" t="inlineStr">
        <is>
          <t>Westport, Conn. : Greenwood Press, 1975.</t>
        </is>
      </c>
      <c r="M1580" t="inlineStr">
        <is>
          <t>1975</t>
        </is>
      </c>
      <c r="O1580" t="inlineStr">
        <is>
          <t>eng</t>
        </is>
      </c>
      <c r="P1580" t="inlineStr">
        <is>
          <t>ctu</t>
        </is>
      </c>
      <c r="R1580" t="inlineStr">
        <is>
          <t xml:space="preserve">DL </t>
        </is>
      </c>
      <c r="S1580" t="n">
        <v>3</v>
      </c>
      <c r="T1580" t="n">
        <v>3</v>
      </c>
      <c r="U1580" t="inlineStr">
        <is>
          <t>1999-12-05</t>
        </is>
      </c>
      <c r="V1580" t="inlineStr">
        <is>
          <t>1999-12-05</t>
        </is>
      </c>
      <c r="W1580" t="inlineStr">
        <is>
          <t>1997-02-12</t>
        </is>
      </c>
      <c r="X1580" t="inlineStr">
        <is>
          <t>1997-02-12</t>
        </is>
      </c>
      <c r="Y1580" t="n">
        <v>134</v>
      </c>
      <c r="Z1580" t="n">
        <v>125</v>
      </c>
      <c r="AA1580" t="n">
        <v>984</v>
      </c>
      <c r="AB1580" t="n">
        <v>2</v>
      </c>
      <c r="AC1580" t="n">
        <v>8</v>
      </c>
      <c r="AD1580" t="n">
        <v>3</v>
      </c>
      <c r="AE1580" t="n">
        <v>40</v>
      </c>
      <c r="AF1580" t="n">
        <v>0</v>
      </c>
      <c r="AG1580" t="n">
        <v>14</v>
      </c>
      <c r="AH1580" t="n">
        <v>1</v>
      </c>
      <c r="AI1580" t="n">
        <v>9</v>
      </c>
      <c r="AJ1580" t="n">
        <v>2</v>
      </c>
      <c r="AK1580" t="n">
        <v>18</v>
      </c>
      <c r="AL1580" t="n">
        <v>1</v>
      </c>
      <c r="AM1580" t="n">
        <v>6</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HYPERLINK("https://creighton-primo.hosted.exlibrisgroup.com/primo-explore/search?tab=default_tab&amp;search_scope=EVERYTHING&amp;vid=01CRU&amp;lang=en_US&amp;offset=0&amp;query=any,contains,991003653909702656","Catalog Record")</f>
        <v/>
      </c>
      <c r="AT1580">
        <f>HYPERLINK("http://www.worldcat.org/oclc/1257096","WorldCat Record")</f>
        <v/>
      </c>
      <c r="AU1580" t="inlineStr">
        <is>
          <t>11498163:eng</t>
        </is>
      </c>
      <c r="AV1580" t="inlineStr">
        <is>
          <t>1257096</t>
        </is>
      </c>
      <c r="AW1580" t="inlineStr">
        <is>
          <t>991003653909702656</t>
        </is>
      </c>
      <c r="AX1580" t="inlineStr">
        <is>
          <t>991003653909702656</t>
        </is>
      </c>
      <c r="AY1580" t="inlineStr">
        <is>
          <t>2257467810002656</t>
        </is>
      </c>
      <c r="AZ1580" t="inlineStr">
        <is>
          <t>BOOK</t>
        </is>
      </c>
      <c r="BB1580" t="inlineStr">
        <is>
          <t>9780837180441</t>
        </is>
      </c>
      <c r="BC1580" t="inlineStr">
        <is>
          <t>32285002436060</t>
        </is>
      </c>
      <c r="BD1580" t="inlineStr">
        <is>
          <t>893875007</t>
        </is>
      </c>
    </row>
    <row r="1581">
      <c r="A1581" t="inlineStr">
        <is>
          <t>No</t>
        </is>
      </c>
      <c r="B1581" t="inlineStr">
        <is>
          <t>DL648 .M622 1974</t>
        </is>
      </c>
      <c r="C1581" t="inlineStr">
        <is>
          <t>0                      DL 0648000M  622         1974</t>
        </is>
      </c>
      <c r="D1581" t="inlineStr">
        <is>
          <t>A history of the Swedish people: from Renaissance to revolution. Translated from the Swedish by Paul Britten Austin.</t>
        </is>
      </c>
      <c r="F1581" t="inlineStr">
        <is>
          <t>No</t>
        </is>
      </c>
      <c r="G1581" t="inlineStr">
        <is>
          <t>1</t>
        </is>
      </c>
      <c r="H1581" t="inlineStr">
        <is>
          <t>No</t>
        </is>
      </c>
      <c r="I1581" t="inlineStr">
        <is>
          <t>No</t>
        </is>
      </c>
      <c r="J1581" t="inlineStr">
        <is>
          <t>0</t>
        </is>
      </c>
      <c r="K1581" t="inlineStr">
        <is>
          <t>Moberg, Vilhelm, 1898-1973.</t>
        </is>
      </c>
      <c r="L1581" t="inlineStr">
        <is>
          <t>New York, Pantheon Books [1974, c1973]</t>
        </is>
      </c>
      <c r="M1581" t="inlineStr">
        <is>
          <t>1974</t>
        </is>
      </c>
      <c r="N1581" t="inlineStr">
        <is>
          <t>[1st American ed.]</t>
        </is>
      </c>
      <c r="O1581" t="inlineStr">
        <is>
          <t>eng</t>
        </is>
      </c>
      <c r="P1581" t="inlineStr">
        <is>
          <t>nyu</t>
        </is>
      </c>
      <c r="R1581" t="inlineStr">
        <is>
          <t xml:space="preserve">DL </t>
        </is>
      </c>
      <c r="S1581" t="n">
        <v>3</v>
      </c>
      <c r="T1581" t="n">
        <v>3</v>
      </c>
      <c r="U1581" t="inlineStr">
        <is>
          <t>1999-12-05</t>
        </is>
      </c>
      <c r="V1581" t="inlineStr">
        <is>
          <t>1999-12-05</t>
        </is>
      </c>
      <c r="W1581" t="inlineStr">
        <is>
          <t>1997-02-12</t>
        </is>
      </c>
      <c r="X1581" t="inlineStr">
        <is>
          <t>1997-02-12</t>
        </is>
      </c>
      <c r="Y1581" t="n">
        <v>296</v>
      </c>
      <c r="Z1581" t="n">
        <v>284</v>
      </c>
      <c r="AA1581" t="n">
        <v>311</v>
      </c>
      <c r="AB1581" t="n">
        <v>4</v>
      </c>
      <c r="AC1581" t="n">
        <v>4</v>
      </c>
      <c r="AD1581" t="n">
        <v>6</v>
      </c>
      <c r="AE1581" t="n">
        <v>6</v>
      </c>
      <c r="AF1581" t="n">
        <v>2</v>
      </c>
      <c r="AG1581" t="n">
        <v>2</v>
      </c>
      <c r="AH1581" t="n">
        <v>0</v>
      </c>
      <c r="AI1581" t="n">
        <v>0</v>
      </c>
      <c r="AJ1581" t="n">
        <v>3</v>
      </c>
      <c r="AK1581" t="n">
        <v>3</v>
      </c>
      <c r="AL1581" t="n">
        <v>2</v>
      </c>
      <c r="AM1581" t="n">
        <v>2</v>
      </c>
      <c r="AN1581" t="n">
        <v>0</v>
      </c>
      <c r="AO1581" t="n">
        <v>0</v>
      </c>
      <c r="AP1581" t="inlineStr">
        <is>
          <t>No</t>
        </is>
      </c>
      <c r="AQ1581" t="inlineStr">
        <is>
          <t>Yes</t>
        </is>
      </c>
      <c r="AR1581">
        <f>HYPERLINK("http://catalog.hathitrust.org/Record/009907748","HathiTrust Record")</f>
        <v/>
      </c>
      <c r="AS1581">
        <f>HYPERLINK("https://creighton-primo.hosted.exlibrisgroup.com/primo-explore/search?tab=default_tab&amp;search_scope=EVERYTHING&amp;vid=01CRU&amp;lang=en_US&amp;offset=0&amp;query=any,contains,991003320319702656","Catalog Record")</f>
        <v/>
      </c>
      <c r="AT1581">
        <f>HYPERLINK("http://www.worldcat.org/oclc/847846","WorldCat Record")</f>
        <v/>
      </c>
      <c r="AU1581" t="inlineStr">
        <is>
          <t>10627955006:eng</t>
        </is>
      </c>
      <c r="AV1581" t="inlineStr">
        <is>
          <t>847846</t>
        </is>
      </c>
      <c r="AW1581" t="inlineStr">
        <is>
          <t>991003320319702656</t>
        </is>
      </c>
      <c r="AX1581" t="inlineStr">
        <is>
          <t>991003320319702656</t>
        </is>
      </c>
      <c r="AY1581" t="inlineStr">
        <is>
          <t>2272175370002656</t>
        </is>
      </c>
      <c r="AZ1581" t="inlineStr">
        <is>
          <t>BOOK</t>
        </is>
      </c>
      <c r="BB1581" t="inlineStr">
        <is>
          <t>9780394489735</t>
        </is>
      </c>
      <c r="BC1581" t="inlineStr">
        <is>
          <t>32285002436078</t>
        </is>
      </c>
      <c r="BD1581" t="inlineStr">
        <is>
          <t>893499188</t>
        </is>
      </c>
    </row>
    <row r="1582">
      <c r="A1582" t="inlineStr">
        <is>
          <t>No</t>
        </is>
      </c>
      <c r="B1582" t="inlineStr">
        <is>
          <t>DL648 .S8</t>
        </is>
      </c>
      <c r="C1582" t="inlineStr">
        <is>
          <t>0                      DL 0648000S  8</t>
        </is>
      </c>
      <c r="D1582" t="inlineStr">
        <is>
          <t>A history of Sweden, by Andrew A. Stomberg ... illustrated with numerous half-tone illustrations and line drawings.</t>
        </is>
      </c>
      <c r="F1582" t="inlineStr">
        <is>
          <t>No</t>
        </is>
      </c>
      <c r="G1582" t="inlineStr">
        <is>
          <t>1</t>
        </is>
      </c>
      <c r="H1582" t="inlineStr">
        <is>
          <t>No</t>
        </is>
      </c>
      <c r="I1582" t="inlineStr">
        <is>
          <t>No</t>
        </is>
      </c>
      <c r="J1582" t="inlineStr">
        <is>
          <t>0</t>
        </is>
      </c>
      <c r="K1582" t="inlineStr">
        <is>
          <t>Stomberg, Andrew A. (Andrew Adin), 1871-1943.</t>
        </is>
      </c>
      <c r="L1582" t="inlineStr">
        <is>
          <t>New York, The Macmillan Company, 1931.</t>
        </is>
      </c>
      <c r="M1582" t="inlineStr">
        <is>
          <t>1931</t>
        </is>
      </c>
      <c r="O1582" t="inlineStr">
        <is>
          <t>eng</t>
        </is>
      </c>
      <c r="P1582" t="inlineStr">
        <is>
          <t>nyu</t>
        </is>
      </c>
      <c r="R1582" t="inlineStr">
        <is>
          <t xml:space="preserve">DL </t>
        </is>
      </c>
      <c r="S1582" t="n">
        <v>5</v>
      </c>
      <c r="T1582" t="n">
        <v>5</v>
      </c>
      <c r="U1582" t="inlineStr">
        <is>
          <t>1999-12-05</t>
        </is>
      </c>
      <c r="V1582" t="inlineStr">
        <is>
          <t>1999-12-05</t>
        </is>
      </c>
      <c r="W1582" t="inlineStr">
        <is>
          <t>1997-02-12</t>
        </is>
      </c>
      <c r="X1582" t="inlineStr">
        <is>
          <t>1997-02-12</t>
        </is>
      </c>
      <c r="Y1582" t="n">
        <v>302</v>
      </c>
      <c r="Z1582" t="n">
        <v>288</v>
      </c>
      <c r="AA1582" t="n">
        <v>403</v>
      </c>
      <c r="AB1582" t="n">
        <v>2</v>
      </c>
      <c r="AC1582" t="n">
        <v>2</v>
      </c>
      <c r="AD1582" t="n">
        <v>15</v>
      </c>
      <c r="AE1582" t="n">
        <v>18</v>
      </c>
      <c r="AF1582" t="n">
        <v>4</v>
      </c>
      <c r="AG1582" t="n">
        <v>4</v>
      </c>
      <c r="AH1582" t="n">
        <v>5</v>
      </c>
      <c r="AI1582" t="n">
        <v>5</v>
      </c>
      <c r="AJ1582" t="n">
        <v>8</v>
      </c>
      <c r="AK1582" t="n">
        <v>11</v>
      </c>
      <c r="AL1582" t="n">
        <v>1</v>
      </c>
      <c r="AM1582" t="n">
        <v>1</v>
      </c>
      <c r="AN1582" t="n">
        <v>0</v>
      </c>
      <c r="AO1582" t="n">
        <v>0</v>
      </c>
      <c r="AP1582" t="inlineStr">
        <is>
          <t>Yes</t>
        </is>
      </c>
      <c r="AQ1582" t="inlineStr">
        <is>
          <t>No</t>
        </is>
      </c>
      <c r="AR1582">
        <f>HYPERLINK("http://catalog.hathitrust.org/Record/001235971","HathiTrust Record")</f>
        <v/>
      </c>
      <c r="AS1582">
        <f>HYPERLINK("https://creighton-primo.hosted.exlibrisgroup.com/primo-explore/search?tab=default_tab&amp;search_scope=EVERYTHING&amp;vid=01CRU&amp;lang=en_US&amp;offset=0&amp;query=any,contains,991003810569702656","Catalog Record")</f>
        <v/>
      </c>
      <c r="AT1582">
        <f>HYPERLINK("http://www.worldcat.org/oclc/1536223","WorldCat Record")</f>
        <v/>
      </c>
      <c r="AU1582" t="inlineStr">
        <is>
          <t>39807064:eng</t>
        </is>
      </c>
      <c r="AV1582" t="inlineStr">
        <is>
          <t>1536223</t>
        </is>
      </c>
      <c r="AW1582" t="inlineStr">
        <is>
          <t>991003810569702656</t>
        </is>
      </c>
      <c r="AX1582" t="inlineStr">
        <is>
          <t>991003810569702656</t>
        </is>
      </c>
      <c r="AY1582" t="inlineStr">
        <is>
          <t>2270045690002656</t>
        </is>
      </c>
      <c r="AZ1582" t="inlineStr">
        <is>
          <t>BOOK</t>
        </is>
      </c>
      <c r="BC1582" t="inlineStr">
        <is>
          <t>32285002436102</t>
        </is>
      </c>
      <c r="BD1582" t="inlineStr">
        <is>
          <t>893900404</t>
        </is>
      </c>
    </row>
    <row r="1583">
      <c r="A1583" t="inlineStr">
        <is>
          <t>No</t>
        </is>
      </c>
      <c r="B1583" t="inlineStr">
        <is>
          <t>DL649 .N7</t>
        </is>
      </c>
      <c r="C1583" t="inlineStr">
        <is>
          <t>0                      DL 0649000N  7</t>
        </is>
      </c>
      <c r="D1583" t="inlineStr">
        <is>
          <t>Sweden / by Victor Nilsson.</t>
        </is>
      </c>
      <c r="F1583" t="inlineStr">
        <is>
          <t>No</t>
        </is>
      </c>
      <c r="G1583" t="inlineStr">
        <is>
          <t>1</t>
        </is>
      </c>
      <c r="H1583" t="inlineStr">
        <is>
          <t>No</t>
        </is>
      </c>
      <c r="I1583" t="inlineStr">
        <is>
          <t>No</t>
        </is>
      </c>
      <c r="J1583" t="inlineStr">
        <is>
          <t>0</t>
        </is>
      </c>
      <c r="K1583" t="inlineStr">
        <is>
          <t>Nilsson, Victor Alfred, 1867-1942.</t>
        </is>
      </c>
      <c r="L1583" t="inlineStr">
        <is>
          <t>New York : P. F. Collier, 1899.</t>
        </is>
      </c>
      <c r="M1583" t="inlineStr">
        <is>
          <t>1899</t>
        </is>
      </c>
      <c r="O1583" t="inlineStr">
        <is>
          <t>eng</t>
        </is>
      </c>
      <c r="P1583" t="inlineStr">
        <is>
          <t xml:space="preserve">xx </t>
        </is>
      </c>
      <c r="Q1583" t="inlineStr">
        <is>
          <t>Nations of the world</t>
        </is>
      </c>
      <c r="R1583" t="inlineStr">
        <is>
          <t xml:space="preserve">DL </t>
        </is>
      </c>
      <c r="S1583" t="n">
        <v>6</v>
      </c>
      <c r="T1583" t="n">
        <v>6</v>
      </c>
      <c r="U1583" t="inlineStr">
        <is>
          <t>1999-12-05</t>
        </is>
      </c>
      <c r="V1583" t="inlineStr">
        <is>
          <t>1999-12-05</t>
        </is>
      </c>
      <c r="W1583" t="inlineStr">
        <is>
          <t>1997-02-12</t>
        </is>
      </c>
      <c r="X1583" t="inlineStr">
        <is>
          <t>1997-02-12</t>
        </is>
      </c>
      <c r="Y1583" t="n">
        <v>307</v>
      </c>
      <c r="Z1583" t="n">
        <v>292</v>
      </c>
      <c r="AA1583" t="n">
        <v>415</v>
      </c>
      <c r="AB1583" t="n">
        <v>2</v>
      </c>
      <c r="AC1583" t="n">
        <v>5</v>
      </c>
      <c r="AD1583" t="n">
        <v>20</v>
      </c>
      <c r="AE1583" t="n">
        <v>27</v>
      </c>
      <c r="AF1583" t="n">
        <v>9</v>
      </c>
      <c r="AG1583" t="n">
        <v>11</v>
      </c>
      <c r="AH1583" t="n">
        <v>4</v>
      </c>
      <c r="AI1583" t="n">
        <v>4</v>
      </c>
      <c r="AJ1583" t="n">
        <v>12</v>
      </c>
      <c r="AK1583" t="n">
        <v>14</v>
      </c>
      <c r="AL1583" t="n">
        <v>0</v>
      </c>
      <c r="AM1583" t="n">
        <v>3</v>
      </c>
      <c r="AN1583" t="n">
        <v>0</v>
      </c>
      <c r="AO1583" t="n">
        <v>0</v>
      </c>
      <c r="AP1583" t="inlineStr">
        <is>
          <t>Yes</t>
        </is>
      </c>
      <c r="AQ1583" t="inlineStr">
        <is>
          <t>No</t>
        </is>
      </c>
      <c r="AR1583">
        <f>HYPERLINK("http://catalog.hathitrust.org/Record/000235318","HathiTrust Record")</f>
        <v/>
      </c>
      <c r="AS1583">
        <f>HYPERLINK("https://creighton-primo.hosted.exlibrisgroup.com/primo-explore/search?tab=default_tab&amp;search_scope=EVERYTHING&amp;vid=01CRU&amp;lang=en_US&amp;offset=0&amp;query=any,contains,991003440409702656","Catalog Record")</f>
        <v/>
      </c>
      <c r="AT1583">
        <f>HYPERLINK("http://www.worldcat.org/oclc/976654","WorldCat Record")</f>
        <v/>
      </c>
      <c r="AU1583" t="inlineStr">
        <is>
          <t>1937839:eng</t>
        </is>
      </c>
      <c r="AV1583" t="inlineStr">
        <is>
          <t>976654</t>
        </is>
      </c>
      <c r="AW1583" t="inlineStr">
        <is>
          <t>991003440409702656</t>
        </is>
      </c>
      <c r="AX1583" t="inlineStr">
        <is>
          <t>991003440409702656</t>
        </is>
      </c>
      <c r="AY1583" t="inlineStr">
        <is>
          <t>2261618400002656</t>
        </is>
      </c>
      <c r="AZ1583" t="inlineStr">
        <is>
          <t>BOOK</t>
        </is>
      </c>
      <c r="BC1583" t="inlineStr">
        <is>
          <t>32285002436110</t>
        </is>
      </c>
      <c r="BD1583" t="inlineStr">
        <is>
          <t>893348679</t>
        </is>
      </c>
    </row>
    <row r="1584">
      <c r="A1584" t="inlineStr">
        <is>
          <t>No</t>
        </is>
      </c>
      <c r="B1584" t="inlineStr">
        <is>
          <t>DL649 .S8</t>
        </is>
      </c>
      <c r="C1584" t="inlineStr">
        <is>
          <t>0                      DL 0649000S  8</t>
        </is>
      </c>
      <c r="D1584" t="inlineStr">
        <is>
          <t>A short history of Sweden, by Ragnar Svanström and Carl Fredrik Palmstierna. Translated by Joan Bulman and published under the auspices of the Anglo-Swedish Literary Foundation.</t>
        </is>
      </c>
      <c r="F1584" t="inlineStr">
        <is>
          <t>No</t>
        </is>
      </c>
      <c r="G1584" t="inlineStr">
        <is>
          <t>1</t>
        </is>
      </c>
      <c r="H1584" t="inlineStr">
        <is>
          <t>No</t>
        </is>
      </c>
      <c r="I1584" t="inlineStr">
        <is>
          <t>No</t>
        </is>
      </c>
      <c r="J1584" t="inlineStr">
        <is>
          <t>0</t>
        </is>
      </c>
      <c r="K1584" t="inlineStr">
        <is>
          <t>Svanström, Ragnar, 1904-</t>
        </is>
      </c>
      <c r="L1584" t="inlineStr">
        <is>
          <t>Oxford, Clarendon Press, 1934.</t>
        </is>
      </c>
      <c r="M1584" t="inlineStr">
        <is>
          <t>1934</t>
        </is>
      </c>
      <c r="O1584" t="inlineStr">
        <is>
          <t>eng</t>
        </is>
      </c>
      <c r="P1584" t="inlineStr">
        <is>
          <t>enk</t>
        </is>
      </c>
      <c r="R1584" t="inlineStr">
        <is>
          <t xml:space="preserve">DL </t>
        </is>
      </c>
      <c r="S1584" t="n">
        <v>5</v>
      </c>
      <c r="T1584" t="n">
        <v>5</v>
      </c>
      <c r="U1584" t="inlineStr">
        <is>
          <t>1999-12-05</t>
        </is>
      </c>
      <c r="V1584" t="inlineStr">
        <is>
          <t>1999-12-05</t>
        </is>
      </c>
      <c r="W1584" t="inlineStr">
        <is>
          <t>1997-02-12</t>
        </is>
      </c>
      <c r="X1584" t="inlineStr">
        <is>
          <t>1997-02-12</t>
        </is>
      </c>
      <c r="Y1584" t="n">
        <v>217</v>
      </c>
      <c r="Z1584" t="n">
        <v>155</v>
      </c>
      <c r="AA1584" t="n">
        <v>224</v>
      </c>
      <c r="AB1584" t="n">
        <v>2</v>
      </c>
      <c r="AC1584" t="n">
        <v>2</v>
      </c>
      <c r="AD1584" t="n">
        <v>4</v>
      </c>
      <c r="AE1584" t="n">
        <v>7</v>
      </c>
      <c r="AF1584" t="n">
        <v>1</v>
      </c>
      <c r="AG1584" t="n">
        <v>2</v>
      </c>
      <c r="AH1584" t="n">
        <v>1</v>
      </c>
      <c r="AI1584" t="n">
        <v>3</v>
      </c>
      <c r="AJ1584" t="n">
        <v>2</v>
      </c>
      <c r="AK1584" t="n">
        <v>3</v>
      </c>
      <c r="AL1584" t="n">
        <v>1</v>
      </c>
      <c r="AM1584" t="n">
        <v>1</v>
      </c>
      <c r="AN1584" t="n">
        <v>0</v>
      </c>
      <c r="AO1584" t="n">
        <v>0</v>
      </c>
      <c r="AP1584" t="inlineStr">
        <is>
          <t>No</t>
        </is>
      </c>
      <c r="AQ1584" t="inlineStr">
        <is>
          <t>Yes</t>
        </is>
      </c>
      <c r="AR1584">
        <f>HYPERLINK("http://catalog.hathitrust.org/Record/001858063","HathiTrust Record")</f>
        <v/>
      </c>
      <c r="AS1584">
        <f>HYPERLINK("https://creighton-primo.hosted.exlibrisgroup.com/primo-explore/search?tab=default_tab&amp;search_scope=EVERYTHING&amp;vid=01CRU&amp;lang=en_US&amp;offset=0&amp;query=any,contains,991003868759702656","Catalog Record")</f>
        <v/>
      </c>
      <c r="AT1584">
        <f>HYPERLINK("http://www.worldcat.org/oclc/1686203","WorldCat Record")</f>
        <v/>
      </c>
      <c r="AU1584" t="inlineStr">
        <is>
          <t>2299892:eng</t>
        </is>
      </c>
      <c r="AV1584" t="inlineStr">
        <is>
          <t>1686203</t>
        </is>
      </c>
      <c r="AW1584" t="inlineStr">
        <is>
          <t>991003868759702656</t>
        </is>
      </c>
      <c r="AX1584" t="inlineStr">
        <is>
          <t>991003868759702656</t>
        </is>
      </c>
      <c r="AY1584" t="inlineStr">
        <is>
          <t>2267357060002656</t>
        </is>
      </c>
      <c r="AZ1584" t="inlineStr">
        <is>
          <t>BOOK</t>
        </is>
      </c>
      <c r="BC1584" t="inlineStr">
        <is>
          <t>32285002436128</t>
        </is>
      </c>
      <c r="BD1584" t="inlineStr">
        <is>
          <t>893687055</t>
        </is>
      </c>
    </row>
    <row r="1585">
      <c r="A1585" t="inlineStr">
        <is>
          <t>No</t>
        </is>
      </c>
      <c r="B1585" t="inlineStr">
        <is>
          <t>DL65 .A723</t>
        </is>
      </c>
      <c r="C1585" t="inlineStr">
        <is>
          <t>0                      DL 0065000A  723</t>
        </is>
      </c>
      <c r="D1585" t="inlineStr">
        <is>
          <t>The Vikings. Translated and edited, with an introd., by Alan Binns.</t>
        </is>
      </c>
      <c r="F1585" t="inlineStr">
        <is>
          <t>No</t>
        </is>
      </c>
      <c r="G1585" t="inlineStr">
        <is>
          <t>1</t>
        </is>
      </c>
      <c r="H1585" t="inlineStr">
        <is>
          <t>No</t>
        </is>
      </c>
      <c r="I1585" t="inlineStr">
        <is>
          <t>No</t>
        </is>
      </c>
      <c r="J1585" t="inlineStr">
        <is>
          <t>0</t>
        </is>
      </c>
      <c r="K1585" t="inlineStr">
        <is>
          <t>Arbman, Holger.</t>
        </is>
      </c>
      <c r="L1585" t="inlineStr">
        <is>
          <t>New York, Praeger [1961]</t>
        </is>
      </c>
      <c r="M1585" t="inlineStr">
        <is>
          <t>1961</t>
        </is>
      </c>
      <c r="O1585" t="inlineStr">
        <is>
          <t>eng</t>
        </is>
      </c>
      <c r="P1585" t="inlineStr">
        <is>
          <t>nyu</t>
        </is>
      </c>
      <c r="Q1585" t="inlineStr">
        <is>
          <t>Ancient peoples and places ; v. 21</t>
        </is>
      </c>
      <c r="R1585" t="inlineStr">
        <is>
          <t xml:space="preserve">DL </t>
        </is>
      </c>
      <c r="S1585" t="n">
        <v>3</v>
      </c>
      <c r="T1585" t="n">
        <v>3</v>
      </c>
      <c r="U1585" t="inlineStr">
        <is>
          <t>2003-02-02</t>
        </is>
      </c>
      <c r="V1585" t="inlineStr">
        <is>
          <t>2003-02-02</t>
        </is>
      </c>
      <c r="W1585" t="inlineStr">
        <is>
          <t>1992-03-31</t>
        </is>
      </c>
      <c r="X1585" t="inlineStr">
        <is>
          <t>1992-03-31</t>
        </is>
      </c>
      <c r="Y1585" t="n">
        <v>954</v>
      </c>
      <c r="Z1585" t="n">
        <v>920</v>
      </c>
      <c r="AA1585" t="n">
        <v>1074</v>
      </c>
      <c r="AB1585" t="n">
        <v>5</v>
      </c>
      <c r="AC1585" t="n">
        <v>5</v>
      </c>
      <c r="AD1585" t="n">
        <v>32</v>
      </c>
      <c r="AE1585" t="n">
        <v>37</v>
      </c>
      <c r="AF1585" t="n">
        <v>13</v>
      </c>
      <c r="AG1585" t="n">
        <v>15</v>
      </c>
      <c r="AH1585" t="n">
        <v>9</v>
      </c>
      <c r="AI1585" t="n">
        <v>10</v>
      </c>
      <c r="AJ1585" t="n">
        <v>13</v>
      </c>
      <c r="AK1585" t="n">
        <v>17</v>
      </c>
      <c r="AL1585" t="n">
        <v>4</v>
      </c>
      <c r="AM1585" t="n">
        <v>4</v>
      </c>
      <c r="AN1585" t="n">
        <v>0</v>
      </c>
      <c r="AO1585" t="n">
        <v>0</v>
      </c>
      <c r="AP1585" t="inlineStr">
        <is>
          <t>No</t>
        </is>
      </c>
      <c r="AQ1585" t="inlineStr">
        <is>
          <t>No</t>
        </is>
      </c>
      <c r="AR1585">
        <f>HYPERLINK("http://catalog.hathitrust.org/Record/001235708","HathiTrust Record")</f>
        <v/>
      </c>
      <c r="AS1585">
        <f>HYPERLINK("https://creighton-primo.hosted.exlibrisgroup.com/primo-explore/search?tab=default_tab&amp;search_scope=EVERYTHING&amp;vid=01CRU&amp;lang=en_US&amp;offset=0&amp;query=any,contains,991003433159702656","Catalog Record")</f>
        <v/>
      </c>
      <c r="AT1585">
        <f>HYPERLINK("http://www.worldcat.org/oclc/968220","WorldCat Record")</f>
        <v/>
      </c>
      <c r="AU1585" t="inlineStr">
        <is>
          <t>10279212462:eng</t>
        </is>
      </c>
      <c r="AV1585" t="inlineStr">
        <is>
          <t>968220</t>
        </is>
      </c>
      <c r="AW1585" t="inlineStr">
        <is>
          <t>991003433159702656</t>
        </is>
      </c>
      <c r="AX1585" t="inlineStr">
        <is>
          <t>991003433159702656</t>
        </is>
      </c>
      <c r="AY1585" t="inlineStr">
        <is>
          <t>2263431280002656</t>
        </is>
      </c>
      <c r="AZ1585" t="inlineStr">
        <is>
          <t>BOOK</t>
        </is>
      </c>
      <c r="BC1585" t="inlineStr">
        <is>
          <t>32285000529973</t>
        </is>
      </c>
      <c r="BD1585" t="inlineStr">
        <is>
          <t>893793600</t>
        </is>
      </c>
    </row>
    <row r="1586">
      <c r="A1586" t="inlineStr">
        <is>
          <t>No</t>
        </is>
      </c>
      <c r="B1586" t="inlineStr">
        <is>
          <t>DL65 .B28 2004</t>
        </is>
      </c>
      <c r="C1586" t="inlineStr">
        <is>
          <t>0                      DL 0065000B  28          2004</t>
        </is>
      </c>
      <c r="D1586" t="inlineStr">
        <is>
          <t>The Viking / Alan Baker.</t>
        </is>
      </c>
      <c r="F1586" t="inlineStr">
        <is>
          <t>No</t>
        </is>
      </c>
      <c r="G1586" t="inlineStr">
        <is>
          <t>1</t>
        </is>
      </c>
      <c r="H1586" t="inlineStr">
        <is>
          <t>No</t>
        </is>
      </c>
      <c r="I1586" t="inlineStr">
        <is>
          <t>No</t>
        </is>
      </c>
      <c r="J1586" t="inlineStr">
        <is>
          <t>0</t>
        </is>
      </c>
      <c r="K1586" t="inlineStr">
        <is>
          <t>Baker, Alan, 1964-</t>
        </is>
      </c>
      <c r="L1586" t="inlineStr">
        <is>
          <t>Hoboken, N.J. : J. Wiley, c2004.</t>
        </is>
      </c>
      <c r="M1586" t="inlineStr">
        <is>
          <t>2004</t>
        </is>
      </c>
      <c r="O1586" t="inlineStr">
        <is>
          <t>eng</t>
        </is>
      </c>
      <c r="P1586" t="inlineStr">
        <is>
          <t>nju</t>
        </is>
      </c>
      <c r="R1586" t="inlineStr">
        <is>
          <t xml:space="preserve">DL </t>
        </is>
      </c>
      <c r="S1586" t="n">
        <v>2</v>
      </c>
      <c r="T1586" t="n">
        <v>2</v>
      </c>
      <c r="U1586" t="inlineStr">
        <is>
          <t>2010-04-10</t>
        </is>
      </c>
      <c r="V1586" t="inlineStr">
        <is>
          <t>2010-04-10</t>
        </is>
      </c>
      <c r="W1586" t="inlineStr">
        <is>
          <t>2006-04-10</t>
        </is>
      </c>
      <c r="X1586" t="inlineStr">
        <is>
          <t>2006-04-10</t>
        </is>
      </c>
      <c r="Y1586" t="n">
        <v>294</v>
      </c>
      <c r="Z1586" t="n">
        <v>244</v>
      </c>
      <c r="AA1586" t="n">
        <v>249</v>
      </c>
      <c r="AB1586" t="n">
        <v>4</v>
      </c>
      <c r="AC1586" t="n">
        <v>4</v>
      </c>
      <c r="AD1586" t="n">
        <v>10</v>
      </c>
      <c r="AE1586" t="n">
        <v>10</v>
      </c>
      <c r="AF1586" t="n">
        <v>3</v>
      </c>
      <c r="AG1586" t="n">
        <v>3</v>
      </c>
      <c r="AH1586" t="n">
        <v>3</v>
      </c>
      <c r="AI1586" t="n">
        <v>3</v>
      </c>
      <c r="AJ1586" t="n">
        <v>5</v>
      </c>
      <c r="AK1586" t="n">
        <v>5</v>
      </c>
      <c r="AL1586" t="n">
        <v>2</v>
      </c>
      <c r="AM1586" t="n">
        <v>2</v>
      </c>
      <c r="AN1586" t="n">
        <v>0</v>
      </c>
      <c r="AO1586" t="n">
        <v>0</v>
      </c>
      <c r="AP1586" t="inlineStr">
        <is>
          <t>No</t>
        </is>
      </c>
      <c r="AQ1586" t="inlineStr">
        <is>
          <t>No</t>
        </is>
      </c>
      <c r="AS1586">
        <f>HYPERLINK("https://creighton-primo.hosted.exlibrisgroup.com/primo-explore/search?tab=default_tab&amp;search_scope=EVERYTHING&amp;vid=01CRU&amp;lang=en_US&amp;offset=0&amp;query=any,contains,991004774039702656","Catalog Record")</f>
        <v/>
      </c>
      <c r="AT1586">
        <f>HYPERLINK("http://www.worldcat.org/oclc/52271742","WorldCat Record")</f>
        <v/>
      </c>
      <c r="AU1586" t="inlineStr">
        <is>
          <t>703540:eng</t>
        </is>
      </c>
      <c r="AV1586" t="inlineStr">
        <is>
          <t>52271742</t>
        </is>
      </c>
      <c r="AW1586" t="inlineStr">
        <is>
          <t>991004774039702656</t>
        </is>
      </c>
      <c r="AX1586" t="inlineStr">
        <is>
          <t>991004774039702656</t>
        </is>
      </c>
      <c r="AY1586" t="inlineStr">
        <is>
          <t>2271477060002656</t>
        </is>
      </c>
      <c r="AZ1586" t="inlineStr">
        <is>
          <t>BOOK</t>
        </is>
      </c>
      <c r="BB1586" t="inlineStr">
        <is>
          <t>9780471430490</t>
        </is>
      </c>
      <c r="BC1586" t="inlineStr">
        <is>
          <t>32285005180897</t>
        </is>
      </c>
      <c r="BD1586" t="inlineStr">
        <is>
          <t>893325763</t>
        </is>
      </c>
    </row>
    <row r="1587">
      <c r="A1587" t="inlineStr">
        <is>
          <t>No</t>
        </is>
      </c>
      <c r="B1587" t="inlineStr">
        <is>
          <t>DL65 .C49 2006</t>
        </is>
      </c>
      <c r="C1587" t="inlineStr">
        <is>
          <t>0                      DL 0065000C  49          2006</t>
        </is>
      </c>
      <c r="D1587" t="inlineStr">
        <is>
          <t>The Norsemen in the Viking Age / Eric Christiansen.</t>
        </is>
      </c>
      <c r="F1587" t="inlineStr">
        <is>
          <t>No</t>
        </is>
      </c>
      <c r="G1587" t="inlineStr">
        <is>
          <t>1</t>
        </is>
      </c>
      <c r="H1587" t="inlineStr">
        <is>
          <t>No</t>
        </is>
      </c>
      <c r="I1587" t="inlineStr">
        <is>
          <t>No</t>
        </is>
      </c>
      <c r="J1587" t="inlineStr">
        <is>
          <t>0</t>
        </is>
      </c>
      <c r="K1587" t="inlineStr">
        <is>
          <t>Christiansen, Eric, 1937-</t>
        </is>
      </c>
      <c r="L1587" t="inlineStr">
        <is>
          <t>Oxford : Blackwell, 2006.</t>
        </is>
      </c>
      <c r="M1587" t="inlineStr">
        <is>
          <t>2006</t>
        </is>
      </c>
      <c r="O1587" t="inlineStr">
        <is>
          <t>eng</t>
        </is>
      </c>
      <c r="P1587" t="inlineStr">
        <is>
          <t>enk</t>
        </is>
      </c>
      <c r="Q1587" t="inlineStr">
        <is>
          <t>The peoples of Europe</t>
        </is>
      </c>
      <c r="R1587" t="inlineStr">
        <is>
          <t xml:space="preserve">DL </t>
        </is>
      </c>
      <c r="S1587" t="n">
        <v>3</v>
      </c>
      <c r="T1587" t="n">
        <v>3</v>
      </c>
      <c r="U1587" t="inlineStr">
        <is>
          <t>2010-04-10</t>
        </is>
      </c>
      <c r="V1587" t="inlineStr">
        <is>
          <t>2010-04-10</t>
        </is>
      </c>
      <c r="W1587" t="inlineStr">
        <is>
          <t>2006-09-12</t>
        </is>
      </c>
      <c r="X1587" t="inlineStr">
        <is>
          <t>2006-09-12</t>
        </is>
      </c>
      <c r="Y1587" t="n">
        <v>55</v>
      </c>
      <c r="Z1587" t="n">
        <v>39</v>
      </c>
      <c r="AA1587" t="n">
        <v>479</v>
      </c>
      <c r="AB1587" t="n">
        <v>1</v>
      </c>
      <c r="AC1587" t="n">
        <v>5</v>
      </c>
      <c r="AD1587" t="n">
        <v>0</v>
      </c>
      <c r="AE1587" t="n">
        <v>21</v>
      </c>
      <c r="AF1587" t="n">
        <v>0</v>
      </c>
      <c r="AG1587" t="n">
        <v>7</v>
      </c>
      <c r="AH1587" t="n">
        <v>0</v>
      </c>
      <c r="AI1587" t="n">
        <v>6</v>
      </c>
      <c r="AJ1587" t="n">
        <v>0</v>
      </c>
      <c r="AK1587" t="n">
        <v>9</v>
      </c>
      <c r="AL1587" t="n">
        <v>0</v>
      </c>
      <c r="AM1587" t="n">
        <v>3</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HYPERLINK("https://creighton-primo.hosted.exlibrisgroup.com/primo-explore/search?tab=default_tab&amp;search_scope=EVERYTHING&amp;vid=01CRU&amp;lang=en_US&amp;offset=0&amp;query=any,contains,991004772929702656","Catalog Record")</f>
        <v/>
      </c>
      <c r="AT1587">
        <f>HYPERLINK("http://www.worldcat.org/oclc/63136564","WorldCat Record")</f>
        <v/>
      </c>
      <c r="AU1587" t="inlineStr">
        <is>
          <t>889163:eng</t>
        </is>
      </c>
      <c r="AV1587" t="inlineStr">
        <is>
          <t>63136564</t>
        </is>
      </c>
      <c r="AW1587" t="inlineStr">
        <is>
          <t>991004772929702656</t>
        </is>
      </c>
      <c r="AX1587" t="inlineStr">
        <is>
          <t>991004772929702656</t>
        </is>
      </c>
      <c r="AY1587" t="inlineStr">
        <is>
          <t>2254866340002656</t>
        </is>
      </c>
      <c r="AZ1587" t="inlineStr">
        <is>
          <t>BOOK</t>
        </is>
      </c>
      <c r="BB1587" t="inlineStr">
        <is>
          <t>9781405149648</t>
        </is>
      </c>
      <c r="BC1587" t="inlineStr">
        <is>
          <t>32285005222491</t>
        </is>
      </c>
      <c r="BD1587" t="inlineStr">
        <is>
          <t>893694337</t>
        </is>
      </c>
    </row>
    <row r="1588">
      <c r="A1588" t="inlineStr">
        <is>
          <t>No</t>
        </is>
      </c>
      <c r="B1588" t="inlineStr">
        <is>
          <t>DL65 .C57 1991</t>
        </is>
      </c>
      <c r="C1588" t="inlineStr">
        <is>
          <t>0                      DL 0065000C  57          1991</t>
        </is>
      </c>
      <c r="D1588" t="inlineStr">
        <is>
          <t>Towns in the Viking age / Helen Clarke and Björn Ambrosiani.</t>
        </is>
      </c>
      <c r="F1588" t="inlineStr">
        <is>
          <t>No</t>
        </is>
      </c>
      <c r="G1588" t="inlineStr">
        <is>
          <t>1</t>
        </is>
      </c>
      <c r="H1588" t="inlineStr">
        <is>
          <t>No</t>
        </is>
      </c>
      <c r="I1588" t="inlineStr">
        <is>
          <t>No</t>
        </is>
      </c>
      <c r="J1588" t="inlineStr">
        <is>
          <t>0</t>
        </is>
      </c>
      <c r="K1588" t="inlineStr">
        <is>
          <t>Clarke, Helen.</t>
        </is>
      </c>
      <c r="L1588" t="inlineStr">
        <is>
          <t>New York : St. Martin's Press, 1991.</t>
        </is>
      </c>
      <c r="M1588" t="inlineStr">
        <is>
          <t>1991</t>
        </is>
      </c>
      <c r="O1588" t="inlineStr">
        <is>
          <t>eng</t>
        </is>
      </c>
      <c r="P1588" t="inlineStr">
        <is>
          <t>nyu</t>
        </is>
      </c>
      <c r="R1588" t="inlineStr">
        <is>
          <t xml:space="preserve">DL </t>
        </is>
      </c>
      <c r="S1588" t="n">
        <v>5</v>
      </c>
      <c r="T1588" t="n">
        <v>5</v>
      </c>
      <c r="U1588" t="inlineStr">
        <is>
          <t>2003-11-02</t>
        </is>
      </c>
      <c r="V1588" t="inlineStr">
        <is>
          <t>2003-11-02</t>
        </is>
      </c>
      <c r="W1588" t="inlineStr">
        <is>
          <t>1992-06-10</t>
        </is>
      </c>
      <c r="X1588" t="inlineStr">
        <is>
          <t>1992-06-10</t>
        </is>
      </c>
      <c r="Y1588" t="n">
        <v>262</v>
      </c>
      <c r="Z1588" t="n">
        <v>235</v>
      </c>
      <c r="AA1588" t="n">
        <v>305</v>
      </c>
      <c r="AB1588" t="n">
        <v>2</v>
      </c>
      <c r="AC1588" t="n">
        <v>3</v>
      </c>
      <c r="AD1588" t="n">
        <v>15</v>
      </c>
      <c r="AE1588" t="n">
        <v>19</v>
      </c>
      <c r="AF1588" t="n">
        <v>3</v>
      </c>
      <c r="AG1588" t="n">
        <v>4</v>
      </c>
      <c r="AH1588" t="n">
        <v>6</v>
      </c>
      <c r="AI1588" t="n">
        <v>7</v>
      </c>
      <c r="AJ1588" t="n">
        <v>9</v>
      </c>
      <c r="AK1588" t="n">
        <v>11</v>
      </c>
      <c r="AL1588" t="n">
        <v>1</v>
      </c>
      <c r="AM1588" t="n">
        <v>2</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HYPERLINK("https://creighton-primo.hosted.exlibrisgroup.com/primo-explore/search?tab=default_tab&amp;search_scope=EVERYTHING&amp;vid=01CRU&amp;lang=en_US&amp;offset=0&amp;query=any,contains,991001899819702656","Catalog Record")</f>
        <v/>
      </c>
      <c r="AT1588">
        <f>HYPERLINK("http://www.worldcat.org/oclc/24007544","WorldCat Record")</f>
        <v/>
      </c>
      <c r="AU1588" t="inlineStr">
        <is>
          <t>24937817:eng</t>
        </is>
      </c>
      <c r="AV1588" t="inlineStr">
        <is>
          <t>24007544</t>
        </is>
      </c>
      <c r="AW1588" t="inlineStr">
        <is>
          <t>991001899819702656</t>
        </is>
      </c>
      <c r="AX1588" t="inlineStr">
        <is>
          <t>991001899819702656</t>
        </is>
      </c>
      <c r="AY1588" t="inlineStr">
        <is>
          <t>2258411750002656</t>
        </is>
      </c>
      <c r="AZ1588" t="inlineStr">
        <is>
          <t>BOOK</t>
        </is>
      </c>
      <c r="BB1588" t="inlineStr">
        <is>
          <t>9780312060862</t>
        </is>
      </c>
      <c r="BC1588" t="inlineStr">
        <is>
          <t>32285001126936</t>
        </is>
      </c>
      <c r="BD1588" t="inlineStr">
        <is>
          <t>893340800</t>
        </is>
      </c>
    </row>
    <row r="1589">
      <c r="A1589" t="inlineStr">
        <is>
          <t>No</t>
        </is>
      </c>
      <c r="B1589" t="inlineStr">
        <is>
          <t>DL65 .C85 1994</t>
        </is>
      </c>
      <c r="C1589" t="inlineStr">
        <is>
          <t>0                      DL 0065000C  85          1994</t>
        </is>
      </c>
      <c r="D1589" t="inlineStr">
        <is>
          <t>Cultural atlas of the Viking world / Colleen Batey ... [et al.] ; edited by James Graham-Campbell.</t>
        </is>
      </c>
      <c r="F1589" t="inlineStr">
        <is>
          <t>No</t>
        </is>
      </c>
      <c r="G1589" t="inlineStr">
        <is>
          <t>1</t>
        </is>
      </c>
      <c r="H1589" t="inlineStr">
        <is>
          <t>No</t>
        </is>
      </c>
      <c r="I1589" t="inlineStr">
        <is>
          <t>No</t>
        </is>
      </c>
      <c r="J1589" t="inlineStr">
        <is>
          <t>0</t>
        </is>
      </c>
      <c r="L1589" t="inlineStr">
        <is>
          <t>New York : Facts on File, c1994.</t>
        </is>
      </c>
      <c r="M1589" t="inlineStr">
        <is>
          <t>1994</t>
        </is>
      </c>
      <c r="O1589" t="inlineStr">
        <is>
          <t>eng</t>
        </is>
      </c>
      <c r="P1589" t="inlineStr">
        <is>
          <t>nyu</t>
        </is>
      </c>
      <c r="R1589" t="inlineStr">
        <is>
          <t xml:space="preserve">DL </t>
        </is>
      </c>
      <c r="S1589" t="n">
        <v>2</v>
      </c>
      <c r="T1589" t="n">
        <v>2</v>
      </c>
      <c r="U1589" t="inlineStr">
        <is>
          <t>2010-04-10</t>
        </is>
      </c>
      <c r="V1589" t="inlineStr">
        <is>
          <t>2010-04-10</t>
        </is>
      </c>
      <c r="W1589" t="inlineStr">
        <is>
          <t>2008-06-12</t>
        </is>
      </c>
      <c r="X1589" t="inlineStr">
        <is>
          <t>2008-06-12</t>
        </is>
      </c>
      <c r="Y1589" t="n">
        <v>1101</v>
      </c>
      <c r="Z1589" t="n">
        <v>942</v>
      </c>
      <c r="AA1589" t="n">
        <v>950</v>
      </c>
      <c r="AB1589" t="n">
        <v>8</v>
      </c>
      <c r="AC1589" t="n">
        <v>8</v>
      </c>
      <c r="AD1589" t="n">
        <v>23</v>
      </c>
      <c r="AE1589" t="n">
        <v>23</v>
      </c>
      <c r="AF1589" t="n">
        <v>8</v>
      </c>
      <c r="AG1589" t="n">
        <v>8</v>
      </c>
      <c r="AH1589" t="n">
        <v>3</v>
      </c>
      <c r="AI1589" t="n">
        <v>3</v>
      </c>
      <c r="AJ1589" t="n">
        <v>12</v>
      </c>
      <c r="AK1589" t="n">
        <v>12</v>
      </c>
      <c r="AL1589" t="n">
        <v>4</v>
      </c>
      <c r="AM1589" t="n">
        <v>4</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HYPERLINK("https://creighton-primo.hosted.exlibrisgroup.com/primo-explore/search?tab=default_tab&amp;search_scope=EVERYTHING&amp;vid=01CRU&amp;lang=en_US&amp;offset=0&amp;query=any,contains,991005234939702656","Catalog Record")</f>
        <v/>
      </c>
      <c r="AT1589">
        <f>HYPERLINK("http://www.worldcat.org/oclc/31038480","WorldCat Record")</f>
        <v/>
      </c>
      <c r="AU1589" t="inlineStr">
        <is>
          <t>3855434819:eng</t>
        </is>
      </c>
      <c r="AV1589" t="inlineStr">
        <is>
          <t>31038480</t>
        </is>
      </c>
      <c r="AW1589" t="inlineStr">
        <is>
          <t>991005234939702656</t>
        </is>
      </c>
      <c r="AX1589" t="inlineStr">
        <is>
          <t>991005234939702656</t>
        </is>
      </c>
      <c r="AY1589" t="inlineStr">
        <is>
          <t>2266920390002656</t>
        </is>
      </c>
      <c r="AZ1589" t="inlineStr">
        <is>
          <t>BOOK</t>
        </is>
      </c>
      <c r="BB1589" t="inlineStr">
        <is>
          <t>9780816030040</t>
        </is>
      </c>
      <c r="BC1589" t="inlineStr">
        <is>
          <t>32285005445167</t>
        </is>
      </c>
      <c r="BD1589" t="inlineStr">
        <is>
          <t>893688811</t>
        </is>
      </c>
    </row>
    <row r="1590">
      <c r="A1590" t="inlineStr">
        <is>
          <t>No</t>
        </is>
      </c>
      <c r="B1590" t="inlineStr">
        <is>
          <t>DL65 .F6 1970</t>
        </is>
      </c>
      <c r="C1590" t="inlineStr">
        <is>
          <t>0                      DL 0065000F  6           1970</t>
        </is>
      </c>
      <c r="D1590" t="inlineStr">
        <is>
          <t>The Viking achievement; a survey of the society and culture of early medieval Scandinavia Peter G. Foote, David M. Wilson.</t>
        </is>
      </c>
      <c r="F1590" t="inlineStr">
        <is>
          <t>No</t>
        </is>
      </c>
      <c r="G1590" t="inlineStr">
        <is>
          <t>1</t>
        </is>
      </c>
      <c r="H1590" t="inlineStr">
        <is>
          <t>No</t>
        </is>
      </c>
      <c r="I1590" t="inlineStr">
        <is>
          <t>No</t>
        </is>
      </c>
      <c r="J1590" t="inlineStr">
        <is>
          <t>0</t>
        </is>
      </c>
      <c r="K1590" t="inlineStr">
        <is>
          <t>Foote, Peter, 1924-2009.</t>
        </is>
      </c>
      <c r="L1590" t="inlineStr">
        <is>
          <t>New York, Praeger [1970]</t>
        </is>
      </c>
      <c r="M1590" t="inlineStr">
        <is>
          <t>1970</t>
        </is>
      </c>
      <c r="O1590" t="inlineStr">
        <is>
          <t>eng</t>
        </is>
      </c>
      <c r="P1590" t="inlineStr">
        <is>
          <t>nyu</t>
        </is>
      </c>
      <c r="R1590" t="inlineStr">
        <is>
          <t xml:space="preserve">DL </t>
        </is>
      </c>
      <c r="S1590" t="n">
        <v>11</v>
      </c>
      <c r="T1590" t="n">
        <v>11</v>
      </c>
      <c r="U1590" t="inlineStr">
        <is>
          <t>2007-02-16</t>
        </is>
      </c>
      <c r="V1590" t="inlineStr">
        <is>
          <t>2007-02-16</t>
        </is>
      </c>
      <c r="W1590" t="inlineStr">
        <is>
          <t>1992-04-16</t>
        </is>
      </c>
      <c r="X1590" t="inlineStr">
        <is>
          <t>1992-04-16</t>
        </is>
      </c>
      <c r="Y1590" t="n">
        <v>725</v>
      </c>
      <c r="Z1590" t="n">
        <v>692</v>
      </c>
      <c r="AA1590" t="n">
        <v>881</v>
      </c>
      <c r="AB1590" t="n">
        <v>9</v>
      </c>
      <c r="AC1590" t="n">
        <v>9</v>
      </c>
      <c r="AD1590" t="n">
        <v>29</v>
      </c>
      <c r="AE1590" t="n">
        <v>35</v>
      </c>
      <c r="AF1590" t="n">
        <v>7</v>
      </c>
      <c r="AG1590" t="n">
        <v>8</v>
      </c>
      <c r="AH1590" t="n">
        <v>7</v>
      </c>
      <c r="AI1590" t="n">
        <v>9</v>
      </c>
      <c r="AJ1590" t="n">
        <v>11</v>
      </c>
      <c r="AK1590" t="n">
        <v>16</v>
      </c>
      <c r="AL1590" t="n">
        <v>8</v>
      </c>
      <c r="AM1590" t="n">
        <v>8</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HYPERLINK("https://creighton-primo.hosted.exlibrisgroup.com/primo-explore/search?tab=default_tab&amp;search_scope=EVERYTHING&amp;vid=01CRU&amp;lang=en_US&amp;offset=0&amp;query=any,contains,991000549649702656","Catalog Record")</f>
        <v/>
      </c>
      <c r="AT1590">
        <f>HYPERLINK("http://www.worldcat.org/oclc/92313","WorldCat Record")</f>
        <v/>
      </c>
      <c r="AU1590" t="inlineStr">
        <is>
          <t>1332608:eng</t>
        </is>
      </c>
      <c r="AV1590" t="inlineStr">
        <is>
          <t>92313</t>
        </is>
      </c>
      <c r="AW1590" t="inlineStr">
        <is>
          <t>991000549649702656</t>
        </is>
      </c>
      <c r="AX1590" t="inlineStr">
        <is>
          <t>991000549649702656</t>
        </is>
      </c>
      <c r="AY1590" t="inlineStr">
        <is>
          <t>2262634730002656</t>
        </is>
      </c>
      <c r="AZ1590" t="inlineStr">
        <is>
          <t>BOOK</t>
        </is>
      </c>
      <c r="BC1590" t="inlineStr">
        <is>
          <t>32285001053619</t>
        </is>
      </c>
      <c r="BD1590" t="inlineStr">
        <is>
          <t>893896994</t>
        </is>
      </c>
    </row>
    <row r="1591">
      <c r="A1591" t="inlineStr">
        <is>
          <t>No</t>
        </is>
      </c>
      <c r="B1591" t="inlineStr">
        <is>
          <t>DL65 .F67 2005</t>
        </is>
      </c>
      <c r="C1591" t="inlineStr">
        <is>
          <t>0                      DL 0065000F  67          2005</t>
        </is>
      </c>
      <c r="D1591" t="inlineStr">
        <is>
          <t>Viking empires / Angelo Forte, Richard Oram and Frederik Pedersen.</t>
        </is>
      </c>
      <c r="F1591" t="inlineStr">
        <is>
          <t>No</t>
        </is>
      </c>
      <c r="G1591" t="inlineStr">
        <is>
          <t>1</t>
        </is>
      </c>
      <c r="H1591" t="inlineStr">
        <is>
          <t>No</t>
        </is>
      </c>
      <c r="I1591" t="inlineStr">
        <is>
          <t>No</t>
        </is>
      </c>
      <c r="J1591" t="inlineStr">
        <is>
          <t>0</t>
        </is>
      </c>
      <c r="K1591" t="inlineStr">
        <is>
          <t>Forte, A. D. M.</t>
        </is>
      </c>
      <c r="L1591" t="inlineStr">
        <is>
          <t>Cambridge, U.K. ; New York : Cambridge University Press, 2005.</t>
        </is>
      </c>
      <c r="M1591" t="inlineStr">
        <is>
          <t>2005</t>
        </is>
      </c>
      <c r="O1591" t="inlineStr">
        <is>
          <t>eng</t>
        </is>
      </c>
      <c r="P1591" t="inlineStr">
        <is>
          <t>enk</t>
        </is>
      </c>
      <c r="R1591" t="inlineStr">
        <is>
          <t xml:space="preserve">DL </t>
        </is>
      </c>
      <c r="S1591" t="n">
        <v>4</v>
      </c>
      <c r="T1591" t="n">
        <v>4</v>
      </c>
      <c r="U1591" t="inlineStr">
        <is>
          <t>2010-04-10</t>
        </is>
      </c>
      <c r="V1591" t="inlineStr">
        <is>
          <t>2010-04-10</t>
        </is>
      </c>
      <c r="W1591" t="inlineStr">
        <is>
          <t>2006-03-30</t>
        </is>
      </c>
      <c r="X1591" t="inlineStr">
        <is>
          <t>2006-03-30</t>
        </is>
      </c>
      <c r="Y1591" t="n">
        <v>697</v>
      </c>
      <c r="Z1591" t="n">
        <v>522</v>
      </c>
      <c r="AA1591" t="n">
        <v>523</v>
      </c>
      <c r="AB1591" t="n">
        <v>6</v>
      </c>
      <c r="AC1591" t="n">
        <v>6</v>
      </c>
      <c r="AD1591" t="n">
        <v>24</v>
      </c>
      <c r="AE1591" t="n">
        <v>24</v>
      </c>
      <c r="AF1591" t="n">
        <v>7</v>
      </c>
      <c r="AG1591" t="n">
        <v>7</v>
      </c>
      <c r="AH1591" t="n">
        <v>7</v>
      </c>
      <c r="AI1591" t="n">
        <v>7</v>
      </c>
      <c r="AJ1591" t="n">
        <v>13</v>
      </c>
      <c r="AK1591" t="n">
        <v>13</v>
      </c>
      <c r="AL1591" t="n">
        <v>4</v>
      </c>
      <c r="AM1591" t="n">
        <v>4</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HYPERLINK("https://creighton-primo.hosted.exlibrisgroup.com/primo-explore/search?tab=default_tab&amp;search_scope=EVERYTHING&amp;vid=01CRU&amp;lang=en_US&amp;offset=0&amp;query=any,contains,991004773739702656","Catalog Record")</f>
        <v/>
      </c>
      <c r="AT1591">
        <f>HYPERLINK("http://www.worldcat.org/oclc/56011021","WorldCat Record")</f>
        <v/>
      </c>
      <c r="AU1591" t="inlineStr">
        <is>
          <t>360550:eng</t>
        </is>
      </c>
      <c r="AV1591" t="inlineStr">
        <is>
          <t>56011021</t>
        </is>
      </c>
      <c r="AW1591" t="inlineStr">
        <is>
          <t>991004773739702656</t>
        </is>
      </c>
      <c r="AX1591" t="inlineStr">
        <is>
          <t>991004773739702656</t>
        </is>
      </c>
      <c r="AY1591" t="inlineStr">
        <is>
          <t>2255043340002656</t>
        </is>
      </c>
      <c r="AZ1591" t="inlineStr">
        <is>
          <t>BOOK</t>
        </is>
      </c>
      <c r="BB1591" t="inlineStr">
        <is>
          <t>9780521536776</t>
        </is>
      </c>
      <c r="BC1591" t="inlineStr">
        <is>
          <t>32285005168728</t>
        </is>
      </c>
      <c r="BD1591" t="inlineStr">
        <is>
          <t>893625102</t>
        </is>
      </c>
    </row>
    <row r="1592">
      <c r="A1592" t="inlineStr">
        <is>
          <t>No</t>
        </is>
      </c>
      <c r="B1592" t="inlineStr">
        <is>
          <t>DL65 .G63 1980</t>
        </is>
      </c>
      <c r="C1592" t="inlineStr">
        <is>
          <t>0                      DL 0065000G  63          1980</t>
        </is>
      </c>
      <c r="D1592" t="inlineStr">
        <is>
          <t>The Viking world / James Graham-Campbell ; foreword by David M. Wilson.</t>
        </is>
      </c>
      <c r="F1592" t="inlineStr">
        <is>
          <t>No</t>
        </is>
      </c>
      <c r="G1592" t="inlineStr">
        <is>
          <t>1</t>
        </is>
      </c>
      <c r="H1592" t="inlineStr">
        <is>
          <t>No</t>
        </is>
      </c>
      <c r="I1592" t="inlineStr">
        <is>
          <t>No</t>
        </is>
      </c>
      <c r="J1592" t="inlineStr">
        <is>
          <t>0</t>
        </is>
      </c>
      <c r="K1592" t="inlineStr">
        <is>
          <t>Graham-Campbell, James.</t>
        </is>
      </c>
      <c r="L1592" t="inlineStr">
        <is>
          <t>New Haven : Ticknor &amp; Fields, 1980.</t>
        </is>
      </c>
      <c r="M1592" t="inlineStr">
        <is>
          <t>1980</t>
        </is>
      </c>
      <c r="O1592" t="inlineStr">
        <is>
          <t>eng</t>
        </is>
      </c>
      <c r="P1592" t="inlineStr">
        <is>
          <t>ctu</t>
        </is>
      </c>
      <c r="R1592" t="inlineStr">
        <is>
          <t xml:space="preserve">DL </t>
        </is>
      </c>
      <c r="S1592" t="n">
        <v>13</v>
      </c>
      <c r="T1592" t="n">
        <v>13</v>
      </c>
      <c r="U1592" t="inlineStr">
        <is>
          <t>2008-04-26</t>
        </is>
      </c>
      <c r="V1592" t="inlineStr">
        <is>
          <t>2008-04-26</t>
        </is>
      </c>
      <c r="W1592" t="inlineStr">
        <is>
          <t>1991-09-12</t>
        </is>
      </c>
      <c r="X1592" t="inlineStr">
        <is>
          <t>1991-09-12</t>
        </is>
      </c>
      <c r="Y1592" t="n">
        <v>1119</v>
      </c>
      <c r="Z1592" t="n">
        <v>1056</v>
      </c>
      <c r="AA1592" t="n">
        <v>1187</v>
      </c>
      <c r="AB1592" t="n">
        <v>5</v>
      </c>
      <c r="AC1592" t="n">
        <v>7</v>
      </c>
      <c r="AD1592" t="n">
        <v>22</v>
      </c>
      <c r="AE1592" t="n">
        <v>24</v>
      </c>
      <c r="AF1592" t="n">
        <v>11</v>
      </c>
      <c r="AG1592" t="n">
        <v>11</v>
      </c>
      <c r="AH1592" t="n">
        <v>6</v>
      </c>
      <c r="AI1592" t="n">
        <v>6</v>
      </c>
      <c r="AJ1592" t="n">
        <v>13</v>
      </c>
      <c r="AK1592" t="n">
        <v>14</v>
      </c>
      <c r="AL1592" t="n">
        <v>2</v>
      </c>
      <c r="AM1592" t="n">
        <v>3</v>
      </c>
      <c r="AN1592" t="n">
        <v>0</v>
      </c>
      <c r="AO1592" t="n">
        <v>0</v>
      </c>
      <c r="AP1592" t="inlineStr">
        <is>
          <t>No</t>
        </is>
      </c>
      <c r="AQ1592" t="inlineStr">
        <is>
          <t>No</t>
        </is>
      </c>
      <c r="AS1592">
        <f>HYPERLINK("https://creighton-primo.hosted.exlibrisgroup.com/primo-explore/search?tab=default_tab&amp;search_scope=EVERYTHING&amp;vid=01CRU&amp;lang=en_US&amp;offset=0&amp;query=any,contains,991004873569702656","Catalog Record")</f>
        <v/>
      </c>
      <c r="AT1592">
        <f>HYPERLINK("http://www.worldcat.org/oclc/5777026","WorldCat Record")</f>
        <v/>
      </c>
      <c r="AU1592" t="inlineStr">
        <is>
          <t>353589640:eng</t>
        </is>
      </c>
      <c r="AV1592" t="inlineStr">
        <is>
          <t>5777026</t>
        </is>
      </c>
      <c r="AW1592" t="inlineStr">
        <is>
          <t>991004873569702656</t>
        </is>
      </c>
      <c r="AX1592" t="inlineStr">
        <is>
          <t>991004873569702656</t>
        </is>
      </c>
      <c r="AY1592" t="inlineStr">
        <is>
          <t>2256226180002656</t>
        </is>
      </c>
      <c r="AZ1592" t="inlineStr">
        <is>
          <t>BOOK</t>
        </is>
      </c>
      <c r="BB1592" t="inlineStr">
        <is>
          <t>9780899190051</t>
        </is>
      </c>
      <c r="BC1592" t="inlineStr">
        <is>
          <t>32285004856067</t>
        </is>
      </c>
      <c r="BD1592" t="inlineStr">
        <is>
          <t>893706942</t>
        </is>
      </c>
    </row>
    <row r="1593">
      <c r="A1593" t="inlineStr">
        <is>
          <t>No</t>
        </is>
      </c>
      <c r="B1593" t="inlineStr">
        <is>
          <t>DL65 .J47 1991</t>
        </is>
      </c>
      <c r="C1593" t="inlineStr">
        <is>
          <t>0                      DL 0065000J  47          1991</t>
        </is>
      </c>
      <c r="D1593" t="inlineStr">
        <is>
          <t>Women in the Viking age / Judith Jesch.</t>
        </is>
      </c>
      <c r="F1593" t="inlineStr">
        <is>
          <t>No</t>
        </is>
      </c>
      <c r="G1593" t="inlineStr">
        <is>
          <t>1</t>
        </is>
      </c>
      <c r="H1593" t="inlineStr">
        <is>
          <t>No</t>
        </is>
      </c>
      <c r="I1593" t="inlineStr">
        <is>
          <t>No</t>
        </is>
      </c>
      <c r="J1593" t="inlineStr">
        <is>
          <t>0</t>
        </is>
      </c>
      <c r="K1593" t="inlineStr">
        <is>
          <t>Jesch, Judith, 1954-</t>
        </is>
      </c>
      <c r="L1593" t="inlineStr">
        <is>
          <t>Woodbridge, Suffolk ; Rochester, NY : Boydell Press, 1991.</t>
        </is>
      </c>
      <c r="M1593" t="inlineStr">
        <is>
          <t>1991</t>
        </is>
      </c>
      <c r="O1593" t="inlineStr">
        <is>
          <t>eng</t>
        </is>
      </c>
      <c r="P1593" t="inlineStr">
        <is>
          <t>enk</t>
        </is>
      </c>
      <c r="R1593" t="inlineStr">
        <is>
          <t xml:space="preserve">DL </t>
        </is>
      </c>
      <c r="S1593" t="n">
        <v>4</v>
      </c>
      <c r="T1593" t="n">
        <v>4</v>
      </c>
      <c r="U1593" t="inlineStr">
        <is>
          <t>2010-04-10</t>
        </is>
      </c>
      <c r="V1593" t="inlineStr">
        <is>
          <t>2010-04-10</t>
        </is>
      </c>
      <c r="W1593" t="inlineStr">
        <is>
          <t>2007-04-11</t>
        </is>
      </c>
      <c r="X1593" t="inlineStr">
        <is>
          <t>2007-04-11</t>
        </is>
      </c>
      <c r="Y1593" t="n">
        <v>510</v>
      </c>
      <c r="Z1593" t="n">
        <v>354</v>
      </c>
      <c r="AA1593" t="n">
        <v>388</v>
      </c>
      <c r="AB1593" t="n">
        <v>3</v>
      </c>
      <c r="AC1593" t="n">
        <v>3</v>
      </c>
      <c r="AD1593" t="n">
        <v>21</v>
      </c>
      <c r="AE1593" t="n">
        <v>21</v>
      </c>
      <c r="AF1593" t="n">
        <v>9</v>
      </c>
      <c r="AG1593" t="n">
        <v>9</v>
      </c>
      <c r="AH1593" t="n">
        <v>6</v>
      </c>
      <c r="AI1593" t="n">
        <v>6</v>
      </c>
      <c r="AJ1593" t="n">
        <v>11</v>
      </c>
      <c r="AK1593" t="n">
        <v>11</v>
      </c>
      <c r="AL1593" t="n">
        <v>2</v>
      </c>
      <c r="AM1593" t="n">
        <v>2</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HYPERLINK("https://creighton-primo.hosted.exlibrisgroup.com/primo-explore/search?tab=default_tab&amp;search_scope=EVERYTHING&amp;vid=01CRU&amp;lang=en_US&amp;offset=0&amp;query=any,contains,991004951799702656","Catalog Record")</f>
        <v/>
      </c>
      <c r="AT1593">
        <f>HYPERLINK("http://www.worldcat.org/oclc/23769931","WorldCat Record")</f>
        <v/>
      </c>
      <c r="AU1593" t="inlineStr">
        <is>
          <t>25110463:eng</t>
        </is>
      </c>
      <c r="AV1593" t="inlineStr">
        <is>
          <t>23769931</t>
        </is>
      </c>
      <c r="AW1593" t="inlineStr">
        <is>
          <t>991004951799702656</t>
        </is>
      </c>
      <c r="AX1593" t="inlineStr">
        <is>
          <t>991004951799702656</t>
        </is>
      </c>
      <c r="AY1593" t="inlineStr">
        <is>
          <t>2272058750002656</t>
        </is>
      </c>
      <c r="AZ1593" t="inlineStr">
        <is>
          <t>BOOK</t>
        </is>
      </c>
      <c r="BB1593" t="inlineStr">
        <is>
          <t>9780851152783</t>
        </is>
      </c>
      <c r="BC1593" t="inlineStr">
        <is>
          <t>32285005286249</t>
        </is>
      </c>
      <c r="BD1593" t="inlineStr">
        <is>
          <t>893332211</t>
        </is>
      </c>
    </row>
    <row r="1594">
      <c r="A1594" t="inlineStr">
        <is>
          <t>No</t>
        </is>
      </c>
      <c r="B1594" t="inlineStr">
        <is>
          <t>DL65 .K27</t>
        </is>
      </c>
      <c r="C1594" t="inlineStr">
        <is>
          <t>0                      DL 0065000K  27</t>
        </is>
      </c>
      <c r="D1594" t="inlineStr">
        <is>
          <t>A history of the vikings, by T. D. Kendrick ... with 28 illustrations and 28 maps.</t>
        </is>
      </c>
      <c r="F1594" t="inlineStr">
        <is>
          <t>No</t>
        </is>
      </c>
      <c r="G1594" t="inlineStr">
        <is>
          <t>1</t>
        </is>
      </c>
      <c r="H1594" t="inlineStr">
        <is>
          <t>No</t>
        </is>
      </c>
      <c r="I1594" t="inlineStr">
        <is>
          <t>No</t>
        </is>
      </c>
      <c r="J1594" t="inlineStr">
        <is>
          <t>0</t>
        </is>
      </c>
      <c r="K1594" t="inlineStr">
        <is>
          <t>Kendrick, T. D. (Thomas Downing)</t>
        </is>
      </c>
      <c r="L1594" t="inlineStr">
        <is>
          <t>New York, C. Scribner's sons, 1930.</t>
        </is>
      </c>
      <c r="M1594" t="inlineStr">
        <is>
          <t>1930</t>
        </is>
      </c>
      <c r="O1594" t="inlineStr">
        <is>
          <t>eng</t>
        </is>
      </c>
      <c r="P1594" t="inlineStr">
        <is>
          <t>nyu</t>
        </is>
      </c>
      <c r="R1594" t="inlineStr">
        <is>
          <t xml:space="preserve">DL </t>
        </is>
      </c>
      <c r="S1594" t="n">
        <v>5</v>
      </c>
      <c r="T1594" t="n">
        <v>5</v>
      </c>
      <c r="U1594" t="inlineStr">
        <is>
          <t>2002-11-16</t>
        </is>
      </c>
      <c r="V1594" t="inlineStr">
        <is>
          <t>2002-11-16</t>
        </is>
      </c>
      <c r="W1594" t="inlineStr">
        <is>
          <t>1992-03-31</t>
        </is>
      </c>
      <c r="X1594" t="inlineStr">
        <is>
          <t>1992-03-31</t>
        </is>
      </c>
      <c r="Y1594" t="n">
        <v>271</v>
      </c>
      <c r="Z1594" t="n">
        <v>261</v>
      </c>
      <c r="AA1594" t="n">
        <v>699</v>
      </c>
      <c r="AB1594" t="n">
        <v>4</v>
      </c>
      <c r="AC1594" t="n">
        <v>6</v>
      </c>
      <c r="AD1594" t="n">
        <v>14</v>
      </c>
      <c r="AE1594" t="n">
        <v>27</v>
      </c>
      <c r="AF1594" t="n">
        <v>3</v>
      </c>
      <c r="AG1594" t="n">
        <v>6</v>
      </c>
      <c r="AH1594" t="n">
        <v>6</v>
      </c>
      <c r="AI1594" t="n">
        <v>7</v>
      </c>
      <c r="AJ1594" t="n">
        <v>6</v>
      </c>
      <c r="AK1594" t="n">
        <v>15</v>
      </c>
      <c r="AL1594" t="n">
        <v>3</v>
      </c>
      <c r="AM1594" t="n">
        <v>5</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HYPERLINK("https://creighton-primo.hosted.exlibrisgroup.com/primo-explore/search?tab=default_tab&amp;search_scope=EVERYTHING&amp;vid=01CRU&amp;lang=en_US&amp;offset=0&amp;query=any,contains,991004134859702656","Catalog Record")</f>
        <v/>
      </c>
      <c r="AT1594">
        <f>HYPERLINK("http://www.worldcat.org/oclc/2482497","WorldCat Record")</f>
        <v/>
      </c>
      <c r="AU1594" t="inlineStr">
        <is>
          <t>3850806163:eng</t>
        </is>
      </c>
      <c r="AV1594" t="inlineStr">
        <is>
          <t>2482497</t>
        </is>
      </c>
      <c r="AW1594" t="inlineStr">
        <is>
          <t>991004134859702656</t>
        </is>
      </c>
      <c r="AX1594" t="inlineStr">
        <is>
          <t>991004134859702656</t>
        </is>
      </c>
      <c r="AY1594" t="inlineStr">
        <is>
          <t>2260907250002656</t>
        </is>
      </c>
      <c r="AZ1594" t="inlineStr">
        <is>
          <t>BOOK</t>
        </is>
      </c>
      <c r="BC1594" t="inlineStr">
        <is>
          <t>32285000529999</t>
        </is>
      </c>
      <c r="BD1594" t="inlineStr">
        <is>
          <t>893800630</t>
        </is>
      </c>
    </row>
    <row r="1595">
      <c r="A1595" t="inlineStr">
        <is>
          <t>No</t>
        </is>
      </c>
      <c r="B1595" t="inlineStr">
        <is>
          <t>DL65 .O933</t>
        </is>
      </c>
      <c r="C1595" t="inlineStr">
        <is>
          <t>0                      DL 0065000O  933</t>
        </is>
      </c>
      <c r="D1595" t="inlineStr">
        <is>
          <t>The Norsemen [by] Eric Oxenstierna. Translated and edited by Catherine Hutter.</t>
        </is>
      </c>
      <c r="F1595" t="inlineStr">
        <is>
          <t>No</t>
        </is>
      </c>
      <c r="G1595" t="inlineStr">
        <is>
          <t>1</t>
        </is>
      </c>
      <c r="H1595" t="inlineStr">
        <is>
          <t>No</t>
        </is>
      </c>
      <c r="I1595" t="inlineStr">
        <is>
          <t>No</t>
        </is>
      </c>
      <c r="J1595" t="inlineStr">
        <is>
          <t>0</t>
        </is>
      </c>
      <c r="K1595" t="inlineStr">
        <is>
          <t>Oxenstierna, Eric, Graf.</t>
        </is>
      </c>
      <c r="L1595" t="inlineStr">
        <is>
          <t>Greenwich, Conn., New York Graphic Society Publishers [1965]</t>
        </is>
      </c>
      <c r="M1595" t="inlineStr">
        <is>
          <t>1965</t>
        </is>
      </c>
      <c r="O1595" t="inlineStr">
        <is>
          <t>eng</t>
        </is>
      </c>
      <c r="P1595" t="inlineStr">
        <is>
          <t>ctu</t>
        </is>
      </c>
      <c r="R1595" t="inlineStr">
        <is>
          <t xml:space="preserve">DL </t>
        </is>
      </c>
      <c r="S1595" t="n">
        <v>8</v>
      </c>
      <c r="T1595" t="n">
        <v>8</v>
      </c>
      <c r="U1595" t="inlineStr">
        <is>
          <t>2002-11-16</t>
        </is>
      </c>
      <c r="V1595" t="inlineStr">
        <is>
          <t>2002-11-16</t>
        </is>
      </c>
      <c r="W1595" t="inlineStr">
        <is>
          <t>1992-03-31</t>
        </is>
      </c>
      <c r="X1595" t="inlineStr">
        <is>
          <t>1992-03-31</t>
        </is>
      </c>
      <c r="Y1595" t="n">
        <v>1176</v>
      </c>
      <c r="Z1595" t="n">
        <v>1111</v>
      </c>
      <c r="AA1595" t="n">
        <v>1168</v>
      </c>
      <c r="AB1595" t="n">
        <v>9</v>
      </c>
      <c r="AC1595" t="n">
        <v>10</v>
      </c>
      <c r="AD1595" t="n">
        <v>33</v>
      </c>
      <c r="AE1595" t="n">
        <v>37</v>
      </c>
      <c r="AF1595" t="n">
        <v>11</v>
      </c>
      <c r="AG1595" t="n">
        <v>14</v>
      </c>
      <c r="AH1595" t="n">
        <v>7</v>
      </c>
      <c r="AI1595" t="n">
        <v>8</v>
      </c>
      <c r="AJ1595" t="n">
        <v>17</v>
      </c>
      <c r="AK1595" t="n">
        <v>17</v>
      </c>
      <c r="AL1595" t="n">
        <v>7</v>
      </c>
      <c r="AM1595" t="n">
        <v>8</v>
      </c>
      <c r="AN1595" t="n">
        <v>0</v>
      </c>
      <c r="AO1595" t="n">
        <v>0</v>
      </c>
      <c r="AP1595" t="inlineStr">
        <is>
          <t>No</t>
        </is>
      </c>
      <c r="AQ1595" t="inlineStr">
        <is>
          <t>Yes</t>
        </is>
      </c>
      <c r="AR1595">
        <f>HYPERLINK("http://catalog.hathitrust.org/Record/001245668","HathiTrust Record")</f>
        <v/>
      </c>
      <c r="AS1595">
        <f>HYPERLINK("https://creighton-primo.hosted.exlibrisgroup.com/primo-explore/search?tab=default_tab&amp;search_scope=EVERYTHING&amp;vid=01CRU&amp;lang=en_US&amp;offset=0&amp;query=any,contains,991002009159702656","Catalog Record")</f>
        <v/>
      </c>
      <c r="AT1595">
        <f>HYPERLINK("http://www.worldcat.org/oclc/258761","WorldCat Record")</f>
        <v/>
      </c>
      <c r="AU1595" t="inlineStr">
        <is>
          <t>4202304262:eng</t>
        </is>
      </c>
      <c r="AV1595" t="inlineStr">
        <is>
          <t>258761</t>
        </is>
      </c>
      <c r="AW1595" t="inlineStr">
        <is>
          <t>991002009159702656</t>
        </is>
      </c>
      <c r="AX1595" t="inlineStr">
        <is>
          <t>991002009159702656</t>
        </is>
      </c>
      <c r="AY1595" t="inlineStr">
        <is>
          <t>2271520310002656</t>
        </is>
      </c>
      <c r="AZ1595" t="inlineStr">
        <is>
          <t>BOOK</t>
        </is>
      </c>
      <c r="BC1595" t="inlineStr">
        <is>
          <t>32285001050011</t>
        </is>
      </c>
      <c r="BD1595" t="inlineStr">
        <is>
          <t>893244644</t>
        </is>
      </c>
    </row>
    <row r="1596">
      <c r="A1596" t="inlineStr">
        <is>
          <t>No</t>
        </is>
      </c>
      <c r="B1596" t="inlineStr">
        <is>
          <t>DL65 .O94 1997</t>
        </is>
      </c>
      <c r="C1596" t="inlineStr">
        <is>
          <t>0                      DL 0065000O  94          1997</t>
        </is>
      </c>
      <c r="D1596" t="inlineStr">
        <is>
          <t>The Oxford illustrated history of the Vikings / edited by Peter Sawyer.</t>
        </is>
      </c>
      <c r="F1596" t="inlineStr">
        <is>
          <t>No</t>
        </is>
      </c>
      <c r="G1596" t="inlineStr">
        <is>
          <t>1</t>
        </is>
      </c>
      <c r="H1596" t="inlineStr">
        <is>
          <t>No</t>
        </is>
      </c>
      <c r="I1596" t="inlineStr">
        <is>
          <t>No</t>
        </is>
      </c>
      <c r="J1596" t="inlineStr">
        <is>
          <t>0</t>
        </is>
      </c>
      <c r="L1596" t="inlineStr">
        <is>
          <t>Oxford [England] ; New York : Oxford University Press, 1997.</t>
        </is>
      </c>
      <c r="M1596" t="inlineStr">
        <is>
          <t>1997</t>
        </is>
      </c>
      <c r="O1596" t="inlineStr">
        <is>
          <t>eng</t>
        </is>
      </c>
      <c r="P1596" t="inlineStr">
        <is>
          <t>enk</t>
        </is>
      </c>
      <c r="R1596" t="inlineStr">
        <is>
          <t xml:space="preserve">DL </t>
        </is>
      </c>
      <c r="S1596" t="n">
        <v>1</v>
      </c>
      <c r="T1596" t="n">
        <v>1</v>
      </c>
      <c r="U1596" t="inlineStr">
        <is>
          <t>2008-06-11</t>
        </is>
      </c>
      <c r="V1596" t="inlineStr">
        <is>
          <t>2008-06-11</t>
        </is>
      </c>
      <c r="W1596" t="inlineStr">
        <is>
          <t>2008-06-11</t>
        </is>
      </c>
      <c r="X1596" t="inlineStr">
        <is>
          <t>2008-06-11</t>
        </is>
      </c>
      <c r="Y1596" t="n">
        <v>1372</v>
      </c>
      <c r="Z1596" t="n">
        <v>1113</v>
      </c>
      <c r="AA1596" t="n">
        <v>1395</v>
      </c>
      <c r="AB1596" t="n">
        <v>10</v>
      </c>
      <c r="AC1596" t="n">
        <v>12</v>
      </c>
      <c r="AD1596" t="n">
        <v>31</v>
      </c>
      <c r="AE1596" t="n">
        <v>36</v>
      </c>
      <c r="AF1596" t="n">
        <v>13</v>
      </c>
      <c r="AG1596" t="n">
        <v>16</v>
      </c>
      <c r="AH1596" t="n">
        <v>8</v>
      </c>
      <c r="AI1596" t="n">
        <v>8</v>
      </c>
      <c r="AJ1596" t="n">
        <v>11</v>
      </c>
      <c r="AK1596" t="n">
        <v>13</v>
      </c>
      <c r="AL1596" t="n">
        <v>6</v>
      </c>
      <c r="AM1596" t="n">
        <v>6</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HYPERLINK("https://creighton-primo.hosted.exlibrisgroup.com/primo-explore/search?tab=default_tab&amp;search_scope=EVERYTHING&amp;vid=01CRU&amp;lang=en_US&amp;offset=0&amp;query=any,contains,991005234159702656","Catalog Record")</f>
        <v/>
      </c>
      <c r="AT1596">
        <f>HYPERLINK("http://www.worldcat.org/oclc/36800604","WorldCat Record")</f>
        <v/>
      </c>
      <c r="AU1596" t="inlineStr">
        <is>
          <t>56171110:eng</t>
        </is>
      </c>
      <c r="AV1596" t="inlineStr">
        <is>
          <t>36800604</t>
        </is>
      </c>
      <c r="AW1596" t="inlineStr">
        <is>
          <t>991005234159702656</t>
        </is>
      </c>
      <c r="AX1596" t="inlineStr">
        <is>
          <t>991005234159702656</t>
        </is>
      </c>
      <c r="AY1596" t="inlineStr">
        <is>
          <t>2256450560002656</t>
        </is>
      </c>
      <c r="AZ1596" t="inlineStr">
        <is>
          <t>BOOK</t>
        </is>
      </c>
      <c r="BB1596" t="inlineStr">
        <is>
          <t>9780198205265</t>
        </is>
      </c>
      <c r="BC1596" t="inlineStr">
        <is>
          <t>32285005444459</t>
        </is>
      </c>
      <c r="BD1596" t="inlineStr">
        <is>
          <t>893707496</t>
        </is>
      </c>
    </row>
    <row r="1597">
      <c r="A1597" t="inlineStr">
        <is>
          <t>No</t>
        </is>
      </c>
      <c r="B1597" t="inlineStr">
        <is>
          <t>DL65 .P54 2007</t>
        </is>
      </c>
      <c r="C1597" t="inlineStr">
        <is>
          <t>0                      DL 0065000P  54          2007</t>
        </is>
      </c>
      <c r="D1597" t="inlineStr">
        <is>
          <t>Holy vikings : saints' lives in the old icelandic kings' sagas / by Carl Phelpstead.</t>
        </is>
      </c>
      <c r="F1597" t="inlineStr">
        <is>
          <t>No</t>
        </is>
      </c>
      <c r="G1597" t="inlineStr">
        <is>
          <t>1</t>
        </is>
      </c>
      <c r="H1597" t="inlineStr">
        <is>
          <t>No</t>
        </is>
      </c>
      <c r="I1597" t="inlineStr">
        <is>
          <t>No</t>
        </is>
      </c>
      <c r="J1597" t="inlineStr">
        <is>
          <t>0</t>
        </is>
      </c>
      <c r="K1597" t="inlineStr">
        <is>
          <t>Phelpstead, Carl.</t>
        </is>
      </c>
      <c r="L1597" t="inlineStr">
        <is>
          <t>Tempe, Ariz. : ACMRS, Arizona Center for Medieval and Renaissance Studies, 2007.</t>
        </is>
      </c>
      <c r="M1597" t="inlineStr">
        <is>
          <t>2007</t>
        </is>
      </c>
      <c r="O1597" t="inlineStr">
        <is>
          <t>eng</t>
        </is>
      </c>
      <c r="P1597" t="inlineStr">
        <is>
          <t>aru</t>
        </is>
      </c>
      <c r="Q1597" t="inlineStr">
        <is>
          <t>Medieval and renaissance texts and studies ; v. 340</t>
        </is>
      </c>
      <c r="R1597" t="inlineStr">
        <is>
          <t xml:space="preserve">DL </t>
        </is>
      </c>
      <c r="S1597" t="n">
        <v>1</v>
      </c>
      <c r="T1597" t="n">
        <v>1</v>
      </c>
      <c r="U1597" t="inlineStr">
        <is>
          <t>2010-05-10</t>
        </is>
      </c>
      <c r="V1597" t="inlineStr">
        <is>
          <t>2010-05-10</t>
        </is>
      </c>
      <c r="W1597" t="inlineStr">
        <is>
          <t>2010-05-10</t>
        </is>
      </c>
      <c r="X1597" t="inlineStr">
        <is>
          <t>2010-05-10</t>
        </is>
      </c>
      <c r="Y1597" t="n">
        <v>123</v>
      </c>
      <c r="Z1597" t="n">
        <v>89</v>
      </c>
      <c r="AA1597" t="n">
        <v>91</v>
      </c>
      <c r="AB1597" t="n">
        <v>1</v>
      </c>
      <c r="AC1597" t="n">
        <v>1</v>
      </c>
      <c r="AD1597" t="n">
        <v>5</v>
      </c>
      <c r="AE1597" t="n">
        <v>5</v>
      </c>
      <c r="AF1597" t="n">
        <v>0</v>
      </c>
      <c r="AG1597" t="n">
        <v>0</v>
      </c>
      <c r="AH1597" t="n">
        <v>3</v>
      </c>
      <c r="AI1597" t="n">
        <v>3</v>
      </c>
      <c r="AJ1597" t="n">
        <v>4</v>
      </c>
      <c r="AK1597" t="n">
        <v>4</v>
      </c>
      <c r="AL1597" t="n">
        <v>0</v>
      </c>
      <c r="AM1597" t="n">
        <v>0</v>
      </c>
      <c r="AN1597" t="n">
        <v>0</v>
      </c>
      <c r="AO1597" t="n">
        <v>0</v>
      </c>
      <c r="AP1597" t="inlineStr">
        <is>
          <t>No</t>
        </is>
      </c>
      <c r="AQ1597" t="inlineStr">
        <is>
          <t>Yes</t>
        </is>
      </c>
      <c r="AR1597">
        <f>HYPERLINK("http://catalog.hathitrust.org/Record/005679386","HathiTrust Record")</f>
        <v/>
      </c>
      <c r="AS1597">
        <f>HYPERLINK("https://creighton-primo.hosted.exlibrisgroup.com/primo-explore/search?tab=default_tab&amp;search_scope=EVERYTHING&amp;vid=01CRU&amp;lang=en_US&amp;offset=0&amp;query=any,contains,991005386549702656","Catalog Record")</f>
        <v/>
      </c>
      <c r="AT1597">
        <f>HYPERLINK("http://www.worldcat.org/oclc/163625227","WorldCat Record")</f>
        <v/>
      </c>
      <c r="AU1597" t="inlineStr">
        <is>
          <t>111309642:eng</t>
        </is>
      </c>
      <c r="AV1597" t="inlineStr">
        <is>
          <t>163625227</t>
        </is>
      </c>
      <c r="AW1597" t="inlineStr">
        <is>
          <t>991005386549702656</t>
        </is>
      </c>
      <c r="AX1597" t="inlineStr">
        <is>
          <t>991005386549702656</t>
        </is>
      </c>
      <c r="AY1597" t="inlineStr">
        <is>
          <t>2260852910002656</t>
        </is>
      </c>
      <c r="AZ1597" t="inlineStr">
        <is>
          <t>BOOK</t>
        </is>
      </c>
      <c r="BB1597" t="inlineStr">
        <is>
          <t>9780866983884</t>
        </is>
      </c>
      <c r="BC1597" t="inlineStr">
        <is>
          <t>32285005581136</t>
        </is>
      </c>
      <c r="BD1597" t="inlineStr">
        <is>
          <t>893431430</t>
        </is>
      </c>
    </row>
    <row r="1598">
      <c r="A1598" t="inlineStr">
        <is>
          <t>No</t>
        </is>
      </c>
      <c r="B1598" t="inlineStr">
        <is>
          <t>DL65 .R6</t>
        </is>
      </c>
      <c r="C1598" t="inlineStr">
        <is>
          <t>0                      DL 0065000R  6</t>
        </is>
      </c>
      <c r="D1598" t="inlineStr">
        <is>
          <t>The hammer and the cross / Michael Scott Rohan &amp; Allan J. Scott ; [foreword by Magnus Magnusson].</t>
        </is>
      </c>
      <c r="F1598" t="inlineStr">
        <is>
          <t>No</t>
        </is>
      </c>
      <c r="G1598" t="inlineStr">
        <is>
          <t>1</t>
        </is>
      </c>
      <c r="H1598" t="inlineStr">
        <is>
          <t>No</t>
        </is>
      </c>
      <c r="I1598" t="inlineStr">
        <is>
          <t>No</t>
        </is>
      </c>
      <c r="J1598" t="inlineStr">
        <is>
          <t>0</t>
        </is>
      </c>
      <c r="K1598" t="inlineStr">
        <is>
          <t>Rohan, Michael Scott.</t>
        </is>
      </c>
      <c r="L1598" t="inlineStr">
        <is>
          <t>Oxford, Eng. : Alder Publishing, c1980.</t>
        </is>
      </c>
      <c r="M1598" t="inlineStr">
        <is>
          <t>1980</t>
        </is>
      </c>
      <c r="O1598" t="inlineStr">
        <is>
          <t>eng</t>
        </is>
      </c>
      <c r="P1598" t="inlineStr">
        <is>
          <t>enk</t>
        </is>
      </c>
      <c r="R1598" t="inlineStr">
        <is>
          <t xml:space="preserve">DL </t>
        </is>
      </c>
      <c r="S1598" t="n">
        <v>4</v>
      </c>
      <c r="T1598" t="n">
        <v>4</v>
      </c>
      <c r="U1598" t="inlineStr">
        <is>
          <t>2010-04-10</t>
        </is>
      </c>
      <c r="V1598" t="inlineStr">
        <is>
          <t>2010-04-10</t>
        </is>
      </c>
      <c r="W1598" t="inlineStr">
        <is>
          <t>1991-09-12</t>
        </is>
      </c>
      <c r="X1598" t="inlineStr">
        <is>
          <t>1991-09-12</t>
        </is>
      </c>
      <c r="Y1598" t="n">
        <v>85</v>
      </c>
      <c r="Z1598" t="n">
        <v>63</v>
      </c>
      <c r="AA1598" t="n">
        <v>63</v>
      </c>
      <c r="AB1598" t="n">
        <v>1</v>
      </c>
      <c r="AC1598" t="n">
        <v>1</v>
      </c>
      <c r="AD1598" t="n">
        <v>3</v>
      </c>
      <c r="AE1598" t="n">
        <v>3</v>
      </c>
      <c r="AF1598" t="n">
        <v>0</v>
      </c>
      <c r="AG1598" t="n">
        <v>0</v>
      </c>
      <c r="AH1598" t="n">
        <v>1</v>
      </c>
      <c r="AI1598" t="n">
        <v>1</v>
      </c>
      <c r="AJ1598" t="n">
        <v>3</v>
      </c>
      <c r="AK1598" t="n">
        <v>3</v>
      </c>
      <c r="AL1598" t="n">
        <v>0</v>
      </c>
      <c r="AM1598" t="n">
        <v>0</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HYPERLINK("https://creighton-primo.hosted.exlibrisgroup.com/primo-explore/search?tab=default_tab&amp;search_scope=EVERYTHING&amp;vid=01CRU&amp;lang=en_US&amp;offset=0&amp;query=any,contains,991000091719702656","Catalog Record")</f>
        <v/>
      </c>
      <c r="AT1598">
        <f>HYPERLINK("http://www.worldcat.org/oclc/8906489","WorldCat Record")</f>
        <v/>
      </c>
      <c r="AU1598" t="inlineStr">
        <is>
          <t>510080078:eng</t>
        </is>
      </c>
      <c r="AV1598" t="inlineStr">
        <is>
          <t>8906489</t>
        </is>
      </c>
      <c r="AW1598" t="inlineStr">
        <is>
          <t>991000091719702656</t>
        </is>
      </c>
      <c r="AX1598" t="inlineStr">
        <is>
          <t>991000091719702656</t>
        </is>
      </c>
      <c r="AY1598" t="inlineStr">
        <is>
          <t>2265886630002656</t>
        </is>
      </c>
      <c r="AZ1598" t="inlineStr">
        <is>
          <t>BOOK</t>
        </is>
      </c>
      <c r="BB1598" t="inlineStr">
        <is>
          <t>9780907162209</t>
        </is>
      </c>
      <c r="BC1598" t="inlineStr">
        <is>
          <t>32285000651546</t>
        </is>
      </c>
      <c r="BD1598" t="inlineStr">
        <is>
          <t>893802493</t>
        </is>
      </c>
    </row>
    <row r="1599">
      <c r="A1599" t="inlineStr">
        <is>
          <t>No</t>
        </is>
      </c>
      <c r="B1599" t="inlineStr">
        <is>
          <t>DL65 .S25 1962</t>
        </is>
      </c>
      <c r="C1599" t="inlineStr">
        <is>
          <t>0                      DL 0065000S  25          1962</t>
        </is>
      </c>
      <c r="D1599" t="inlineStr">
        <is>
          <t>The age of the Vikings.</t>
        </is>
      </c>
      <c r="F1599" t="inlineStr">
        <is>
          <t>No</t>
        </is>
      </c>
      <c r="G1599" t="inlineStr">
        <is>
          <t>1</t>
        </is>
      </c>
      <c r="H1599" t="inlineStr">
        <is>
          <t>No</t>
        </is>
      </c>
      <c r="I1599" t="inlineStr">
        <is>
          <t>No</t>
        </is>
      </c>
      <c r="J1599" t="inlineStr">
        <is>
          <t>0</t>
        </is>
      </c>
      <c r="K1599" t="inlineStr">
        <is>
          <t>Sawyer, P. H.</t>
        </is>
      </c>
      <c r="L1599" t="inlineStr">
        <is>
          <t>London E. Arnold [1962]</t>
        </is>
      </c>
      <c r="M1599" t="inlineStr">
        <is>
          <t>1962</t>
        </is>
      </c>
      <c r="O1599" t="inlineStr">
        <is>
          <t>eng</t>
        </is>
      </c>
      <c r="P1599" t="inlineStr">
        <is>
          <t>enk</t>
        </is>
      </c>
      <c r="R1599" t="inlineStr">
        <is>
          <t xml:space="preserve">DL </t>
        </is>
      </c>
      <c r="S1599" t="n">
        <v>3</v>
      </c>
      <c r="T1599" t="n">
        <v>3</v>
      </c>
      <c r="U1599" t="inlineStr">
        <is>
          <t>2002-11-20</t>
        </is>
      </c>
      <c r="V1599" t="inlineStr">
        <is>
          <t>2002-11-20</t>
        </is>
      </c>
      <c r="W1599" t="inlineStr">
        <is>
          <t>1992-04-01</t>
        </is>
      </c>
      <c r="X1599" t="inlineStr">
        <is>
          <t>1992-04-01</t>
        </is>
      </c>
      <c r="Y1599" t="n">
        <v>403</v>
      </c>
      <c r="Z1599" t="n">
        <v>277</v>
      </c>
      <c r="AA1599" t="n">
        <v>784</v>
      </c>
      <c r="AB1599" t="n">
        <v>1</v>
      </c>
      <c r="AC1599" t="n">
        <v>7</v>
      </c>
      <c r="AD1599" t="n">
        <v>12</v>
      </c>
      <c r="AE1599" t="n">
        <v>35</v>
      </c>
      <c r="AF1599" t="n">
        <v>3</v>
      </c>
      <c r="AG1599" t="n">
        <v>11</v>
      </c>
      <c r="AH1599" t="n">
        <v>5</v>
      </c>
      <c r="AI1599" t="n">
        <v>9</v>
      </c>
      <c r="AJ1599" t="n">
        <v>8</v>
      </c>
      <c r="AK1599" t="n">
        <v>17</v>
      </c>
      <c r="AL1599" t="n">
        <v>0</v>
      </c>
      <c r="AM1599" t="n">
        <v>6</v>
      </c>
      <c r="AN1599" t="n">
        <v>0</v>
      </c>
      <c r="AO1599" t="n">
        <v>0</v>
      </c>
      <c r="AP1599" t="inlineStr">
        <is>
          <t>No</t>
        </is>
      </c>
      <c r="AQ1599" t="inlineStr">
        <is>
          <t>Yes</t>
        </is>
      </c>
      <c r="AR1599">
        <f>HYPERLINK("http://catalog.hathitrust.org/Record/001235717","HathiTrust Record")</f>
        <v/>
      </c>
      <c r="AS1599">
        <f>HYPERLINK("https://creighton-primo.hosted.exlibrisgroup.com/primo-explore/search?tab=default_tab&amp;search_scope=EVERYTHING&amp;vid=01CRU&amp;lang=en_US&amp;offset=0&amp;query=any,contains,991002671829702656","Catalog Record")</f>
        <v/>
      </c>
      <c r="AT1599">
        <f>HYPERLINK("http://www.worldcat.org/oclc/395566","WorldCat Record")</f>
        <v/>
      </c>
      <c r="AU1599" t="inlineStr">
        <is>
          <t>441495:eng</t>
        </is>
      </c>
      <c r="AV1599" t="inlineStr">
        <is>
          <t>395566</t>
        </is>
      </c>
      <c r="AW1599" t="inlineStr">
        <is>
          <t>991002671829702656</t>
        </is>
      </c>
      <c r="AX1599" t="inlineStr">
        <is>
          <t>991002671829702656</t>
        </is>
      </c>
      <c r="AY1599" t="inlineStr">
        <is>
          <t>2260665530002656</t>
        </is>
      </c>
      <c r="AZ1599" t="inlineStr">
        <is>
          <t>BOOK</t>
        </is>
      </c>
      <c r="BC1599" t="inlineStr">
        <is>
          <t>32285001050847</t>
        </is>
      </c>
      <c r="BD1599" t="inlineStr">
        <is>
          <t>893899053</t>
        </is>
      </c>
    </row>
    <row r="1600">
      <c r="A1600" t="inlineStr">
        <is>
          <t>No</t>
        </is>
      </c>
      <c r="B1600" t="inlineStr">
        <is>
          <t>DL706 .A34 1999</t>
        </is>
      </c>
      <c r="C1600" t="inlineStr">
        <is>
          <t>0                      DL 0706000A  34          1999</t>
        </is>
      </c>
      <c r="D1600" t="inlineStr">
        <is>
          <t>Gustavus Adolphus the great / Nils Ahnlund ; translated from the Swedish by Michael Roberts ; foreword by Dennis E. Showalter.</t>
        </is>
      </c>
      <c r="F1600" t="inlineStr">
        <is>
          <t>No</t>
        </is>
      </c>
      <c r="G1600" t="inlineStr">
        <is>
          <t>1</t>
        </is>
      </c>
      <c r="H1600" t="inlineStr">
        <is>
          <t>No</t>
        </is>
      </c>
      <c r="I1600" t="inlineStr">
        <is>
          <t>No</t>
        </is>
      </c>
      <c r="J1600" t="inlineStr">
        <is>
          <t>0</t>
        </is>
      </c>
      <c r="K1600" t="inlineStr">
        <is>
          <t>Ahnlund, Nils, 1889-1957.</t>
        </is>
      </c>
      <c r="L1600" t="inlineStr">
        <is>
          <t>New York : History Book Club, 1999.</t>
        </is>
      </c>
      <c r="M1600" t="inlineStr">
        <is>
          <t>1999</t>
        </is>
      </c>
      <c r="O1600" t="inlineStr">
        <is>
          <t>eng</t>
        </is>
      </c>
      <c r="P1600" t="inlineStr">
        <is>
          <t>nyu</t>
        </is>
      </c>
      <c r="R1600" t="inlineStr">
        <is>
          <t xml:space="preserve">DL </t>
        </is>
      </c>
      <c r="S1600" t="n">
        <v>3</v>
      </c>
      <c r="T1600" t="n">
        <v>3</v>
      </c>
      <c r="U1600" t="inlineStr">
        <is>
          <t>2008-11-21</t>
        </is>
      </c>
      <c r="V1600" t="inlineStr">
        <is>
          <t>2008-11-21</t>
        </is>
      </c>
      <c r="W1600" t="inlineStr">
        <is>
          <t>2008-05-19</t>
        </is>
      </c>
      <c r="X1600" t="inlineStr">
        <is>
          <t>2008-05-19</t>
        </is>
      </c>
      <c r="Y1600" t="n">
        <v>144</v>
      </c>
      <c r="Z1600" t="n">
        <v>140</v>
      </c>
      <c r="AA1600" t="n">
        <v>493</v>
      </c>
      <c r="AB1600" t="n">
        <v>5</v>
      </c>
      <c r="AC1600" t="n">
        <v>7</v>
      </c>
      <c r="AD1600" t="n">
        <v>6</v>
      </c>
      <c r="AE1600" t="n">
        <v>21</v>
      </c>
      <c r="AF1600" t="n">
        <v>1</v>
      </c>
      <c r="AG1600" t="n">
        <v>7</v>
      </c>
      <c r="AH1600" t="n">
        <v>1</v>
      </c>
      <c r="AI1600" t="n">
        <v>3</v>
      </c>
      <c r="AJ1600" t="n">
        <v>2</v>
      </c>
      <c r="AK1600" t="n">
        <v>9</v>
      </c>
      <c r="AL1600" t="n">
        <v>3</v>
      </c>
      <c r="AM1600" t="n">
        <v>5</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HYPERLINK("https://creighton-primo.hosted.exlibrisgroup.com/primo-explore/search?tab=default_tab&amp;search_scope=EVERYTHING&amp;vid=01CRU&amp;lang=en_US&amp;offset=0&amp;query=any,contains,991005223279702656","Catalog Record")</f>
        <v/>
      </c>
      <c r="AT1600">
        <f>HYPERLINK("http://www.worldcat.org/oclc/41034655","WorldCat Record")</f>
        <v/>
      </c>
      <c r="AU1600" t="inlineStr">
        <is>
          <t>4581765:eng</t>
        </is>
      </c>
      <c r="AV1600" t="inlineStr">
        <is>
          <t>41034655</t>
        </is>
      </c>
      <c r="AW1600" t="inlineStr">
        <is>
          <t>991005223279702656</t>
        </is>
      </c>
      <c r="AX1600" t="inlineStr">
        <is>
          <t>991005223279702656</t>
        </is>
      </c>
      <c r="AY1600" t="inlineStr">
        <is>
          <t>2257198510002656</t>
        </is>
      </c>
      <c r="AZ1600" t="inlineStr">
        <is>
          <t>BOOK</t>
        </is>
      </c>
      <c r="BB1600" t="inlineStr">
        <is>
          <t>9780965068079</t>
        </is>
      </c>
      <c r="BC1600" t="inlineStr">
        <is>
          <t>32285005409650</t>
        </is>
      </c>
      <c r="BD1600" t="inlineStr">
        <is>
          <t>893527130</t>
        </is>
      </c>
    </row>
    <row r="1601">
      <c r="A1601" t="inlineStr">
        <is>
          <t>No</t>
        </is>
      </c>
      <c r="B1601" t="inlineStr">
        <is>
          <t>DL715 .D8</t>
        </is>
      </c>
      <c r="C1601" t="inlineStr">
        <is>
          <t>0                      DL 0715000D  8</t>
        </is>
      </c>
      <c r="D1601" t="inlineStr">
        <is>
          <t>The military life of Gustavus Adolphus : father of modern war.</t>
        </is>
      </c>
      <c r="F1601" t="inlineStr">
        <is>
          <t>No</t>
        </is>
      </c>
      <c r="G1601" t="inlineStr">
        <is>
          <t>1</t>
        </is>
      </c>
      <c r="H1601" t="inlineStr">
        <is>
          <t>No</t>
        </is>
      </c>
      <c r="I1601" t="inlineStr">
        <is>
          <t>No</t>
        </is>
      </c>
      <c r="J1601" t="inlineStr">
        <is>
          <t>0</t>
        </is>
      </c>
      <c r="K1601" t="inlineStr">
        <is>
          <t>Dupuy, Trevor N. (Trevor Nevitt), 1916-1995.</t>
        </is>
      </c>
      <c r="L1601" t="inlineStr">
        <is>
          <t>New York : F. Watts [c1969]</t>
        </is>
      </c>
      <c r="M1601" t="inlineStr">
        <is>
          <t>1969</t>
        </is>
      </c>
      <c r="O1601" t="inlineStr">
        <is>
          <t>eng</t>
        </is>
      </c>
      <c r="P1601" t="inlineStr">
        <is>
          <t>nyu</t>
        </is>
      </c>
      <c r="R1601" t="inlineStr">
        <is>
          <t xml:space="preserve">DL </t>
        </is>
      </c>
      <c r="S1601" t="n">
        <v>4</v>
      </c>
      <c r="T1601" t="n">
        <v>4</v>
      </c>
      <c r="U1601" t="inlineStr">
        <is>
          <t>2010-08-30</t>
        </is>
      </c>
      <c r="V1601" t="inlineStr">
        <is>
          <t>2010-08-30</t>
        </is>
      </c>
      <c r="W1601" t="inlineStr">
        <is>
          <t>1992-04-16</t>
        </is>
      </c>
      <c r="X1601" t="inlineStr">
        <is>
          <t>1992-04-16</t>
        </is>
      </c>
      <c r="Y1601" t="n">
        <v>341</v>
      </c>
      <c r="Z1601" t="n">
        <v>310</v>
      </c>
      <c r="AA1601" t="n">
        <v>311</v>
      </c>
      <c r="AB1601" t="n">
        <v>1</v>
      </c>
      <c r="AC1601" t="n">
        <v>1</v>
      </c>
      <c r="AD1601" t="n">
        <v>4</v>
      </c>
      <c r="AE1601" t="n">
        <v>4</v>
      </c>
      <c r="AF1601" t="n">
        <v>2</v>
      </c>
      <c r="AG1601" t="n">
        <v>2</v>
      </c>
      <c r="AH1601" t="n">
        <v>1</v>
      </c>
      <c r="AI1601" t="n">
        <v>1</v>
      </c>
      <c r="AJ1601" t="n">
        <v>1</v>
      </c>
      <c r="AK1601" t="n">
        <v>1</v>
      </c>
      <c r="AL1601" t="n">
        <v>0</v>
      </c>
      <c r="AM1601" t="n">
        <v>0</v>
      </c>
      <c r="AN1601" t="n">
        <v>0</v>
      </c>
      <c r="AO1601" t="n">
        <v>0</v>
      </c>
      <c r="AP1601" t="inlineStr">
        <is>
          <t>No</t>
        </is>
      </c>
      <c r="AQ1601" t="inlineStr">
        <is>
          <t>No</t>
        </is>
      </c>
      <c r="AS1601">
        <f>HYPERLINK("https://creighton-primo.hosted.exlibrisgroup.com/primo-explore/search?tab=default_tab&amp;search_scope=EVERYTHING&amp;vid=01CRU&amp;lang=en_US&amp;offset=0&amp;query=any,contains,991000188329702656","Catalog Record")</f>
        <v/>
      </c>
      <c r="AT1601">
        <f>HYPERLINK("http://www.worldcat.org/oclc/63145","WorldCat Record")</f>
        <v/>
      </c>
      <c r="AU1601" t="inlineStr">
        <is>
          <t>118834037:eng</t>
        </is>
      </c>
      <c r="AV1601" t="inlineStr">
        <is>
          <t>63145</t>
        </is>
      </c>
      <c r="AW1601" t="inlineStr">
        <is>
          <t>991000188329702656</t>
        </is>
      </c>
      <c r="AX1601" t="inlineStr">
        <is>
          <t>991000188329702656</t>
        </is>
      </c>
      <c r="AY1601" t="inlineStr">
        <is>
          <t>2255956730002656</t>
        </is>
      </c>
      <c r="AZ1601" t="inlineStr">
        <is>
          <t>BOOK</t>
        </is>
      </c>
      <c r="BB1601" t="inlineStr">
        <is>
          <t>9780531018781</t>
        </is>
      </c>
      <c r="BC1601" t="inlineStr">
        <is>
          <t>32285001053650</t>
        </is>
      </c>
      <c r="BD1601" t="inlineStr">
        <is>
          <t>893720603</t>
        </is>
      </c>
    </row>
    <row r="1602">
      <c r="A1602" t="inlineStr">
        <is>
          <t>No</t>
        </is>
      </c>
      <c r="B1602" t="inlineStr">
        <is>
          <t>DL727 .U67 1998</t>
        </is>
      </c>
      <c r="C1602" t="inlineStr">
        <is>
          <t>0                      DL 0727000U  67          1998</t>
        </is>
      </c>
      <c r="D1602" t="inlineStr">
        <is>
          <t>Charles XI and Swedish absolutism / A.F. Upton.</t>
        </is>
      </c>
      <c r="F1602" t="inlineStr">
        <is>
          <t>No</t>
        </is>
      </c>
      <c r="G1602" t="inlineStr">
        <is>
          <t>1</t>
        </is>
      </c>
      <c r="H1602" t="inlineStr">
        <is>
          <t>No</t>
        </is>
      </c>
      <c r="I1602" t="inlineStr">
        <is>
          <t>No</t>
        </is>
      </c>
      <c r="J1602" t="inlineStr">
        <is>
          <t>0</t>
        </is>
      </c>
      <c r="K1602" t="inlineStr">
        <is>
          <t>Upton, Anthony F.</t>
        </is>
      </c>
      <c r="L1602" t="inlineStr">
        <is>
          <t>Cambridge ; New York, NY, USA : Cambridge University Press, 1998.</t>
        </is>
      </c>
      <c r="M1602" t="inlineStr">
        <is>
          <t>1998</t>
        </is>
      </c>
      <c r="O1602" t="inlineStr">
        <is>
          <t>eng</t>
        </is>
      </c>
      <c r="P1602" t="inlineStr">
        <is>
          <t>enk</t>
        </is>
      </c>
      <c r="Q1602" t="inlineStr">
        <is>
          <t>Cambridge studies in early modern history</t>
        </is>
      </c>
      <c r="R1602" t="inlineStr">
        <is>
          <t xml:space="preserve">DL </t>
        </is>
      </c>
      <c r="S1602" t="n">
        <v>2</v>
      </c>
      <c r="T1602" t="n">
        <v>2</v>
      </c>
      <c r="U1602" t="inlineStr">
        <is>
          <t>1999-11-29</t>
        </is>
      </c>
      <c r="V1602" t="inlineStr">
        <is>
          <t>1999-11-29</t>
        </is>
      </c>
      <c r="W1602" t="inlineStr">
        <is>
          <t>1999-10-18</t>
        </is>
      </c>
      <c r="X1602" t="inlineStr">
        <is>
          <t>1999-10-18</t>
        </is>
      </c>
      <c r="Y1602" t="n">
        <v>322</v>
      </c>
      <c r="Z1602" t="n">
        <v>242</v>
      </c>
      <c r="AA1602" t="n">
        <v>247</v>
      </c>
      <c r="AB1602" t="n">
        <v>4</v>
      </c>
      <c r="AC1602" t="n">
        <v>4</v>
      </c>
      <c r="AD1602" t="n">
        <v>17</v>
      </c>
      <c r="AE1602" t="n">
        <v>17</v>
      </c>
      <c r="AF1602" t="n">
        <v>4</v>
      </c>
      <c r="AG1602" t="n">
        <v>4</v>
      </c>
      <c r="AH1602" t="n">
        <v>6</v>
      </c>
      <c r="AI1602" t="n">
        <v>6</v>
      </c>
      <c r="AJ1602" t="n">
        <v>9</v>
      </c>
      <c r="AK1602" t="n">
        <v>9</v>
      </c>
      <c r="AL1602" t="n">
        <v>3</v>
      </c>
      <c r="AM1602" t="n">
        <v>3</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HYPERLINK("https://creighton-primo.hosted.exlibrisgroup.com/primo-explore/search?tab=default_tab&amp;search_scope=EVERYTHING&amp;vid=01CRU&amp;lang=en_US&amp;offset=0&amp;query=any,contains,991002820739702656","Catalog Record")</f>
        <v/>
      </c>
      <c r="AT1602">
        <f>HYPERLINK("http://www.worldcat.org/oclc/37109234","WorldCat Record")</f>
        <v/>
      </c>
      <c r="AU1602" t="inlineStr">
        <is>
          <t>556801:eng</t>
        </is>
      </c>
      <c r="AV1602" t="inlineStr">
        <is>
          <t>37109234</t>
        </is>
      </c>
      <c r="AW1602" t="inlineStr">
        <is>
          <t>991002820739702656</t>
        </is>
      </c>
      <c r="AX1602" t="inlineStr">
        <is>
          <t>991002820739702656</t>
        </is>
      </c>
      <c r="AY1602" t="inlineStr">
        <is>
          <t>2265255780002656</t>
        </is>
      </c>
      <c r="AZ1602" t="inlineStr">
        <is>
          <t>BOOK</t>
        </is>
      </c>
      <c r="BB1602" t="inlineStr">
        <is>
          <t>9780521573900</t>
        </is>
      </c>
      <c r="BC1602" t="inlineStr">
        <is>
          <t>32285003611208</t>
        </is>
      </c>
      <c r="BD1602" t="inlineStr">
        <is>
          <t>893597917</t>
        </is>
      </c>
    </row>
    <row r="1603">
      <c r="A1603" t="inlineStr">
        <is>
          <t>No</t>
        </is>
      </c>
      <c r="B1603" t="inlineStr">
        <is>
          <t>DP102 .W7 1986</t>
        </is>
      </c>
      <c r="C1603" t="inlineStr">
        <is>
          <t>0                      DP 0102000W  7           1986</t>
        </is>
      </c>
      <c r="D1603" t="inlineStr">
        <is>
          <t>Arabic Spain : sidelights on her history and art / by Bernhard and Ellen M. Whishaw.</t>
        </is>
      </c>
      <c r="F1603" t="inlineStr">
        <is>
          <t>No</t>
        </is>
      </c>
      <c r="G1603" t="inlineStr">
        <is>
          <t>1</t>
        </is>
      </c>
      <c r="H1603" t="inlineStr">
        <is>
          <t>No</t>
        </is>
      </c>
      <c r="I1603" t="inlineStr">
        <is>
          <t>No</t>
        </is>
      </c>
      <c r="J1603" t="inlineStr">
        <is>
          <t>0</t>
        </is>
      </c>
      <c r="K1603" t="inlineStr">
        <is>
          <t>Whishaw, Bernhard, 1857-1914.</t>
        </is>
      </c>
      <c r="L1603" t="inlineStr">
        <is>
          <t>London : Darf, 1986.</t>
        </is>
      </c>
      <c r="M1603" t="inlineStr">
        <is>
          <t>1986</t>
        </is>
      </c>
      <c r="O1603" t="inlineStr">
        <is>
          <t>eng</t>
        </is>
      </c>
      <c r="P1603" t="inlineStr">
        <is>
          <t>enk</t>
        </is>
      </c>
      <c r="R1603" t="inlineStr">
        <is>
          <t xml:space="preserve">DP </t>
        </is>
      </c>
      <c r="S1603" t="n">
        <v>4</v>
      </c>
      <c r="T1603" t="n">
        <v>4</v>
      </c>
      <c r="U1603" t="inlineStr">
        <is>
          <t>2001-10-31</t>
        </is>
      </c>
      <c r="V1603" t="inlineStr">
        <is>
          <t>2001-10-31</t>
        </is>
      </c>
      <c r="W1603" t="inlineStr">
        <is>
          <t>1991-09-17</t>
        </is>
      </c>
      <c r="X1603" t="inlineStr">
        <is>
          <t>1991-09-17</t>
        </is>
      </c>
      <c r="Y1603" t="n">
        <v>41</v>
      </c>
      <c r="Z1603" t="n">
        <v>23</v>
      </c>
      <c r="AA1603" t="n">
        <v>178</v>
      </c>
      <c r="AB1603" t="n">
        <v>1</v>
      </c>
      <c r="AC1603" t="n">
        <v>2</v>
      </c>
      <c r="AD1603" t="n">
        <v>0</v>
      </c>
      <c r="AE1603" t="n">
        <v>6</v>
      </c>
      <c r="AF1603" t="n">
        <v>0</v>
      </c>
      <c r="AG1603" t="n">
        <v>1</v>
      </c>
      <c r="AH1603" t="n">
        <v>0</v>
      </c>
      <c r="AI1603" t="n">
        <v>1</v>
      </c>
      <c r="AJ1603" t="n">
        <v>0</v>
      </c>
      <c r="AK1603" t="n">
        <v>5</v>
      </c>
      <c r="AL1603" t="n">
        <v>0</v>
      </c>
      <c r="AM1603" t="n">
        <v>1</v>
      </c>
      <c r="AN1603" t="n">
        <v>0</v>
      </c>
      <c r="AO1603" t="n">
        <v>0</v>
      </c>
      <c r="AP1603" t="inlineStr">
        <is>
          <t>No</t>
        </is>
      </c>
      <c r="AQ1603" t="inlineStr">
        <is>
          <t>Yes</t>
        </is>
      </c>
      <c r="AR1603">
        <f>HYPERLINK("http://catalog.hathitrust.org/Record/000837781","HathiTrust Record")</f>
        <v/>
      </c>
      <c r="AS1603">
        <f>HYPERLINK("https://creighton-primo.hosted.exlibrisgroup.com/primo-explore/search?tab=default_tab&amp;search_scope=EVERYTHING&amp;vid=01CRU&amp;lang=en_US&amp;offset=0&amp;query=any,contains,991001053609702656","Catalog Record")</f>
        <v/>
      </c>
      <c r="AT1603">
        <f>HYPERLINK("http://www.worldcat.org/oclc/15662850","WorldCat Record")</f>
        <v/>
      </c>
      <c r="AU1603" t="inlineStr">
        <is>
          <t>2118318:eng</t>
        </is>
      </c>
      <c r="AV1603" t="inlineStr">
        <is>
          <t>15662850</t>
        </is>
      </c>
      <c r="AW1603" t="inlineStr">
        <is>
          <t>991001053609702656</t>
        </is>
      </c>
      <c r="AX1603" t="inlineStr">
        <is>
          <t>991001053609702656</t>
        </is>
      </c>
      <c r="AY1603" t="inlineStr">
        <is>
          <t>2263307450002656</t>
        </is>
      </c>
      <c r="AZ1603" t="inlineStr">
        <is>
          <t>BOOK</t>
        </is>
      </c>
      <c r="BB1603" t="inlineStr">
        <is>
          <t>9781850771012</t>
        </is>
      </c>
      <c r="BC1603" t="inlineStr">
        <is>
          <t>32285000652171</t>
        </is>
      </c>
      <c r="BD1603" t="inlineStr">
        <is>
          <t>893608515</t>
        </is>
      </c>
    </row>
    <row r="1604">
      <c r="A1604" t="inlineStr">
        <is>
          <t>No</t>
        </is>
      </c>
      <c r="B1604" t="inlineStr">
        <is>
          <t>DP103 .B8713</t>
        </is>
      </c>
      <c r="C1604" t="inlineStr">
        <is>
          <t>0                      DP 0103000B  8713</t>
        </is>
      </c>
      <c r="D1604" t="inlineStr">
        <is>
          <t>Moorish culture in Spain / translated [from the German] by Alisa Jaffa.</t>
        </is>
      </c>
      <c r="F1604" t="inlineStr">
        <is>
          <t>No</t>
        </is>
      </c>
      <c r="G1604" t="inlineStr">
        <is>
          <t>1</t>
        </is>
      </c>
      <c r="H1604" t="inlineStr">
        <is>
          <t>No</t>
        </is>
      </c>
      <c r="I1604" t="inlineStr">
        <is>
          <t>No</t>
        </is>
      </c>
      <c r="J1604" t="inlineStr">
        <is>
          <t>0</t>
        </is>
      </c>
      <c r="K1604" t="inlineStr">
        <is>
          <t>Burckhardt, Titus.</t>
        </is>
      </c>
      <c r="L1604" t="inlineStr">
        <is>
          <t>London : Allen and Unwin, 1972.</t>
        </is>
      </c>
      <c r="M1604" t="inlineStr">
        <is>
          <t>1972</t>
        </is>
      </c>
      <c r="O1604" t="inlineStr">
        <is>
          <t>eng</t>
        </is>
      </c>
      <c r="P1604" t="inlineStr">
        <is>
          <t>enk</t>
        </is>
      </c>
      <c r="R1604" t="inlineStr">
        <is>
          <t xml:space="preserve">DP </t>
        </is>
      </c>
      <c r="S1604" t="n">
        <v>3</v>
      </c>
      <c r="T1604" t="n">
        <v>3</v>
      </c>
      <c r="U1604" t="inlineStr">
        <is>
          <t>2001-10-31</t>
        </is>
      </c>
      <c r="V1604" t="inlineStr">
        <is>
          <t>2001-10-31</t>
        </is>
      </c>
      <c r="W1604" t="inlineStr">
        <is>
          <t>1991-10-04</t>
        </is>
      </c>
      <c r="X1604" t="inlineStr">
        <is>
          <t>1991-10-04</t>
        </is>
      </c>
      <c r="Y1604" t="n">
        <v>157</v>
      </c>
      <c r="Z1604" t="n">
        <v>51</v>
      </c>
      <c r="AA1604" t="n">
        <v>563</v>
      </c>
      <c r="AB1604" t="n">
        <v>1</v>
      </c>
      <c r="AC1604" t="n">
        <v>3</v>
      </c>
      <c r="AD1604" t="n">
        <v>1</v>
      </c>
      <c r="AE1604" t="n">
        <v>18</v>
      </c>
      <c r="AF1604" t="n">
        <v>0</v>
      </c>
      <c r="AG1604" t="n">
        <v>4</v>
      </c>
      <c r="AH1604" t="n">
        <v>1</v>
      </c>
      <c r="AI1604" t="n">
        <v>6</v>
      </c>
      <c r="AJ1604" t="n">
        <v>1</v>
      </c>
      <c r="AK1604" t="n">
        <v>10</v>
      </c>
      <c r="AL1604" t="n">
        <v>0</v>
      </c>
      <c r="AM1604" t="n">
        <v>2</v>
      </c>
      <c r="AN1604" t="n">
        <v>0</v>
      </c>
      <c r="AO1604" t="n">
        <v>0</v>
      </c>
      <c r="AP1604" t="inlineStr">
        <is>
          <t>No</t>
        </is>
      </c>
      <c r="AQ1604" t="inlineStr">
        <is>
          <t>No</t>
        </is>
      </c>
      <c r="AS1604">
        <f>HYPERLINK("https://creighton-primo.hosted.exlibrisgroup.com/primo-explore/search?tab=default_tab&amp;search_scope=EVERYTHING&amp;vid=01CRU&amp;lang=en_US&amp;offset=0&amp;query=any,contains,991003660959702656","Catalog Record")</f>
        <v/>
      </c>
      <c r="AT1604">
        <f>HYPERLINK("http://www.worldcat.org/oclc/1269294","WorldCat Record")</f>
        <v/>
      </c>
      <c r="AU1604" t="inlineStr">
        <is>
          <t>349182131:eng</t>
        </is>
      </c>
      <c r="AV1604" t="inlineStr">
        <is>
          <t>1269294</t>
        </is>
      </c>
      <c r="AW1604" t="inlineStr">
        <is>
          <t>991003660959702656</t>
        </is>
      </c>
      <c r="AX1604" t="inlineStr">
        <is>
          <t>991003660959702656</t>
        </is>
      </c>
      <c r="AY1604" t="inlineStr">
        <is>
          <t>2259872760002656</t>
        </is>
      </c>
      <c r="AZ1604" t="inlineStr">
        <is>
          <t>BOOK</t>
        </is>
      </c>
      <c r="BB1604" t="inlineStr">
        <is>
          <t>9780049460089</t>
        </is>
      </c>
      <c r="BC1604" t="inlineStr">
        <is>
          <t>32285000759810</t>
        </is>
      </c>
      <c r="BD1604" t="inlineStr">
        <is>
          <t>893531445</t>
        </is>
      </c>
    </row>
    <row r="1605">
      <c r="A1605" t="inlineStr">
        <is>
          <t>No</t>
        </is>
      </c>
      <c r="B1605" t="inlineStr">
        <is>
          <t>DP103 .B8714 1977</t>
        </is>
      </c>
      <c r="C1605" t="inlineStr">
        <is>
          <t>0                      DP 0103000B  8714        1977</t>
        </is>
      </c>
      <c r="D1605" t="inlineStr">
        <is>
          <t>La civilización hispano-árabe / Titus Burckhardt ; versión española de Rosa Kuhne Brabant.</t>
        </is>
      </c>
      <c r="F1605" t="inlineStr">
        <is>
          <t>No</t>
        </is>
      </c>
      <c r="G1605" t="inlineStr">
        <is>
          <t>1</t>
        </is>
      </c>
      <c r="H1605" t="inlineStr">
        <is>
          <t>No</t>
        </is>
      </c>
      <c r="I1605" t="inlineStr">
        <is>
          <t>No</t>
        </is>
      </c>
      <c r="J1605" t="inlineStr">
        <is>
          <t>0</t>
        </is>
      </c>
      <c r="K1605" t="inlineStr">
        <is>
          <t>Burckhardt, Titus.</t>
        </is>
      </c>
      <c r="L1605" t="inlineStr">
        <is>
          <t>Madrid : Alianza Editorial, 1977.</t>
        </is>
      </c>
      <c r="M1605" t="inlineStr">
        <is>
          <t>1977</t>
        </is>
      </c>
      <c r="O1605" t="inlineStr">
        <is>
          <t>spa</t>
        </is>
      </c>
      <c r="P1605" t="inlineStr">
        <is>
          <t xml:space="preserve">sp </t>
        </is>
      </c>
      <c r="R1605" t="inlineStr">
        <is>
          <t xml:space="preserve">DP </t>
        </is>
      </c>
      <c r="S1605" t="n">
        <v>5</v>
      </c>
      <c r="T1605" t="n">
        <v>5</v>
      </c>
      <c r="U1605" t="inlineStr">
        <is>
          <t>1996-06-18</t>
        </is>
      </c>
      <c r="V1605" t="inlineStr">
        <is>
          <t>1996-06-18</t>
        </is>
      </c>
      <c r="W1605" t="inlineStr">
        <is>
          <t>1991-09-17</t>
        </is>
      </c>
      <c r="X1605" t="inlineStr">
        <is>
          <t>1991-09-17</t>
        </is>
      </c>
      <c r="Y1605" t="n">
        <v>29</v>
      </c>
      <c r="Z1605" t="n">
        <v>23</v>
      </c>
      <c r="AA1605" t="n">
        <v>30</v>
      </c>
      <c r="AB1605" t="n">
        <v>1</v>
      </c>
      <c r="AC1605" t="n">
        <v>1</v>
      </c>
      <c r="AD1605" t="n">
        <v>1</v>
      </c>
      <c r="AE1605" t="n">
        <v>3</v>
      </c>
      <c r="AF1605" t="n">
        <v>0</v>
      </c>
      <c r="AG1605" t="n">
        <v>0</v>
      </c>
      <c r="AH1605" t="n">
        <v>0</v>
      </c>
      <c r="AI1605" t="n">
        <v>1</v>
      </c>
      <c r="AJ1605" t="n">
        <v>1</v>
      </c>
      <c r="AK1605" t="n">
        <v>2</v>
      </c>
      <c r="AL1605" t="n">
        <v>0</v>
      </c>
      <c r="AM1605" t="n">
        <v>0</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HYPERLINK("https://creighton-primo.hosted.exlibrisgroup.com/primo-explore/search?tab=default_tab&amp;search_scope=EVERYTHING&amp;vid=01CRU&amp;lang=en_US&amp;offset=0&amp;query=any,contains,991004548729702656","Catalog Record")</f>
        <v/>
      </c>
      <c r="AT1605">
        <f>HYPERLINK("http://www.worldcat.org/oclc/3925716","WorldCat Record")</f>
        <v/>
      </c>
      <c r="AU1605" t="inlineStr">
        <is>
          <t>349182131:spa</t>
        </is>
      </c>
      <c r="AV1605" t="inlineStr">
        <is>
          <t>3925716</t>
        </is>
      </c>
      <c r="AW1605" t="inlineStr">
        <is>
          <t>991004548729702656</t>
        </is>
      </c>
      <c r="AX1605" t="inlineStr">
        <is>
          <t>991004548729702656</t>
        </is>
      </c>
      <c r="AY1605" t="inlineStr">
        <is>
          <t>2263185510002656</t>
        </is>
      </c>
      <c r="AZ1605" t="inlineStr">
        <is>
          <t>BOOK</t>
        </is>
      </c>
      <c r="BC1605" t="inlineStr">
        <is>
          <t>32285000652197</t>
        </is>
      </c>
      <c r="BD1605" t="inlineStr">
        <is>
          <t>893513378</t>
        </is>
      </c>
    </row>
    <row r="1606">
      <c r="A1606" t="inlineStr">
        <is>
          <t>No</t>
        </is>
      </c>
      <c r="B1606" t="inlineStr">
        <is>
          <t>DP103 .T34 1989</t>
        </is>
      </c>
      <c r="C1606" t="inlineStr">
        <is>
          <t>0                      DP 0103000T  34          1989</t>
        </is>
      </c>
      <c r="D1606" t="inlineStr">
        <is>
          <t>The Muslim conquest and settlement of North Africa and Spain / ʻAbdulwāḥid Dhanūn Ṭāhā.</t>
        </is>
      </c>
      <c r="F1606" t="inlineStr">
        <is>
          <t>No</t>
        </is>
      </c>
      <c r="G1606" t="inlineStr">
        <is>
          <t>1</t>
        </is>
      </c>
      <c r="H1606" t="inlineStr">
        <is>
          <t>No</t>
        </is>
      </c>
      <c r="I1606" t="inlineStr">
        <is>
          <t>No</t>
        </is>
      </c>
      <c r="J1606" t="inlineStr">
        <is>
          <t>0</t>
        </is>
      </c>
      <c r="K1606" t="inlineStr">
        <is>
          <t>Ṭāhā, ʻAbd al-Wāḥid Dhannūn.</t>
        </is>
      </c>
      <c r="L1606" t="inlineStr">
        <is>
          <t>London ; New York : Routledge, c1989.</t>
        </is>
      </c>
      <c r="M1606" t="inlineStr">
        <is>
          <t>1989</t>
        </is>
      </c>
      <c r="O1606" t="inlineStr">
        <is>
          <t>eng</t>
        </is>
      </c>
      <c r="P1606" t="inlineStr">
        <is>
          <t>enk</t>
        </is>
      </c>
      <c r="Q1606" t="inlineStr">
        <is>
          <t>Exeter Arabic and Islamic series</t>
        </is>
      </c>
      <c r="R1606" t="inlineStr">
        <is>
          <t xml:space="preserve">DP </t>
        </is>
      </c>
      <c r="S1606" t="n">
        <v>5</v>
      </c>
      <c r="T1606" t="n">
        <v>5</v>
      </c>
      <c r="U1606" t="inlineStr">
        <is>
          <t>2002-07-13</t>
        </is>
      </c>
      <c r="V1606" t="inlineStr">
        <is>
          <t>2002-07-13</t>
        </is>
      </c>
      <c r="W1606" t="inlineStr">
        <is>
          <t>1991-09-17</t>
        </is>
      </c>
      <c r="X1606" t="inlineStr">
        <is>
          <t>1991-09-17</t>
        </is>
      </c>
      <c r="Y1606" t="n">
        <v>255</v>
      </c>
      <c r="Z1606" t="n">
        <v>168</v>
      </c>
      <c r="AA1606" t="n">
        <v>177</v>
      </c>
      <c r="AB1606" t="n">
        <v>2</v>
      </c>
      <c r="AC1606" t="n">
        <v>2</v>
      </c>
      <c r="AD1606" t="n">
        <v>6</v>
      </c>
      <c r="AE1606" t="n">
        <v>6</v>
      </c>
      <c r="AF1606" t="n">
        <v>1</v>
      </c>
      <c r="AG1606" t="n">
        <v>1</v>
      </c>
      <c r="AH1606" t="n">
        <v>3</v>
      </c>
      <c r="AI1606" t="n">
        <v>3</v>
      </c>
      <c r="AJ1606" t="n">
        <v>3</v>
      </c>
      <c r="AK1606" t="n">
        <v>3</v>
      </c>
      <c r="AL1606" t="n">
        <v>1</v>
      </c>
      <c r="AM1606" t="n">
        <v>1</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HYPERLINK("https://creighton-primo.hosted.exlibrisgroup.com/primo-explore/search?tab=default_tab&amp;search_scope=EVERYTHING&amp;vid=01CRU&amp;lang=en_US&amp;offset=0&amp;query=any,contains,991001170009702656","Catalog Record")</f>
        <v/>
      </c>
      <c r="AT1606">
        <f>HYPERLINK("http://www.worldcat.org/oclc/16950584","WorldCat Record")</f>
        <v/>
      </c>
      <c r="AU1606" t="inlineStr">
        <is>
          <t>9381451134:eng</t>
        </is>
      </c>
      <c r="AV1606" t="inlineStr">
        <is>
          <t>16950584</t>
        </is>
      </c>
      <c r="AW1606" t="inlineStr">
        <is>
          <t>991001170009702656</t>
        </is>
      </c>
      <c r="AX1606" t="inlineStr">
        <is>
          <t>991001170009702656</t>
        </is>
      </c>
      <c r="AY1606" t="inlineStr">
        <is>
          <t>2262902150002656</t>
        </is>
      </c>
      <c r="AZ1606" t="inlineStr">
        <is>
          <t>BOOK</t>
        </is>
      </c>
      <c r="BB1606" t="inlineStr">
        <is>
          <t>9780415004749</t>
        </is>
      </c>
      <c r="BC1606" t="inlineStr">
        <is>
          <t>32285000652213</t>
        </is>
      </c>
      <c r="BD1606" t="inlineStr">
        <is>
          <t>893420130</t>
        </is>
      </c>
    </row>
    <row r="1607">
      <c r="A1607" t="inlineStr">
        <is>
          <t>No</t>
        </is>
      </c>
      <c r="B1607" t="inlineStr">
        <is>
          <t>DP103.5.G65 I5</t>
        </is>
      </c>
      <c r="C1607" t="inlineStr">
        <is>
          <t>0                      DP 0103500G  65                 I  5</t>
        </is>
      </c>
      <c r="D1607" t="inlineStr">
        <is>
          <t>Influencia de la civilización árabe; discursos leídos ante la Academia de la historia en la recepción pública de don Ángel González Palencia el día 31 de mayo de 1931.</t>
        </is>
      </c>
      <c r="F1607" t="inlineStr">
        <is>
          <t>No</t>
        </is>
      </c>
      <c r="G1607" t="inlineStr">
        <is>
          <t>1</t>
        </is>
      </c>
      <c r="H1607" t="inlineStr">
        <is>
          <t>No</t>
        </is>
      </c>
      <c r="I1607" t="inlineStr">
        <is>
          <t>No</t>
        </is>
      </c>
      <c r="J1607" t="inlineStr">
        <is>
          <t>0</t>
        </is>
      </c>
      <c r="K1607" t="inlineStr">
        <is>
          <t>González Palencia, Ángel, 1889-1949.</t>
        </is>
      </c>
      <c r="L1607" t="inlineStr">
        <is>
          <t>Madrid [Tip. de Archivos] 1931.</t>
        </is>
      </c>
      <c r="M1607" t="inlineStr">
        <is>
          <t>1931</t>
        </is>
      </c>
      <c r="O1607" t="inlineStr">
        <is>
          <t>spa</t>
        </is>
      </c>
      <c r="P1607" t="inlineStr">
        <is>
          <t xml:space="preserve">sp </t>
        </is>
      </c>
      <c r="R1607" t="inlineStr">
        <is>
          <t xml:space="preserve">DP </t>
        </is>
      </c>
      <c r="S1607" t="n">
        <v>1</v>
      </c>
      <c r="T1607" t="n">
        <v>1</v>
      </c>
      <c r="U1607" t="inlineStr">
        <is>
          <t>1998-01-20</t>
        </is>
      </c>
      <c r="V1607" t="inlineStr">
        <is>
          <t>1998-01-20</t>
        </is>
      </c>
      <c r="W1607" t="inlineStr">
        <is>
          <t>1997-02-13</t>
        </is>
      </c>
      <c r="X1607" t="inlineStr">
        <is>
          <t>1997-02-13</t>
        </is>
      </c>
      <c r="Y1607" t="n">
        <v>14</v>
      </c>
      <c r="Z1607" t="n">
        <v>13</v>
      </c>
      <c r="AA1607" t="n">
        <v>14</v>
      </c>
      <c r="AB1607" t="n">
        <v>1</v>
      </c>
      <c r="AC1607" t="n">
        <v>1</v>
      </c>
      <c r="AD1607" t="n">
        <v>0</v>
      </c>
      <c r="AE1607" t="n">
        <v>0</v>
      </c>
      <c r="AF1607" t="n">
        <v>0</v>
      </c>
      <c r="AG1607" t="n">
        <v>0</v>
      </c>
      <c r="AH1607" t="n">
        <v>0</v>
      </c>
      <c r="AI1607" t="n">
        <v>0</v>
      </c>
      <c r="AJ1607" t="n">
        <v>0</v>
      </c>
      <c r="AK1607" t="n">
        <v>0</v>
      </c>
      <c r="AL1607" t="n">
        <v>0</v>
      </c>
      <c r="AM1607" t="n">
        <v>0</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HYPERLINK("https://creighton-primo.hosted.exlibrisgroup.com/primo-explore/search?tab=default_tab&amp;search_scope=EVERYTHING&amp;vid=01CRU&amp;lang=en_US&amp;offset=0&amp;query=any,contains,991000801489702656","Catalog Record")</f>
        <v/>
      </c>
      <c r="AT1607">
        <f>HYPERLINK("http://www.worldcat.org/oclc/13245962","WorldCat Record")</f>
        <v/>
      </c>
      <c r="AU1607" t="inlineStr">
        <is>
          <t>4020084645:spa</t>
        </is>
      </c>
      <c r="AV1607" t="inlineStr">
        <is>
          <t>13245962</t>
        </is>
      </c>
      <c r="AW1607" t="inlineStr">
        <is>
          <t>991000801489702656</t>
        </is>
      </c>
      <c r="AX1607" t="inlineStr">
        <is>
          <t>991000801489702656</t>
        </is>
      </c>
      <c r="AY1607" t="inlineStr">
        <is>
          <t>2269744680002656</t>
        </is>
      </c>
      <c r="AZ1607" t="inlineStr">
        <is>
          <t>BOOK</t>
        </is>
      </c>
      <c r="BC1607" t="inlineStr">
        <is>
          <t>32285002437712</t>
        </is>
      </c>
      <c r="BD1607" t="inlineStr">
        <is>
          <t>893522029</t>
        </is>
      </c>
    </row>
    <row r="1608">
      <c r="A1608" t="inlineStr">
        <is>
          <t>No</t>
        </is>
      </c>
      <c r="B1608" t="inlineStr">
        <is>
          <t>DP103.T6 A4</t>
        </is>
      </c>
      <c r="C1608" t="inlineStr">
        <is>
          <t>0                      DP 0103000T  6                  A  4</t>
        </is>
      </c>
      <c r="D1608" t="inlineStr">
        <is>
          <t>Algunos aspectos del mudejarismo urbano medieval. Discurso leído, el día 10 de enero de 1954, en la recepción pública de Don Leopoldo Torres Balbás y contestación por el Excmo. Sr. D. Emilio García Gómez.</t>
        </is>
      </c>
      <c r="F1608" t="inlineStr">
        <is>
          <t>No</t>
        </is>
      </c>
      <c r="G1608" t="inlineStr">
        <is>
          <t>1</t>
        </is>
      </c>
      <c r="H1608" t="inlineStr">
        <is>
          <t>No</t>
        </is>
      </c>
      <c r="I1608" t="inlineStr">
        <is>
          <t>No</t>
        </is>
      </c>
      <c r="J1608" t="inlineStr">
        <is>
          <t>0</t>
        </is>
      </c>
      <c r="K1608" t="inlineStr">
        <is>
          <t>Torres Balbás, Leopoldo.</t>
        </is>
      </c>
      <c r="L1608" t="inlineStr">
        <is>
          <t>Madrid, Maestre, 1954.</t>
        </is>
      </c>
      <c r="M1608" t="inlineStr">
        <is>
          <t>1954</t>
        </is>
      </c>
      <c r="O1608" t="inlineStr">
        <is>
          <t>spa</t>
        </is>
      </c>
      <c r="P1608" t="inlineStr">
        <is>
          <t xml:space="preserve">sp </t>
        </is>
      </c>
      <c r="R1608" t="inlineStr">
        <is>
          <t xml:space="preserve">DP </t>
        </is>
      </c>
      <c r="S1608" t="n">
        <v>0</v>
      </c>
      <c r="T1608" t="n">
        <v>0</v>
      </c>
      <c r="U1608" t="inlineStr">
        <is>
          <t>2009-09-15</t>
        </is>
      </c>
      <c r="V1608" t="inlineStr">
        <is>
          <t>2009-09-15</t>
        </is>
      </c>
      <c r="W1608" t="inlineStr">
        <is>
          <t>1997-02-13</t>
        </is>
      </c>
      <c r="X1608" t="inlineStr">
        <is>
          <t>1997-02-13</t>
        </is>
      </c>
      <c r="Y1608" t="n">
        <v>23</v>
      </c>
      <c r="Z1608" t="n">
        <v>12</v>
      </c>
      <c r="AA1608" t="n">
        <v>16</v>
      </c>
      <c r="AB1608" t="n">
        <v>1</v>
      </c>
      <c r="AC1608" t="n">
        <v>1</v>
      </c>
      <c r="AD1608" t="n">
        <v>0</v>
      </c>
      <c r="AE1608" t="n">
        <v>0</v>
      </c>
      <c r="AF1608" t="n">
        <v>0</v>
      </c>
      <c r="AG1608" t="n">
        <v>0</v>
      </c>
      <c r="AH1608" t="n">
        <v>0</v>
      </c>
      <c r="AI1608" t="n">
        <v>0</v>
      </c>
      <c r="AJ1608" t="n">
        <v>0</v>
      </c>
      <c r="AK1608" t="n">
        <v>0</v>
      </c>
      <c r="AL1608" t="n">
        <v>0</v>
      </c>
      <c r="AM1608" t="n">
        <v>0</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HYPERLINK("https://creighton-primo.hosted.exlibrisgroup.com/primo-explore/search?tab=default_tab&amp;search_scope=EVERYTHING&amp;vid=01CRU&amp;lang=en_US&amp;offset=0&amp;query=any,contains,991000386829702656","Catalog Record")</f>
        <v/>
      </c>
      <c r="AT1608">
        <f>HYPERLINK("http://www.worldcat.org/oclc/10521196","WorldCat Record")</f>
        <v/>
      </c>
      <c r="AU1608" t="inlineStr">
        <is>
          <t>3206858:spa</t>
        </is>
      </c>
      <c r="AV1608" t="inlineStr">
        <is>
          <t>10521196</t>
        </is>
      </c>
      <c r="AW1608" t="inlineStr">
        <is>
          <t>991000386829702656</t>
        </is>
      </c>
      <c r="AX1608" t="inlineStr">
        <is>
          <t>991000386829702656</t>
        </is>
      </c>
      <c r="AY1608" t="inlineStr">
        <is>
          <t>2260268860002656</t>
        </is>
      </c>
      <c r="AZ1608" t="inlineStr">
        <is>
          <t>BOOK</t>
        </is>
      </c>
      <c r="BC1608" t="inlineStr">
        <is>
          <t>32285002437704</t>
        </is>
      </c>
      <c r="BD1608" t="inlineStr">
        <is>
          <t>893689650</t>
        </is>
      </c>
    </row>
    <row r="1609">
      <c r="A1609" t="inlineStr">
        <is>
          <t>No</t>
        </is>
      </c>
      <c r="B1609" t="inlineStr">
        <is>
          <t>DP104 .C29 1976</t>
        </is>
      </c>
      <c r="C1609" t="inlineStr">
        <is>
          <t>0                      DP 0104000C  29          1976</t>
        </is>
      </c>
      <c r="D1609" t="inlineStr">
        <is>
          <t>Ciclos y temas de la historia de España: los moriscos del reino de Granada : ensayo de historia social / Julio Caro Baroja.</t>
        </is>
      </c>
      <c r="F1609" t="inlineStr">
        <is>
          <t>No</t>
        </is>
      </c>
      <c r="G1609" t="inlineStr">
        <is>
          <t>1</t>
        </is>
      </c>
      <c r="H1609" t="inlineStr">
        <is>
          <t>No</t>
        </is>
      </c>
      <c r="I1609" t="inlineStr">
        <is>
          <t>No</t>
        </is>
      </c>
      <c r="J1609" t="inlineStr">
        <is>
          <t>0</t>
        </is>
      </c>
      <c r="K1609" t="inlineStr">
        <is>
          <t>Caro Baroja, Julio.</t>
        </is>
      </c>
      <c r="L1609" t="inlineStr">
        <is>
          <t>Madrid : Ediciones ISTMO, 1976.</t>
        </is>
      </c>
      <c r="M1609" t="inlineStr">
        <is>
          <t>1976</t>
        </is>
      </c>
      <c r="N1609" t="inlineStr">
        <is>
          <t>2. ed.</t>
        </is>
      </c>
      <c r="O1609" t="inlineStr">
        <is>
          <t>spa</t>
        </is>
      </c>
      <c r="P1609" t="inlineStr">
        <is>
          <t xml:space="preserve">sp </t>
        </is>
      </c>
      <c r="Q1609" t="inlineStr">
        <is>
          <t>Colección Fundamentos ; 50</t>
        </is>
      </c>
      <c r="R1609" t="inlineStr">
        <is>
          <t xml:space="preserve">DP </t>
        </is>
      </c>
      <c r="S1609" t="n">
        <v>1</v>
      </c>
      <c r="T1609" t="n">
        <v>1</v>
      </c>
      <c r="U1609" t="inlineStr">
        <is>
          <t>1992-03-27</t>
        </is>
      </c>
      <c r="V1609" t="inlineStr">
        <is>
          <t>1992-03-27</t>
        </is>
      </c>
      <c r="W1609" t="inlineStr">
        <is>
          <t>1991-09-17</t>
        </is>
      </c>
      <c r="X1609" t="inlineStr">
        <is>
          <t>1991-09-17</t>
        </is>
      </c>
      <c r="Y1609" t="n">
        <v>75</v>
      </c>
      <c r="Z1609" t="n">
        <v>51</v>
      </c>
      <c r="AA1609" t="n">
        <v>63</v>
      </c>
      <c r="AB1609" t="n">
        <v>1</v>
      </c>
      <c r="AC1609" t="n">
        <v>1</v>
      </c>
      <c r="AD1609" t="n">
        <v>2</v>
      </c>
      <c r="AE1609" t="n">
        <v>3</v>
      </c>
      <c r="AF1609" t="n">
        <v>0</v>
      </c>
      <c r="AG1609" t="n">
        <v>0</v>
      </c>
      <c r="AH1609" t="n">
        <v>2</v>
      </c>
      <c r="AI1609" t="n">
        <v>3</v>
      </c>
      <c r="AJ1609" t="n">
        <v>1</v>
      </c>
      <c r="AK1609" t="n">
        <v>1</v>
      </c>
      <c r="AL1609" t="n">
        <v>0</v>
      </c>
      <c r="AM1609" t="n">
        <v>0</v>
      </c>
      <c r="AN1609" t="n">
        <v>0</v>
      </c>
      <c r="AO1609" t="n">
        <v>0</v>
      </c>
      <c r="AP1609" t="inlineStr">
        <is>
          <t>No</t>
        </is>
      </c>
      <c r="AQ1609" t="inlineStr">
        <is>
          <t>Yes</t>
        </is>
      </c>
      <c r="AR1609">
        <f>HYPERLINK("http://catalog.hathitrust.org/Record/000254508","HathiTrust Record")</f>
        <v/>
      </c>
      <c r="AS1609">
        <f>HYPERLINK("https://creighton-primo.hosted.exlibrisgroup.com/primo-explore/search?tab=default_tab&amp;search_scope=EVERYTHING&amp;vid=01CRU&amp;lang=en_US&amp;offset=0&amp;query=any,contains,991004345319702656","Catalog Record")</f>
        <v/>
      </c>
      <c r="AT1609">
        <f>HYPERLINK("http://www.worldcat.org/oclc/3914605","WorldCat Record")</f>
        <v/>
      </c>
      <c r="AU1609" t="inlineStr">
        <is>
          <t>352152120:spa</t>
        </is>
      </c>
      <c r="AV1609" t="inlineStr">
        <is>
          <t>3914605</t>
        </is>
      </c>
      <c r="AW1609" t="inlineStr">
        <is>
          <t>991004345319702656</t>
        </is>
      </c>
      <c r="AX1609" t="inlineStr">
        <is>
          <t>991004345319702656</t>
        </is>
      </c>
      <c r="AY1609" t="inlineStr">
        <is>
          <t>2264868370002656</t>
        </is>
      </c>
      <c r="AZ1609" t="inlineStr">
        <is>
          <t>BOOK</t>
        </is>
      </c>
      <c r="BB1609" t="inlineStr">
        <is>
          <t>9788470900761</t>
        </is>
      </c>
      <c r="BC1609" t="inlineStr">
        <is>
          <t>32285000652254</t>
        </is>
      </c>
      <c r="BD1609" t="inlineStr">
        <is>
          <t>893593576</t>
        </is>
      </c>
    </row>
    <row r="1610">
      <c r="A1610" t="inlineStr">
        <is>
          <t>No</t>
        </is>
      </c>
      <c r="B1610" t="inlineStr">
        <is>
          <t>DP104 .G34</t>
        </is>
      </c>
      <c r="C1610" t="inlineStr">
        <is>
          <t>0                      DP 0104000G  34</t>
        </is>
      </c>
      <c r="D1610" t="inlineStr">
        <is>
          <t>Los moriscos del Reino de Granada, según el Sínodo de Guadix de 1554, por Antonio Gallego y Burín y Alfonso Gámir Sandoval. Edición preparada por Darío Cabanelas Rodríguez.</t>
        </is>
      </c>
      <c r="F1610" t="inlineStr">
        <is>
          <t>No</t>
        </is>
      </c>
      <c r="G1610" t="inlineStr">
        <is>
          <t>1</t>
        </is>
      </c>
      <c r="H1610" t="inlineStr">
        <is>
          <t>No</t>
        </is>
      </c>
      <c r="I1610" t="inlineStr">
        <is>
          <t>No</t>
        </is>
      </c>
      <c r="J1610" t="inlineStr">
        <is>
          <t>0</t>
        </is>
      </c>
      <c r="K1610" t="inlineStr">
        <is>
          <t>Gallego y Burín, Antonio, 1895-1961.</t>
        </is>
      </c>
      <c r="L1610" t="inlineStr">
        <is>
          <t>[Granada] Universidad de Granada, 1968.</t>
        </is>
      </c>
      <c r="M1610" t="inlineStr">
        <is>
          <t>1968</t>
        </is>
      </c>
      <c r="O1610" t="inlineStr">
        <is>
          <t>spa</t>
        </is>
      </c>
      <c r="P1610" t="inlineStr">
        <is>
          <t>___</t>
        </is>
      </c>
      <c r="R1610" t="inlineStr">
        <is>
          <t xml:space="preserve">DP </t>
        </is>
      </c>
      <c r="S1610" t="n">
        <v>1</v>
      </c>
      <c r="T1610" t="n">
        <v>1</v>
      </c>
      <c r="U1610" t="inlineStr">
        <is>
          <t>1993-11-12</t>
        </is>
      </c>
      <c r="V1610" t="inlineStr">
        <is>
          <t>1993-11-12</t>
        </is>
      </c>
      <c r="W1610" t="inlineStr">
        <is>
          <t>1991-09-17</t>
        </is>
      </c>
      <c r="X1610" t="inlineStr">
        <is>
          <t>1991-09-17</t>
        </is>
      </c>
      <c r="Y1610" t="n">
        <v>76</v>
      </c>
      <c r="Z1610" t="n">
        <v>49</v>
      </c>
      <c r="AA1610" t="n">
        <v>62</v>
      </c>
      <c r="AB1610" t="n">
        <v>1</v>
      </c>
      <c r="AC1610" t="n">
        <v>1</v>
      </c>
      <c r="AD1610" t="n">
        <v>1</v>
      </c>
      <c r="AE1610" t="n">
        <v>3</v>
      </c>
      <c r="AF1610" t="n">
        <v>0</v>
      </c>
      <c r="AG1610" t="n">
        <v>0</v>
      </c>
      <c r="AH1610" t="n">
        <v>1</v>
      </c>
      <c r="AI1610" t="n">
        <v>3</v>
      </c>
      <c r="AJ1610" t="n">
        <v>0</v>
      </c>
      <c r="AK1610" t="n">
        <v>0</v>
      </c>
      <c r="AL1610" t="n">
        <v>0</v>
      </c>
      <c r="AM1610" t="n">
        <v>0</v>
      </c>
      <c r="AN1610" t="n">
        <v>0</v>
      </c>
      <c r="AO1610" t="n">
        <v>0</v>
      </c>
      <c r="AP1610" t="inlineStr">
        <is>
          <t>No</t>
        </is>
      </c>
      <c r="AQ1610" t="inlineStr">
        <is>
          <t>Yes</t>
        </is>
      </c>
      <c r="AR1610">
        <f>HYPERLINK("http://catalog.hathitrust.org/Record/001236573","HathiTrust Record")</f>
        <v/>
      </c>
      <c r="AS1610">
        <f>HYPERLINK("https://creighton-primo.hosted.exlibrisgroup.com/primo-explore/search?tab=default_tab&amp;search_scope=EVERYTHING&amp;vid=01CRU&amp;lang=en_US&amp;offset=0&amp;query=any,contains,991003798649702656","Catalog Record")</f>
        <v/>
      </c>
      <c r="AT1610">
        <f>HYPERLINK("http://www.worldcat.org/oclc/1524247","WorldCat Record")</f>
        <v/>
      </c>
      <c r="AU1610" t="inlineStr">
        <is>
          <t>365837563:spa</t>
        </is>
      </c>
      <c r="AV1610" t="inlineStr">
        <is>
          <t>1524247</t>
        </is>
      </c>
      <c r="AW1610" t="inlineStr">
        <is>
          <t>991003798649702656</t>
        </is>
      </c>
      <c r="AX1610" t="inlineStr">
        <is>
          <t>991003798649702656</t>
        </is>
      </c>
      <c r="AY1610" t="inlineStr">
        <is>
          <t>2267565950002656</t>
        </is>
      </c>
      <c r="AZ1610" t="inlineStr">
        <is>
          <t>BOOK</t>
        </is>
      </c>
      <c r="BC1610" t="inlineStr">
        <is>
          <t>32285000652288</t>
        </is>
      </c>
      <c r="BD1610" t="inlineStr">
        <is>
          <t>893330824</t>
        </is>
      </c>
    </row>
    <row r="1611">
      <c r="A1611" t="inlineStr">
        <is>
          <t>No</t>
        </is>
      </c>
      <c r="B1611" t="inlineStr">
        <is>
          <t>DP106 .N54 1984</t>
        </is>
      </c>
      <c r="C1611" t="inlineStr">
        <is>
          <t>0                      DP 0106000N  54          1984</t>
        </is>
      </c>
      <c r="D1611" t="inlineStr">
        <is>
          <t>Islam y Cristianismo / Manuel Nieto Cumplido.</t>
        </is>
      </c>
      <c r="F1611" t="inlineStr">
        <is>
          <t>No</t>
        </is>
      </c>
      <c r="G1611" t="inlineStr">
        <is>
          <t>1</t>
        </is>
      </c>
      <c r="H1611" t="inlineStr">
        <is>
          <t>No</t>
        </is>
      </c>
      <c r="I1611" t="inlineStr">
        <is>
          <t>No</t>
        </is>
      </c>
      <c r="J1611" t="inlineStr">
        <is>
          <t>0</t>
        </is>
      </c>
      <c r="K1611" t="inlineStr">
        <is>
          <t>Nieto Cumplido, Manuel.</t>
        </is>
      </c>
      <c r="L1611" t="inlineStr">
        <is>
          <t>Córdoba : Publicaciones del Monte de Piedad y Caja de Ahorros de Córdoba, 1984.</t>
        </is>
      </c>
      <c r="M1611" t="inlineStr">
        <is>
          <t>1984</t>
        </is>
      </c>
      <c r="O1611" t="inlineStr">
        <is>
          <t>spa</t>
        </is>
      </c>
      <c r="P1611" t="inlineStr">
        <is>
          <t xml:space="preserve">sp </t>
        </is>
      </c>
      <c r="Q1611" t="inlineStr">
        <is>
          <t>Historia de Córdoba ; v.2</t>
        </is>
      </c>
      <c r="R1611" t="inlineStr">
        <is>
          <t xml:space="preserve">DP </t>
        </is>
      </c>
      <c r="S1611" t="n">
        <v>1</v>
      </c>
      <c r="T1611" t="n">
        <v>1</v>
      </c>
      <c r="U1611" t="inlineStr">
        <is>
          <t>2003-09-23</t>
        </is>
      </c>
      <c r="V1611" t="inlineStr">
        <is>
          <t>2003-09-23</t>
        </is>
      </c>
      <c r="W1611" t="inlineStr">
        <is>
          <t>1991-09-17</t>
        </is>
      </c>
      <c r="X1611" t="inlineStr">
        <is>
          <t>1991-09-17</t>
        </is>
      </c>
      <c r="Y1611" t="n">
        <v>30</v>
      </c>
      <c r="Z1611" t="n">
        <v>22</v>
      </c>
      <c r="AA1611" t="n">
        <v>22</v>
      </c>
      <c r="AB1611" t="n">
        <v>1</v>
      </c>
      <c r="AC1611" t="n">
        <v>1</v>
      </c>
      <c r="AD1611" t="n">
        <v>2</v>
      </c>
      <c r="AE1611" t="n">
        <v>2</v>
      </c>
      <c r="AF1611" t="n">
        <v>0</v>
      </c>
      <c r="AG1611" t="n">
        <v>0</v>
      </c>
      <c r="AH1611" t="n">
        <v>1</v>
      </c>
      <c r="AI1611" t="n">
        <v>1</v>
      </c>
      <c r="AJ1611" t="n">
        <v>1</v>
      </c>
      <c r="AK1611" t="n">
        <v>1</v>
      </c>
      <c r="AL1611" t="n">
        <v>0</v>
      </c>
      <c r="AM1611" t="n">
        <v>0</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HYPERLINK("https://creighton-primo.hosted.exlibrisgroup.com/primo-explore/search?tab=default_tab&amp;search_scope=EVERYTHING&amp;vid=01CRU&amp;lang=en_US&amp;offset=0&amp;query=any,contains,991000793149702656","Catalog Record")</f>
        <v/>
      </c>
      <c r="AT1611">
        <f>HYPERLINK("http://www.worldcat.org/oclc/13166602","WorldCat Record")</f>
        <v/>
      </c>
      <c r="AU1611" t="inlineStr">
        <is>
          <t>5609020701:spa</t>
        </is>
      </c>
      <c r="AV1611" t="inlineStr">
        <is>
          <t>13166602</t>
        </is>
      </c>
      <c r="AW1611" t="inlineStr">
        <is>
          <t>991000793149702656</t>
        </is>
      </c>
      <c r="AX1611" t="inlineStr">
        <is>
          <t>991000793149702656</t>
        </is>
      </c>
      <c r="AY1611" t="inlineStr">
        <is>
          <t>2269631520002656</t>
        </is>
      </c>
      <c r="AZ1611" t="inlineStr">
        <is>
          <t>BOOK</t>
        </is>
      </c>
      <c r="BB1611" t="inlineStr">
        <is>
          <t>9788475801278</t>
        </is>
      </c>
      <c r="BC1611" t="inlineStr">
        <is>
          <t>32285000652346</t>
        </is>
      </c>
      <c r="BD1611" t="inlineStr">
        <is>
          <t>893321347</t>
        </is>
      </c>
    </row>
    <row r="1612">
      <c r="A1612" t="inlineStr">
        <is>
          <t>No</t>
        </is>
      </c>
      <c r="B1612" t="inlineStr">
        <is>
          <t>DP121 .G37</t>
        </is>
      </c>
      <c r="C1612" t="inlineStr">
        <is>
          <t>0                      DP 0121000G  37</t>
        </is>
      </c>
      <c r="D1612" t="inlineStr">
        <is>
          <t>Las capitulaciones para la entrega de Granada / por Miguel Garrido Atienza.</t>
        </is>
      </c>
      <c r="F1612" t="inlineStr">
        <is>
          <t>No</t>
        </is>
      </c>
      <c r="G1612" t="inlineStr">
        <is>
          <t>1</t>
        </is>
      </c>
      <c r="H1612" t="inlineStr">
        <is>
          <t>No</t>
        </is>
      </c>
      <c r="I1612" t="inlineStr">
        <is>
          <t>No</t>
        </is>
      </c>
      <c r="J1612" t="inlineStr">
        <is>
          <t>0</t>
        </is>
      </c>
      <c r="K1612" t="inlineStr">
        <is>
          <t>Garrido Atienza, Miguel.</t>
        </is>
      </c>
      <c r="L1612" t="inlineStr">
        <is>
          <t>Granada : Paulino Ventura Traveset, 1910.</t>
        </is>
      </c>
      <c r="M1612" t="inlineStr">
        <is>
          <t>1910</t>
        </is>
      </c>
      <c r="O1612" t="inlineStr">
        <is>
          <t>spa</t>
        </is>
      </c>
      <c r="P1612" t="inlineStr">
        <is>
          <t xml:space="preserve">xx </t>
        </is>
      </c>
      <c r="R1612" t="inlineStr">
        <is>
          <t xml:space="preserve">DP </t>
        </is>
      </c>
      <c r="S1612" t="n">
        <v>1</v>
      </c>
      <c r="T1612" t="n">
        <v>1</v>
      </c>
      <c r="U1612" t="inlineStr">
        <is>
          <t>1992-12-07</t>
        </is>
      </c>
      <c r="V1612" t="inlineStr">
        <is>
          <t>1992-12-07</t>
        </is>
      </c>
      <c r="W1612" t="inlineStr">
        <is>
          <t>1991-11-06</t>
        </is>
      </c>
      <c r="X1612" t="inlineStr">
        <is>
          <t>1991-11-06</t>
        </is>
      </c>
      <c r="Y1612" t="n">
        <v>14</v>
      </c>
      <c r="Z1612" t="n">
        <v>11</v>
      </c>
      <c r="AA1612" t="n">
        <v>12</v>
      </c>
      <c r="AB1612" t="n">
        <v>1</v>
      </c>
      <c r="AC1612" t="n">
        <v>1</v>
      </c>
      <c r="AD1612" t="n">
        <v>0</v>
      </c>
      <c r="AE1612" t="n">
        <v>0</v>
      </c>
      <c r="AF1612" t="n">
        <v>0</v>
      </c>
      <c r="AG1612" t="n">
        <v>0</v>
      </c>
      <c r="AH1612" t="n">
        <v>0</v>
      </c>
      <c r="AI1612" t="n">
        <v>0</v>
      </c>
      <c r="AJ1612" t="n">
        <v>0</v>
      </c>
      <c r="AK1612" t="n">
        <v>0</v>
      </c>
      <c r="AL1612" t="n">
        <v>0</v>
      </c>
      <c r="AM1612" t="n">
        <v>0</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HYPERLINK("https://creighton-primo.hosted.exlibrisgroup.com/primo-explore/search?tab=default_tab&amp;search_scope=EVERYTHING&amp;vid=01CRU&amp;lang=en_US&amp;offset=0&amp;query=any,contains,991004292119702656","Catalog Record")</f>
        <v/>
      </c>
      <c r="AT1612">
        <f>HYPERLINK("http://www.worldcat.org/oclc/2950122","WorldCat Record")</f>
        <v/>
      </c>
      <c r="AU1612" t="inlineStr">
        <is>
          <t>347774107:spa</t>
        </is>
      </c>
      <c r="AV1612" t="inlineStr">
        <is>
          <t>2950122</t>
        </is>
      </c>
      <c r="AW1612" t="inlineStr">
        <is>
          <t>991004292119702656</t>
        </is>
      </c>
      <c r="AX1612" t="inlineStr">
        <is>
          <t>991004292119702656</t>
        </is>
      </c>
      <c r="AY1612" t="inlineStr">
        <is>
          <t>2269884310002656</t>
        </is>
      </c>
      <c r="AZ1612" t="inlineStr">
        <is>
          <t>BOOK</t>
        </is>
      </c>
      <c r="BC1612" t="inlineStr">
        <is>
          <t>32285000815786</t>
        </is>
      </c>
      <c r="BD1612" t="inlineStr">
        <is>
          <t>893411345</t>
        </is>
      </c>
    </row>
    <row r="1613">
      <c r="A1613" t="inlineStr">
        <is>
          <t>No</t>
        </is>
      </c>
      <c r="B1613" t="inlineStr">
        <is>
          <t>DP13 .I52 1976</t>
        </is>
      </c>
      <c r="C1613" t="inlineStr">
        <is>
          <t>0                      DP 0013000I  52          1976</t>
        </is>
      </c>
      <c r="D1613" t="inlineStr">
        <is>
          <t>Toponimia arábigo-española / por Mohamed Abdulla Enan.</t>
        </is>
      </c>
      <c r="F1613" t="inlineStr">
        <is>
          <t>No</t>
        </is>
      </c>
      <c r="G1613" t="inlineStr">
        <is>
          <t>1</t>
        </is>
      </c>
      <c r="H1613" t="inlineStr">
        <is>
          <t>No</t>
        </is>
      </c>
      <c r="I1613" t="inlineStr">
        <is>
          <t>No</t>
        </is>
      </c>
      <c r="J1613" t="inlineStr">
        <is>
          <t>0</t>
        </is>
      </c>
      <c r="K1613" t="inlineStr">
        <is>
          <t>ʻInān, Muḥammad ʻAbd Allāh, 1896-</t>
        </is>
      </c>
      <c r="L1613" t="inlineStr">
        <is>
          <t>[Madrid] : Instituto Egipcio de Estudios Islámicos, [1976?]</t>
        </is>
      </c>
      <c r="M1613" t="inlineStr">
        <is>
          <t>1976</t>
        </is>
      </c>
      <c r="O1613" t="inlineStr">
        <is>
          <t>spa</t>
        </is>
      </c>
      <c r="P1613" t="inlineStr">
        <is>
          <t xml:space="preserve">sp </t>
        </is>
      </c>
      <c r="R1613" t="inlineStr">
        <is>
          <t xml:space="preserve">DP </t>
        </is>
      </c>
      <c r="S1613" t="n">
        <v>0</v>
      </c>
      <c r="T1613" t="n">
        <v>0</v>
      </c>
      <c r="U1613" t="inlineStr">
        <is>
          <t>2007-08-31</t>
        </is>
      </c>
      <c r="V1613" t="inlineStr">
        <is>
          <t>2007-08-31</t>
        </is>
      </c>
      <c r="W1613" t="inlineStr">
        <is>
          <t>1991-09-13</t>
        </is>
      </c>
      <c r="X1613" t="inlineStr">
        <is>
          <t>1991-09-13</t>
        </is>
      </c>
      <c r="Y1613" t="n">
        <v>18</v>
      </c>
      <c r="Z1613" t="n">
        <v>13</v>
      </c>
      <c r="AA1613" t="n">
        <v>15</v>
      </c>
      <c r="AB1613" t="n">
        <v>1</v>
      </c>
      <c r="AC1613" t="n">
        <v>1</v>
      </c>
      <c r="AD1613" t="n">
        <v>0</v>
      </c>
      <c r="AE1613" t="n">
        <v>0</v>
      </c>
      <c r="AF1613" t="n">
        <v>0</v>
      </c>
      <c r="AG1613" t="n">
        <v>0</v>
      </c>
      <c r="AH1613" t="n">
        <v>0</v>
      </c>
      <c r="AI1613" t="n">
        <v>0</v>
      </c>
      <c r="AJ1613" t="n">
        <v>0</v>
      </c>
      <c r="AK1613" t="n">
        <v>0</v>
      </c>
      <c r="AL1613" t="n">
        <v>0</v>
      </c>
      <c r="AM1613" t="n">
        <v>0</v>
      </c>
      <c r="AN1613" t="n">
        <v>0</v>
      </c>
      <c r="AO1613" t="n">
        <v>0</v>
      </c>
      <c r="AP1613" t="inlineStr">
        <is>
          <t>No</t>
        </is>
      </c>
      <c r="AQ1613" t="inlineStr">
        <is>
          <t>Yes</t>
        </is>
      </c>
      <c r="AR1613">
        <f>HYPERLINK("http://catalog.hathitrust.org/Record/009847941","HathiTrust Record")</f>
        <v/>
      </c>
      <c r="AS1613">
        <f>HYPERLINK("https://creighton-primo.hosted.exlibrisgroup.com/primo-explore/search?tab=default_tab&amp;search_scope=EVERYTHING&amp;vid=01CRU&amp;lang=en_US&amp;offset=0&amp;query=any,contains,991004492429702656","Catalog Record")</f>
        <v/>
      </c>
      <c r="AT1613">
        <f>HYPERLINK("http://www.worldcat.org/oclc/3669658","WorldCat Record")</f>
        <v/>
      </c>
      <c r="AU1613" t="inlineStr">
        <is>
          <t>11545256:spa</t>
        </is>
      </c>
      <c r="AV1613" t="inlineStr">
        <is>
          <t>3669658</t>
        </is>
      </c>
      <c r="AW1613" t="inlineStr">
        <is>
          <t>991004492429702656</t>
        </is>
      </c>
      <c r="AX1613" t="inlineStr">
        <is>
          <t>991004492429702656</t>
        </is>
      </c>
      <c r="AY1613" t="inlineStr">
        <is>
          <t>2261918710002656</t>
        </is>
      </c>
      <c r="AZ1613" t="inlineStr">
        <is>
          <t>BOOK</t>
        </is>
      </c>
      <c r="BB1613" t="inlineStr">
        <is>
          <t>9788460068914</t>
        </is>
      </c>
      <c r="BC1613" t="inlineStr">
        <is>
          <t>32285000651686</t>
        </is>
      </c>
      <c r="BD1613" t="inlineStr">
        <is>
          <t>893430121</t>
        </is>
      </c>
    </row>
    <row r="1614">
      <c r="A1614" t="inlineStr">
        <is>
          <t>No</t>
        </is>
      </c>
      <c r="B1614" t="inlineStr">
        <is>
          <t>DP130.3 .M35</t>
        </is>
      </c>
      <c r="C1614" t="inlineStr">
        <is>
          <t>0                      DP 0130300M  35</t>
        </is>
      </c>
      <c r="D1614" t="inlineStr">
        <is>
          <t>Jaime II de Aragón, su vida familiar.</t>
        </is>
      </c>
      <c r="E1614" t="inlineStr">
        <is>
          <t>V.1</t>
        </is>
      </c>
      <c r="F1614" t="inlineStr">
        <is>
          <t>Yes</t>
        </is>
      </c>
      <c r="G1614" t="inlineStr">
        <is>
          <t>1</t>
        </is>
      </c>
      <c r="H1614" t="inlineStr">
        <is>
          <t>No</t>
        </is>
      </c>
      <c r="I1614" t="inlineStr">
        <is>
          <t>No</t>
        </is>
      </c>
      <c r="J1614" t="inlineStr">
        <is>
          <t>0</t>
        </is>
      </c>
      <c r="K1614" t="inlineStr">
        <is>
          <t>Martínez Ferrando, Jesús Ernesto.</t>
        </is>
      </c>
      <c r="M1614" t="inlineStr">
        <is>
          <t>1948</t>
        </is>
      </c>
      <c r="O1614" t="inlineStr">
        <is>
          <t>spa</t>
        </is>
      </c>
      <c r="P1614" t="inlineStr">
        <is>
          <t xml:space="preserve">sp </t>
        </is>
      </c>
      <c r="Q1614" t="inlineStr">
        <is>
          <t>Consejo Superior de Investigaciones Cientificas. Escuela de Estudios Medievales. Estudios, 9-10.</t>
        </is>
      </c>
      <c r="R1614" t="inlineStr">
        <is>
          <t xml:space="preserve">DP </t>
        </is>
      </c>
      <c r="S1614" t="n">
        <v>0</v>
      </c>
      <c r="T1614" t="n">
        <v>0</v>
      </c>
      <c r="U1614" t="inlineStr">
        <is>
          <t>2010-05-06</t>
        </is>
      </c>
      <c r="V1614" t="inlineStr">
        <is>
          <t>2010-05-06</t>
        </is>
      </c>
      <c r="W1614" t="inlineStr">
        <is>
          <t>1997-02-13</t>
        </is>
      </c>
      <c r="X1614" t="inlineStr">
        <is>
          <t>1997-02-13</t>
        </is>
      </c>
      <c r="Y1614" t="n">
        <v>71</v>
      </c>
      <c r="Z1614" t="n">
        <v>48</v>
      </c>
      <c r="AA1614" t="n">
        <v>49</v>
      </c>
      <c r="AB1614" t="n">
        <v>1</v>
      </c>
      <c r="AC1614" t="n">
        <v>1</v>
      </c>
      <c r="AD1614" t="n">
        <v>3</v>
      </c>
      <c r="AE1614" t="n">
        <v>3</v>
      </c>
      <c r="AF1614" t="n">
        <v>0</v>
      </c>
      <c r="AG1614" t="n">
        <v>0</v>
      </c>
      <c r="AH1614" t="n">
        <v>1</v>
      </c>
      <c r="AI1614" t="n">
        <v>1</v>
      </c>
      <c r="AJ1614" t="n">
        <v>2</v>
      </c>
      <c r="AK1614" t="n">
        <v>2</v>
      </c>
      <c r="AL1614" t="n">
        <v>0</v>
      </c>
      <c r="AM1614" t="n">
        <v>0</v>
      </c>
      <c r="AN1614" t="n">
        <v>0</v>
      </c>
      <c r="AO1614" t="n">
        <v>0</v>
      </c>
      <c r="AP1614" t="inlineStr">
        <is>
          <t>No</t>
        </is>
      </c>
      <c r="AQ1614" t="inlineStr">
        <is>
          <t>Yes</t>
        </is>
      </c>
      <c r="AR1614">
        <f>HYPERLINK("http://catalog.hathitrust.org/Record/005943862","HathiTrust Record")</f>
        <v/>
      </c>
      <c r="AS1614">
        <f>HYPERLINK("https://creighton-primo.hosted.exlibrisgroup.com/primo-explore/search?tab=default_tab&amp;search_scope=EVERYTHING&amp;vid=01CRU&amp;lang=en_US&amp;offset=0&amp;query=any,contains,991004181399702656","Catalog Record")</f>
        <v/>
      </c>
      <c r="AT1614">
        <f>HYPERLINK("http://www.worldcat.org/oclc/2605591","WorldCat Record")</f>
        <v/>
      </c>
      <c r="AU1614" t="inlineStr">
        <is>
          <t>5441466:spa</t>
        </is>
      </c>
      <c r="AV1614" t="inlineStr">
        <is>
          <t>2605591</t>
        </is>
      </c>
      <c r="AW1614" t="inlineStr">
        <is>
          <t>991004181399702656</t>
        </is>
      </c>
      <c r="AX1614" t="inlineStr">
        <is>
          <t>991004181399702656</t>
        </is>
      </c>
      <c r="AY1614" t="inlineStr">
        <is>
          <t>2270049870002656</t>
        </is>
      </c>
      <c r="AZ1614" t="inlineStr">
        <is>
          <t>BOOK</t>
        </is>
      </c>
      <c r="BC1614" t="inlineStr">
        <is>
          <t>32285002437829</t>
        </is>
      </c>
      <c r="BD1614" t="inlineStr">
        <is>
          <t>893435984</t>
        </is>
      </c>
    </row>
    <row r="1615">
      <c r="A1615" t="inlineStr">
        <is>
          <t>No</t>
        </is>
      </c>
      <c r="B1615" t="inlineStr">
        <is>
          <t>DP130.3 .M35</t>
        </is>
      </c>
      <c r="C1615" t="inlineStr">
        <is>
          <t>0                      DP 0130300M  35</t>
        </is>
      </c>
      <c r="D1615" t="inlineStr">
        <is>
          <t>Jaime II de Aragón, su vida familiar.</t>
        </is>
      </c>
      <c r="E1615" t="inlineStr">
        <is>
          <t>V.2</t>
        </is>
      </c>
      <c r="F1615" t="inlineStr">
        <is>
          <t>Yes</t>
        </is>
      </c>
      <c r="G1615" t="inlineStr">
        <is>
          <t>1</t>
        </is>
      </c>
      <c r="H1615" t="inlineStr">
        <is>
          <t>No</t>
        </is>
      </c>
      <c r="I1615" t="inlineStr">
        <is>
          <t>No</t>
        </is>
      </c>
      <c r="J1615" t="inlineStr">
        <is>
          <t>0</t>
        </is>
      </c>
      <c r="K1615" t="inlineStr">
        <is>
          <t>Martínez Ferrando, Jesús Ernesto.</t>
        </is>
      </c>
      <c r="M1615" t="inlineStr">
        <is>
          <t>1948</t>
        </is>
      </c>
      <c r="O1615" t="inlineStr">
        <is>
          <t>spa</t>
        </is>
      </c>
      <c r="P1615" t="inlineStr">
        <is>
          <t xml:space="preserve">sp </t>
        </is>
      </c>
      <c r="Q1615" t="inlineStr">
        <is>
          <t>Consejo Superior de Investigaciones Cientificas. Escuela de Estudios Medievales. Estudios, 9-10.</t>
        </is>
      </c>
      <c r="R1615" t="inlineStr">
        <is>
          <t xml:space="preserve">DP </t>
        </is>
      </c>
      <c r="S1615" t="n">
        <v>0</v>
      </c>
      <c r="T1615" t="n">
        <v>0</v>
      </c>
      <c r="U1615" t="inlineStr">
        <is>
          <t>2010-05-06</t>
        </is>
      </c>
      <c r="V1615" t="inlineStr">
        <is>
          <t>2010-05-06</t>
        </is>
      </c>
      <c r="W1615" t="inlineStr">
        <is>
          <t>1997-02-13</t>
        </is>
      </c>
      <c r="X1615" t="inlineStr">
        <is>
          <t>1997-02-13</t>
        </is>
      </c>
      <c r="Y1615" t="n">
        <v>71</v>
      </c>
      <c r="Z1615" t="n">
        <v>48</v>
      </c>
      <c r="AA1615" t="n">
        <v>49</v>
      </c>
      <c r="AB1615" t="n">
        <v>1</v>
      </c>
      <c r="AC1615" t="n">
        <v>1</v>
      </c>
      <c r="AD1615" t="n">
        <v>3</v>
      </c>
      <c r="AE1615" t="n">
        <v>3</v>
      </c>
      <c r="AF1615" t="n">
        <v>0</v>
      </c>
      <c r="AG1615" t="n">
        <v>0</v>
      </c>
      <c r="AH1615" t="n">
        <v>1</v>
      </c>
      <c r="AI1615" t="n">
        <v>1</v>
      </c>
      <c r="AJ1615" t="n">
        <v>2</v>
      </c>
      <c r="AK1615" t="n">
        <v>2</v>
      </c>
      <c r="AL1615" t="n">
        <v>0</v>
      </c>
      <c r="AM1615" t="n">
        <v>0</v>
      </c>
      <c r="AN1615" t="n">
        <v>0</v>
      </c>
      <c r="AO1615" t="n">
        <v>0</v>
      </c>
      <c r="AP1615" t="inlineStr">
        <is>
          <t>No</t>
        </is>
      </c>
      <c r="AQ1615" t="inlineStr">
        <is>
          <t>Yes</t>
        </is>
      </c>
      <c r="AR1615">
        <f>HYPERLINK("http://catalog.hathitrust.org/Record/005943862","HathiTrust Record")</f>
        <v/>
      </c>
      <c r="AS1615">
        <f>HYPERLINK("https://creighton-primo.hosted.exlibrisgroup.com/primo-explore/search?tab=default_tab&amp;search_scope=EVERYTHING&amp;vid=01CRU&amp;lang=en_US&amp;offset=0&amp;query=any,contains,991004181399702656","Catalog Record")</f>
        <v/>
      </c>
      <c r="AT1615">
        <f>HYPERLINK("http://www.worldcat.org/oclc/2605591","WorldCat Record")</f>
        <v/>
      </c>
      <c r="AU1615" t="inlineStr">
        <is>
          <t>5441466:spa</t>
        </is>
      </c>
      <c r="AV1615" t="inlineStr">
        <is>
          <t>2605591</t>
        </is>
      </c>
      <c r="AW1615" t="inlineStr">
        <is>
          <t>991004181399702656</t>
        </is>
      </c>
      <c r="AX1615" t="inlineStr">
        <is>
          <t>991004181399702656</t>
        </is>
      </c>
      <c r="AY1615" t="inlineStr">
        <is>
          <t>2270049870002656</t>
        </is>
      </c>
      <c r="AZ1615" t="inlineStr">
        <is>
          <t>BOOK</t>
        </is>
      </c>
      <c r="BC1615" t="inlineStr">
        <is>
          <t>32285002437837</t>
        </is>
      </c>
      <c r="BD1615" t="inlineStr">
        <is>
          <t>893435983</t>
        </is>
      </c>
    </row>
    <row r="1616">
      <c r="A1616" t="inlineStr">
        <is>
          <t>No</t>
        </is>
      </c>
      <c r="B1616" t="inlineStr">
        <is>
          <t>DP140.4 .A93 1984</t>
        </is>
      </c>
      <c r="C1616" t="inlineStr">
        <is>
          <t>0                      DP 0140400A  93          1984</t>
        </is>
      </c>
      <c r="D1616" t="inlineStr">
        <is>
          <t>La monarquia y Burgos durante el reinado de Alfonso X / Carlos de Ayala Martínez.</t>
        </is>
      </c>
      <c r="F1616" t="inlineStr">
        <is>
          <t>No</t>
        </is>
      </c>
      <c r="G1616" t="inlineStr">
        <is>
          <t>1</t>
        </is>
      </c>
      <c r="H1616" t="inlineStr">
        <is>
          <t>No</t>
        </is>
      </c>
      <c r="I1616" t="inlineStr">
        <is>
          <t>No</t>
        </is>
      </c>
      <c r="J1616" t="inlineStr">
        <is>
          <t>0</t>
        </is>
      </c>
      <c r="K1616" t="inlineStr">
        <is>
          <t>Ayala Martínez, Carlos de.</t>
        </is>
      </c>
      <c r="L1616" t="inlineStr">
        <is>
          <t>Madrid : Ediciones de la Universidad Autónoma de Madrid, 1984.</t>
        </is>
      </c>
      <c r="M1616" t="inlineStr">
        <is>
          <t>1984</t>
        </is>
      </c>
      <c r="O1616" t="inlineStr">
        <is>
          <t>spa</t>
        </is>
      </c>
      <c r="P1616" t="inlineStr">
        <is>
          <t xml:space="preserve">sp </t>
        </is>
      </c>
      <c r="Q1616" t="inlineStr">
        <is>
          <t>Cuadernos de historia medieval ; 7</t>
        </is>
      </c>
      <c r="R1616" t="inlineStr">
        <is>
          <t xml:space="preserve">DP </t>
        </is>
      </c>
      <c r="S1616" t="n">
        <v>0</v>
      </c>
      <c r="T1616" t="n">
        <v>0</v>
      </c>
      <c r="U1616" t="inlineStr">
        <is>
          <t>2000-11-17</t>
        </is>
      </c>
      <c r="V1616" t="inlineStr">
        <is>
          <t>2000-11-17</t>
        </is>
      </c>
      <c r="W1616" t="inlineStr">
        <is>
          <t>1991-09-18</t>
        </is>
      </c>
      <c r="X1616" t="inlineStr">
        <is>
          <t>1991-09-18</t>
        </is>
      </c>
      <c r="Y1616" t="n">
        <v>20</v>
      </c>
      <c r="Z1616" t="n">
        <v>15</v>
      </c>
      <c r="AA1616" t="n">
        <v>17</v>
      </c>
      <c r="AB1616" t="n">
        <v>1</v>
      </c>
      <c r="AC1616" t="n">
        <v>1</v>
      </c>
      <c r="AD1616" t="n">
        <v>2</v>
      </c>
      <c r="AE1616" t="n">
        <v>2</v>
      </c>
      <c r="AF1616" t="n">
        <v>0</v>
      </c>
      <c r="AG1616" t="n">
        <v>0</v>
      </c>
      <c r="AH1616" t="n">
        <v>0</v>
      </c>
      <c r="AI1616" t="n">
        <v>0</v>
      </c>
      <c r="AJ1616" t="n">
        <v>2</v>
      </c>
      <c r="AK1616" t="n">
        <v>2</v>
      </c>
      <c r="AL1616" t="n">
        <v>0</v>
      </c>
      <c r="AM1616" t="n">
        <v>0</v>
      </c>
      <c r="AN1616" t="n">
        <v>0</v>
      </c>
      <c r="AO1616" t="n">
        <v>0</v>
      </c>
      <c r="AP1616" t="inlineStr">
        <is>
          <t>No</t>
        </is>
      </c>
      <c r="AQ1616" t="inlineStr">
        <is>
          <t>Yes</t>
        </is>
      </c>
      <c r="AR1616">
        <f>HYPERLINK("http://catalog.hathitrust.org/Record/010684292","HathiTrust Record")</f>
        <v/>
      </c>
      <c r="AS1616">
        <f>HYPERLINK("https://creighton-primo.hosted.exlibrisgroup.com/primo-explore/search?tab=default_tab&amp;search_scope=EVERYTHING&amp;vid=01CRU&amp;lang=en_US&amp;offset=0&amp;query=any,contains,991000699239702656","Catalog Record")</f>
        <v/>
      </c>
      <c r="AT1616">
        <f>HYPERLINK("http://www.worldcat.org/oclc/12532179","WorldCat Record")</f>
        <v/>
      </c>
      <c r="AU1616" t="inlineStr">
        <is>
          <t>396581078:spa</t>
        </is>
      </c>
      <c r="AV1616" t="inlineStr">
        <is>
          <t>12532179</t>
        </is>
      </c>
      <c r="AW1616" t="inlineStr">
        <is>
          <t>991000699239702656</t>
        </is>
      </c>
      <c r="AX1616" t="inlineStr">
        <is>
          <t>991000699239702656</t>
        </is>
      </c>
      <c r="AY1616" t="inlineStr">
        <is>
          <t>2258316780002656</t>
        </is>
      </c>
      <c r="AZ1616" t="inlineStr">
        <is>
          <t>BOOK</t>
        </is>
      </c>
      <c r="BB1616" t="inlineStr">
        <is>
          <t>9788474770292</t>
        </is>
      </c>
      <c r="BC1616" t="inlineStr">
        <is>
          <t>32285000652494</t>
        </is>
      </c>
      <c r="BD1616" t="inlineStr">
        <is>
          <t>893884649</t>
        </is>
      </c>
    </row>
    <row r="1617">
      <c r="A1617" t="inlineStr">
        <is>
          <t>No</t>
        </is>
      </c>
      <c r="B1617" t="inlineStr">
        <is>
          <t>DP142.5 .J3</t>
        </is>
      </c>
      <c r="C1617" t="inlineStr">
        <is>
          <t>0                      DP 0142500J  3</t>
        </is>
      </c>
      <c r="D1617" t="inlineStr">
        <is>
          <t>John II of Castile and the grand master Alvaro de Luna : a biography : compiled from the chronicles of the reign of King John II of Castile (1405-1454) / by Didier T. Jaen.</t>
        </is>
      </c>
      <c r="F1617" t="inlineStr">
        <is>
          <t>No</t>
        </is>
      </c>
      <c r="G1617" t="inlineStr">
        <is>
          <t>1</t>
        </is>
      </c>
      <c r="H1617" t="inlineStr">
        <is>
          <t>No</t>
        </is>
      </c>
      <c r="I1617" t="inlineStr">
        <is>
          <t>No</t>
        </is>
      </c>
      <c r="J1617" t="inlineStr">
        <is>
          <t>0</t>
        </is>
      </c>
      <c r="K1617" t="inlineStr">
        <is>
          <t>Jaén, Didier Tisdel.</t>
        </is>
      </c>
      <c r="L1617" t="inlineStr">
        <is>
          <t>Madrid : Castalia, 1978.</t>
        </is>
      </c>
      <c r="M1617" t="inlineStr">
        <is>
          <t>1978</t>
        </is>
      </c>
      <c r="O1617" t="inlineStr">
        <is>
          <t>eng</t>
        </is>
      </c>
      <c r="P1617" t="inlineStr">
        <is>
          <t xml:space="preserve">sp </t>
        </is>
      </c>
      <c r="R1617" t="inlineStr">
        <is>
          <t xml:space="preserve">DP </t>
        </is>
      </c>
      <c r="S1617" t="n">
        <v>0</v>
      </c>
      <c r="T1617" t="n">
        <v>0</v>
      </c>
      <c r="U1617" t="inlineStr">
        <is>
          <t>2001-09-17</t>
        </is>
      </c>
      <c r="V1617" t="inlineStr">
        <is>
          <t>2001-09-17</t>
        </is>
      </c>
      <c r="W1617" t="inlineStr">
        <is>
          <t>1991-09-18</t>
        </is>
      </c>
      <c r="X1617" t="inlineStr">
        <is>
          <t>1991-09-18</t>
        </is>
      </c>
      <c r="Y1617" t="n">
        <v>66</v>
      </c>
      <c r="Z1617" t="n">
        <v>52</v>
      </c>
      <c r="AA1617" t="n">
        <v>52</v>
      </c>
      <c r="AB1617" t="n">
        <v>1</v>
      </c>
      <c r="AC1617" t="n">
        <v>1</v>
      </c>
      <c r="AD1617" t="n">
        <v>3</v>
      </c>
      <c r="AE1617" t="n">
        <v>3</v>
      </c>
      <c r="AF1617" t="n">
        <v>1</v>
      </c>
      <c r="AG1617" t="n">
        <v>1</v>
      </c>
      <c r="AH1617" t="n">
        <v>3</v>
      </c>
      <c r="AI1617" t="n">
        <v>3</v>
      </c>
      <c r="AJ1617" t="n">
        <v>0</v>
      </c>
      <c r="AK1617" t="n">
        <v>0</v>
      </c>
      <c r="AL1617" t="n">
        <v>0</v>
      </c>
      <c r="AM1617" t="n">
        <v>0</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HYPERLINK("https://creighton-primo.hosted.exlibrisgroup.com/primo-explore/search?tab=default_tab&amp;search_scope=EVERYTHING&amp;vid=01CRU&amp;lang=en_US&amp;offset=0&amp;query=any,contains,991005005949702656","Catalog Record")</f>
        <v/>
      </c>
      <c r="AT1617">
        <f>HYPERLINK("http://www.worldcat.org/oclc/6569289","WorldCat Record")</f>
        <v/>
      </c>
      <c r="AU1617" t="inlineStr">
        <is>
          <t>1043879704:eng</t>
        </is>
      </c>
      <c r="AV1617" t="inlineStr">
        <is>
          <t>6569289</t>
        </is>
      </c>
      <c r="AW1617" t="inlineStr">
        <is>
          <t>991005005949702656</t>
        </is>
      </c>
      <c r="AX1617" t="inlineStr">
        <is>
          <t>991005005949702656</t>
        </is>
      </c>
      <c r="AY1617" t="inlineStr">
        <is>
          <t>2257052180002656</t>
        </is>
      </c>
      <c r="AZ1617" t="inlineStr">
        <is>
          <t>BOOK</t>
        </is>
      </c>
      <c r="BB1617" t="inlineStr">
        <is>
          <t>9788430001354</t>
        </is>
      </c>
      <c r="BC1617" t="inlineStr">
        <is>
          <t>32285000652510</t>
        </is>
      </c>
      <c r="BD1617" t="inlineStr">
        <is>
          <t>893520279</t>
        </is>
      </c>
    </row>
    <row r="1618">
      <c r="A1618" t="inlineStr">
        <is>
          <t>No</t>
        </is>
      </c>
      <c r="B1618" t="inlineStr">
        <is>
          <t>DP143.6 .A73 2005</t>
        </is>
      </c>
      <c r="C1618" t="inlineStr">
        <is>
          <t>0                      DP 0143600A  73          2005</t>
        </is>
      </c>
      <c r="D1618" t="inlineStr">
        <is>
          <t>Juana the mad : sovereignty and dynasty in renaissance Europe / Bethany Aram.</t>
        </is>
      </c>
      <c r="F1618" t="inlineStr">
        <is>
          <t>No</t>
        </is>
      </c>
      <c r="G1618" t="inlineStr">
        <is>
          <t>1</t>
        </is>
      </c>
      <c r="H1618" t="inlineStr">
        <is>
          <t>No</t>
        </is>
      </c>
      <c r="I1618" t="inlineStr">
        <is>
          <t>No</t>
        </is>
      </c>
      <c r="J1618" t="inlineStr">
        <is>
          <t>0</t>
        </is>
      </c>
      <c r="K1618" t="inlineStr">
        <is>
          <t>Aram, Bethany.</t>
        </is>
      </c>
      <c r="L1618" t="inlineStr">
        <is>
          <t>Baltimore : Johns Hopkins University Press, 2005.</t>
        </is>
      </c>
      <c r="M1618" t="inlineStr">
        <is>
          <t>2005</t>
        </is>
      </c>
      <c r="O1618" t="inlineStr">
        <is>
          <t>eng</t>
        </is>
      </c>
      <c r="P1618" t="inlineStr">
        <is>
          <t>mdu</t>
        </is>
      </c>
      <c r="R1618" t="inlineStr">
        <is>
          <t xml:space="preserve">DP </t>
        </is>
      </c>
      <c r="S1618" t="n">
        <v>1</v>
      </c>
      <c r="T1618" t="n">
        <v>1</v>
      </c>
      <c r="U1618" t="inlineStr">
        <is>
          <t>2005-04-26</t>
        </is>
      </c>
      <c r="V1618" t="inlineStr">
        <is>
          <t>2005-04-26</t>
        </is>
      </c>
      <c r="W1618" t="inlineStr">
        <is>
          <t>2005-04-26</t>
        </is>
      </c>
      <c r="X1618" t="inlineStr">
        <is>
          <t>2005-04-26</t>
        </is>
      </c>
      <c r="Y1618" t="n">
        <v>349</v>
      </c>
      <c r="Z1618" t="n">
        <v>285</v>
      </c>
      <c r="AA1618" t="n">
        <v>287</v>
      </c>
      <c r="AB1618" t="n">
        <v>2</v>
      </c>
      <c r="AC1618" t="n">
        <v>2</v>
      </c>
      <c r="AD1618" t="n">
        <v>15</v>
      </c>
      <c r="AE1618" t="n">
        <v>15</v>
      </c>
      <c r="AF1618" t="n">
        <v>5</v>
      </c>
      <c r="AG1618" t="n">
        <v>5</v>
      </c>
      <c r="AH1618" t="n">
        <v>4</v>
      </c>
      <c r="AI1618" t="n">
        <v>4</v>
      </c>
      <c r="AJ1618" t="n">
        <v>9</v>
      </c>
      <c r="AK1618" t="n">
        <v>9</v>
      </c>
      <c r="AL1618" t="n">
        <v>1</v>
      </c>
      <c r="AM1618" t="n">
        <v>1</v>
      </c>
      <c r="AN1618" t="n">
        <v>0</v>
      </c>
      <c r="AO1618" t="n">
        <v>0</v>
      </c>
      <c r="AP1618" t="inlineStr">
        <is>
          <t>No</t>
        </is>
      </c>
      <c r="AQ1618" t="inlineStr">
        <is>
          <t>Yes</t>
        </is>
      </c>
      <c r="AR1618">
        <f>HYPERLINK("http://catalog.hathitrust.org/Record/005866638","HathiTrust Record")</f>
        <v/>
      </c>
      <c r="AS1618">
        <f>HYPERLINK("https://creighton-primo.hosted.exlibrisgroup.com/primo-explore/search?tab=default_tab&amp;search_scope=EVERYTHING&amp;vid=01CRU&amp;lang=en_US&amp;offset=0&amp;query=any,contains,991004518739702656","Catalog Record")</f>
        <v/>
      </c>
      <c r="AT1618">
        <f>HYPERLINK("http://www.worldcat.org/oclc/55657417","WorldCat Record")</f>
        <v/>
      </c>
      <c r="AU1618" t="inlineStr">
        <is>
          <t>77549:eng</t>
        </is>
      </c>
      <c r="AV1618" t="inlineStr">
        <is>
          <t>55657417</t>
        </is>
      </c>
      <c r="AW1618" t="inlineStr">
        <is>
          <t>991004518739702656</t>
        </is>
      </c>
      <c r="AX1618" t="inlineStr">
        <is>
          <t>991004518739702656</t>
        </is>
      </c>
      <c r="AY1618" t="inlineStr">
        <is>
          <t>2257248210002656</t>
        </is>
      </c>
      <c r="AZ1618" t="inlineStr">
        <is>
          <t>BOOK</t>
        </is>
      </c>
      <c r="BB1618" t="inlineStr">
        <is>
          <t>9780801880728</t>
        </is>
      </c>
      <c r="BC1618" t="inlineStr">
        <is>
          <t>32285005033518</t>
        </is>
      </c>
      <c r="BD1618" t="inlineStr">
        <is>
          <t>893628203</t>
        </is>
      </c>
    </row>
    <row r="1619">
      <c r="A1619" t="inlineStr">
        <is>
          <t>No</t>
        </is>
      </c>
      <c r="B1619" t="inlineStr">
        <is>
          <t>DP161 .K35 1991</t>
        </is>
      </c>
      <c r="C1619" t="inlineStr">
        <is>
          <t>0                      DP 0161000K  35          1991</t>
        </is>
      </c>
      <c r="D1619" t="inlineStr">
        <is>
          <t>Spain, 1469-1714 : a society of conflict / Henry Kamen.</t>
        </is>
      </c>
      <c r="F1619" t="inlineStr">
        <is>
          <t>No</t>
        </is>
      </c>
      <c r="G1619" t="inlineStr">
        <is>
          <t>1</t>
        </is>
      </c>
      <c r="H1619" t="inlineStr">
        <is>
          <t>No</t>
        </is>
      </c>
      <c r="I1619" t="inlineStr">
        <is>
          <t>No</t>
        </is>
      </c>
      <c r="J1619" t="inlineStr">
        <is>
          <t>0</t>
        </is>
      </c>
      <c r="K1619" t="inlineStr">
        <is>
          <t>Kamen, Henry.</t>
        </is>
      </c>
      <c r="L1619" t="inlineStr">
        <is>
          <t>London ; New York : Longman, 1991.</t>
        </is>
      </c>
      <c r="M1619" t="inlineStr">
        <is>
          <t>1991</t>
        </is>
      </c>
      <c r="N1619" t="inlineStr">
        <is>
          <t>2nd ed.</t>
        </is>
      </c>
      <c r="O1619" t="inlineStr">
        <is>
          <t>eng</t>
        </is>
      </c>
      <c r="P1619" t="inlineStr">
        <is>
          <t>enk</t>
        </is>
      </c>
      <c r="R1619" t="inlineStr">
        <is>
          <t xml:space="preserve">DP </t>
        </is>
      </c>
      <c r="S1619" t="n">
        <v>8</v>
      </c>
      <c r="T1619" t="n">
        <v>8</v>
      </c>
      <c r="U1619" t="inlineStr">
        <is>
          <t>2004-08-09</t>
        </is>
      </c>
      <c r="V1619" t="inlineStr">
        <is>
          <t>2004-08-09</t>
        </is>
      </c>
      <c r="W1619" t="inlineStr">
        <is>
          <t>1993-04-27</t>
        </is>
      </c>
      <c r="X1619" t="inlineStr">
        <is>
          <t>1993-04-27</t>
        </is>
      </c>
      <c r="Y1619" t="n">
        <v>396</v>
      </c>
      <c r="Z1619" t="n">
        <v>249</v>
      </c>
      <c r="AA1619" t="n">
        <v>609</v>
      </c>
      <c r="AB1619" t="n">
        <v>2</v>
      </c>
      <c r="AC1619" t="n">
        <v>5</v>
      </c>
      <c r="AD1619" t="n">
        <v>11</v>
      </c>
      <c r="AE1619" t="n">
        <v>35</v>
      </c>
      <c r="AF1619" t="n">
        <v>4</v>
      </c>
      <c r="AG1619" t="n">
        <v>16</v>
      </c>
      <c r="AH1619" t="n">
        <v>2</v>
      </c>
      <c r="AI1619" t="n">
        <v>9</v>
      </c>
      <c r="AJ1619" t="n">
        <v>7</v>
      </c>
      <c r="AK1619" t="n">
        <v>18</v>
      </c>
      <c r="AL1619" t="n">
        <v>1</v>
      </c>
      <c r="AM1619" t="n">
        <v>4</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HYPERLINK("https://creighton-primo.hosted.exlibrisgroup.com/primo-explore/search?tab=default_tab&amp;search_scope=EVERYTHING&amp;vid=01CRU&amp;lang=en_US&amp;offset=0&amp;query=any,contains,991001762099702656","Catalog Record")</f>
        <v/>
      </c>
      <c r="AT1619">
        <f>HYPERLINK("http://www.worldcat.org/oclc/22276524","WorldCat Record")</f>
        <v/>
      </c>
      <c r="AU1619" t="inlineStr">
        <is>
          <t>836709385:eng</t>
        </is>
      </c>
      <c r="AV1619" t="inlineStr">
        <is>
          <t>22276524</t>
        </is>
      </c>
      <c r="AW1619" t="inlineStr">
        <is>
          <t>991001762099702656</t>
        </is>
      </c>
      <c r="AX1619" t="inlineStr">
        <is>
          <t>991001762099702656</t>
        </is>
      </c>
      <c r="AY1619" t="inlineStr">
        <is>
          <t>2263166670002656</t>
        </is>
      </c>
      <c r="AZ1619" t="inlineStr">
        <is>
          <t>BOOK</t>
        </is>
      </c>
      <c r="BB1619" t="inlineStr">
        <is>
          <t>9780582067233</t>
        </is>
      </c>
      <c r="BC1619" t="inlineStr">
        <is>
          <t>32285001580546</t>
        </is>
      </c>
      <c r="BD1619" t="inlineStr">
        <is>
          <t>893503666</t>
        </is>
      </c>
    </row>
    <row r="1620">
      <c r="A1620" t="inlineStr">
        <is>
          <t>No</t>
        </is>
      </c>
      <c r="B1620" t="inlineStr">
        <is>
          <t>DP161.5 .A53</t>
        </is>
      </c>
      <c r="C1620" t="inlineStr">
        <is>
          <t>0                      DP 0161500A  53</t>
        </is>
      </c>
      <c r="D1620" t="inlineStr">
        <is>
          <t>Documentos sobre relaciones internacionales de los Reyes Católicos. Ed. preparada por Antonio de la Torre.</t>
        </is>
      </c>
      <c r="E1620" t="inlineStr">
        <is>
          <t>V.2</t>
        </is>
      </c>
      <c r="F1620" t="inlineStr">
        <is>
          <t>Yes</t>
        </is>
      </c>
      <c r="G1620" t="inlineStr">
        <is>
          <t>1</t>
        </is>
      </c>
      <c r="H1620" t="inlineStr">
        <is>
          <t>No</t>
        </is>
      </c>
      <c r="I1620" t="inlineStr">
        <is>
          <t>No</t>
        </is>
      </c>
      <c r="J1620" t="inlineStr">
        <is>
          <t>0</t>
        </is>
      </c>
      <c r="K1620" t="inlineStr">
        <is>
          <t>Spain. Sovereign (1479-1504 : Ferdinand V and Isabella I)</t>
        </is>
      </c>
      <c r="L1620" t="inlineStr">
        <is>
          <t>Barcelona [Consejo Superior de Investigaciones Científicas. Patronato Marcelino Menéndez Pelayo] 1949-1966.</t>
        </is>
      </c>
      <c r="M1620" t="inlineStr">
        <is>
          <t>1949</t>
        </is>
      </c>
      <c r="O1620" t="inlineStr">
        <is>
          <t>spa</t>
        </is>
      </c>
      <c r="P1620" t="inlineStr">
        <is>
          <t xml:space="preserve">sp </t>
        </is>
      </c>
      <c r="Q1620" t="inlineStr">
        <is>
          <t>Biblioteca "Reyes Católicos." Documentos y textos, no.1-3,9,12-13</t>
        </is>
      </c>
      <c r="R1620" t="inlineStr">
        <is>
          <t xml:space="preserve">DP </t>
        </is>
      </c>
      <c r="S1620" t="n">
        <v>2</v>
      </c>
      <c r="T1620" t="n">
        <v>6</v>
      </c>
      <c r="U1620" t="inlineStr">
        <is>
          <t>1998-05-13</t>
        </is>
      </c>
      <c r="V1620" t="inlineStr">
        <is>
          <t>1998-05-13</t>
        </is>
      </c>
      <c r="W1620" t="inlineStr">
        <is>
          <t>1998-07-09</t>
        </is>
      </c>
      <c r="X1620" t="inlineStr">
        <is>
          <t>1998-07-09</t>
        </is>
      </c>
      <c r="Y1620" t="n">
        <v>127</v>
      </c>
      <c r="Z1620" t="n">
        <v>103</v>
      </c>
      <c r="AA1620" t="n">
        <v>105</v>
      </c>
      <c r="AB1620" t="n">
        <v>2</v>
      </c>
      <c r="AC1620" t="n">
        <v>2</v>
      </c>
      <c r="AD1620" t="n">
        <v>7</v>
      </c>
      <c r="AE1620" t="n">
        <v>7</v>
      </c>
      <c r="AF1620" t="n">
        <v>0</v>
      </c>
      <c r="AG1620" t="n">
        <v>0</v>
      </c>
      <c r="AH1620" t="n">
        <v>3</v>
      </c>
      <c r="AI1620" t="n">
        <v>3</v>
      </c>
      <c r="AJ1620" t="n">
        <v>4</v>
      </c>
      <c r="AK1620" t="n">
        <v>4</v>
      </c>
      <c r="AL1620" t="n">
        <v>1</v>
      </c>
      <c r="AM1620" t="n">
        <v>1</v>
      </c>
      <c r="AN1620" t="n">
        <v>0</v>
      </c>
      <c r="AO1620" t="n">
        <v>0</v>
      </c>
      <c r="AP1620" t="inlineStr">
        <is>
          <t>No</t>
        </is>
      </c>
      <c r="AQ1620" t="inlineStr">
        <is>
          <t>Yes</t>
        </is>
      </c>
      <c r="AR1620">
        <f>HYPERLINK("http://catalog.hathitrust.org/Record/001236664","HathiTrust Record")</f>
        <v/>
      </c>
      <c r="AS1620">
        <f>HYPERLINK("https://creighton-primo.hosted.exlibrisgroup.com/primo-explore/search?tab=default_tab&amp;search_scope=EVERYTHING&amp;vid=01CRU&amp;lang=en_US&amp;offset=0&amp;query=any,contains,991003978669702656","Catalog Record")</f>
        <v/>
      </c>
      <c r="AT1620">
        <f>HYPERLINK("http://www.worldcat.org/oclc/2014382","WorldCat Record")</f>
        <v/>
      </c>
      <c r="AU1620" t="inlineStr">
        <is>
          <t>4461071116:spa</t>
        </is>
      </c>
      <c r="AV1620" t="inlineStr">
        <is>
          <t>2014382</t>
        </is>
      </c>
      <c r="AW1620" t="inlineStr">
        <is>
          <t>991003978669702656</t>
        </is>
      </c>
      <c r="AX1620" t="inlineStr">
        <is>
          <t>991003978669702656</t>
        </is>
      </c>
      <c r="AY1620" t="inlineStr">
        <is>
          <t>2268198640002656</t>
        </is>
      </c>
      <c r="AZ1620" t="inlineStr">
        <is>
          <t>BOOK</t>
        </is>
      </c>
      <c r="BC1620" t="inlineStr">
        <is>
          <t>32285003261707</t>
        </is>
      </c>
      <c r="BD1620" t="inlineStr">
        <is>
          <t>893417066</t>
        </is>
      </c>
    </row>
    <row r="1621">
      <c r="A1621" t="inlineStr">
        <is>
          <t>No</t>
        </is>
      </c>
      <c r="B1621" t="inlineStr">
        <is>
          <t>DP161.5 .A53</t>
        </is>
      </c>
      <c r="C1621" t="inlineStr">
        <is>
          <t>0                      DP 0161500A  53</t>
        </is>
      </c>
      <c r="D1621" t="inlineStr">
        <is>
          <t>Documentos sobre relaciones internacionales de los Reyes Católicos. Ed. preparada por Antonio de la Torre.</t>
        </is>
      </c>
      <c r="E1621" t="inlineStr">
        <is>
          <t>V.3</t>
        </is>
      </c>
      <c r="F1621" t="inlineStr">
        <is>
          <t>Yes</t>
        </is>
      </c>
      <c r="G1621" t="inlineStr">
        <is>
          <t>1</t>
        </is>
      </c>
      <c r="H1621" t="inlineStr">
        <is>
          <t>No</t>
        </is>
      </c>
      <c r="I1621" t="inlineStr">
        <is>
          <t>No</t>
        </is>
      </c>
      <c r="J1621" t="inlineStr">
        <is>
          <t>0</t>
        </is>
      </c>
      <c r="K1621" t="inlineStr">
        <is>
          <t>Spain. Sovereign (1479-1504 : Ferdinand V and Isabella I)</t>
        </is>
      </c>
      <c r="L1621" t="inlineStr">
        <is>
          <t>Barcelona [Consejo Superior de Investigaciones Científicas. Patronato Marcelino Menéndez Pelayo] 1949-1966.</t>
        </is>
      </c>
      <c r="M1621" t="inlineStr">
        <is>
          <t>1949</t>
        </is>
      </c>
      <c r="O1621" t="inlineStr">
        <is>
          <t>spa</t>
        </is>
      </c>
      <c r="P1621" t="inlineStr">
        <is>
          <t xml:space="preserve">sp </t>
        </is>
      </c>
      <c r="Q1621" t="inlineStr">
        <is>
          <t>Biblioteca "Reyes Católicos." Documentos y textos, no.1-3,9,12-13</t>
        </is>
      </c>
      <c r="R1621" t="inlineStr">
        <is>
          <t xml:space="preserve">DP </t>
        </is>
      </c>
      <c r="S1621" t="n">
        <v>2</v>
      </c>
      <c r="T1621" t="n">
        <v>6</v>
      </c>
      <c r="U1621" t="inlineStr">
        <is>
          <t>1998-05-13</t>
        </is>
      </c>
      <c r="V1621" t="inlineStr">
        <is>
          <t>1998-05-13</t>
        </is>
      </c>
      <c r="W1621" t="inlineStr">
        <is>
          <t>1998-07-09</t>
        </is>
      </c>
      <c r="X1621" t="inlineStr">
        <is>
          <t>1998-07-09</t>
        </is>
      </c>
      <c r="Y1621" t="n">
        <v>127</v>
      </c>
      <c r="Z1621" t="n">
        <v>103</v>
      </c>
      <c r="AA1621" t="n">
        <v>105</v>
      </c>
      <c r="AB1621" t="n">
        <v>2</v>
      </c>
      <c r="AC1621" t="n">
        <v>2</v>
      </c>
      <c r="AD1621" t="n">
        <v>7</v>
      </c>
      <c r="AE1621" t="n">
        <v>7</v>
      </c>
      <c r="AF1621" t="n">
        <v>0</v>
      </c>
      <c r="AG1621" t="n">
        <v>0</v>
      </c>
      <c r="AH1621" t="n">
        <v>3</v>
      </c>
      <c r="AI1621" t="n">
        <v>3</v>
      </c>
      <c r="AJ1621" t="n">
        <v>4</v>
      </c>
      <c r="AK1621" t="n">
        <v>4</v>
      </c>
      <c r="AL1621" t="n">
        <v>1</v>
      </c>
      <c r="AM1621" t="n">
        <v>1</v>
      </c>
      <c r="AN1621" t="n">
        <v>0</v>
      </c>
      <c r="AO1621" t="n">
        <v>0</v>
      </c>
      <c r="AP1621" t="inlineStr">
        <is>
          <t>No</t>
        </is>
      </c>
      <c r="AQ1621" t="inlineStr">
        <is>
          <t>Yes</t>
        </is>
      </c>
      <c r="AR1621">
        <f>HYPERLINK("http://catalog.hathitrust.org/Record/001236664","HathiTrust Record")</f>
        <v/>
      </c>
      <c r="AS1621">
        <f>HYPERLINK("https://creighton-primo.hosted.exlibrisgroup.com/primo-explore/search?tab=default_tab&amp;search_scope=EVERYTHING&amp;vid=01CRU&amp;lang=en_US&amp;offset=0&amp;query=any,contains,991003978669702656","Catalog Record")</f>
        <v/>
      </c>
      <c r="AT1621">
        <f>HYPERLINK("http://www.worldcat.org/oclc/2014382","WorldCat Record")</f>
        <v/>
      </c>
      <c r="AU1621" t="inlineStr">
        <is>
          <t>4461071116:spa</t>
        </is>
      </c>
      <c r="AV1621" t="inlineStr">
        <is>
          <t>2014382</t>
        </is>
      </c>
      <c r="AW1621" t="inlineStr">
        <is>
          <t>991003978669702656</t>
        </is>
      </c>
      <c r="AX1621" t="inlineStr">
        <is>
          <t>991003978669702656</t>
        </is>
      </c>
      <c r="AY1621" t="inlineStr">
        <is>
          <t>2268198640002656</t>
        </is>
      </c>
      <c r="AZ1621" t="inlineStr">
        <is>
          <t>BOOK</t>
        </is>
      </c>
      <c r="BC1621" t="inlineStr">
        <is>
          <t>32285003261715</t>
        </is>
      </c>
      <c r="BD1621" t="inlineStr">
        <is>
          <t>893435722</t>
        </is>
      </c>
    </row>
    <row r="1622">
      <c r="A1622" t="inlineStr">
        <is>
          <t>No</t>
        </is>
      </c>
      <c r="B1622" t="inlineStr">
        <is>
          <t>DP161.5 .A53</t>
        </is>
      </c>
      <c r="C1622" t="inlineStr">
        <is>
          <t>0                      DP 0161500A  53</t>
        </is>
      </c>
      <c r="D1622" t="inlineStr">
        <is>
          <t>Documentos sobre relaciones internacionales de los Reyes Católicos. Ed. preparada por Antonio de la Torre.</t>
        </is>
      </c>
      <c r="E1622" t="inlineStr">
        <is>
          <t>V.1</t>
        </is>
      </c>
      <c r="F1622" t="inlineStr">
        <is>
          <t>Yes</t>
        </is>
      </c>
      <c r="G1622" t="inlineStr">
        <is>
          <t>1</t>
        </is>
      </c>
      <c r="H1622" t="inlineStr">
        <is>
          <t>No</t>
        </is>
      </c>
      <c r="I1622" t="inlineStr">
        <is>
          <t>No</t>
        </is>
      </c>
      <c r="J1622" t="inlineStr">
        <is>
          <t>0</t>
        </is>
      </c>
      <c r="K1622" t="inlineStr">
        <is>
          <t>Spain. Sovereign (1479-1504 : Ferdinand V and Isabella I)</t>
        </is>
      </c>
      <c r="L1622" t="inlineStr">
        <is>
          <t>Barcelona [Consejo Superior de Investigaciones Científicas. Patronato Marcelino Menéndez Pelayo] 1949-1966.</t>
        </is>
      </c>
      <c r="M1622" t="inlineStr">
        <is>
          <t>1949</t>
        </is>
      </c>
      <c r="O1622" t="inlineStr">
        <is>
          <t>spa</t>
        </is>
      </c>
      <c r="P1622" t="inlineStr">
        <is>
          <t xml:space="preserve">sp </t>
        </is>
      </c>
      <c r="Q1622" t="inlineStr">
        <is>
          <t>Biblioteca "Reyes Católicos." Documentos y textos, no.1-3,9,12-13</t>
        </is>
      </c>
      <c r="R1622" t="inlineStr">
        <is>
          <t xml:space="preserve">DP </t>
        </is>
      </c>
      <c r="S1622" t="n">
        <v>2</v>
      </c>
      <c r="T1622" t="n">
        <v>6</v>
      </c>
      <c r="U1622" t="inlineStr">
        <is>
          <t>1998-05-13</t>
        </is>
      </c>
      <c r="V1622" t="inlineStr">
        <is>
          <t>1998-05-13</t>
        </is>
      </c>
      <c r="W1622" t="inlineStr">
        <is>
          <t>1998-07-09</t>
        </is>
      </c>
      <c r="X1622" t="inlineStr">
        <is>
          <t>1998-07-09</t>
        </is>
      </c>
      <c r="Y1622" t="n">
        <v>127</v>
      </c>
      <c r="Z1622" t="n">
        <v>103</v>
      </c>
      <c r="AA1622" t="n">
        <v>105</v>
      </c>
      <c r="AB1622" t="n">
        <v>2</v>
      </c>
      <c r="AC1622" t="n">
        <v>2</v>
      </c>
      <c r="AD1622" t="n">
        <v>7</v>
      </c>
      <c r="AE1622" t="n">
        <v>7</v>
      </c>
      <c r="AF1622" t="n">
        <v>0</v>
      </c>
      <c r="AG1622" t="n">
        <v>0</v>
      </c>
      <c r="AH1622" t="n">
        <v>3</v>
      </c>
      <c r="AI1622" t="n">
        <v>3</v>
      </c>
      <c r="AJ1622" t="n">
        <v>4</v>
      </c>
      <c r="AK1622" t="n">
        <v>4</v>
      </c>
      <c r="AL1622" t="n">
        <v>1</v>
      </c>
      <c r="AM1622" t="n">
        <v>1</v>
      </c>
      <c r="AN1622" t="n">
        <v>0</v>
      </c>
      <c r="AO1622" t="n">
        <v>0</v>
      </c>
      <c r="AP1622" t="inlineStr">
        <is>
          <t>No</t>
        </is>
      </c>
      <c r="AQ1622" t="inlineStr">
        <is>
          <t>Yes</t>
        </is>
      </c>
      <c r="AR1622">
        <f>HYPERLINK("http://catalog.hathitrust.org/Record/001236664","HathiTrust Record")</f>
        <v/>
      </c>
      <c r="AS1622">
        <f>HYPERLINK("https://creighton-primo.hosted.exlibrisgroup.com/primo-explore/search?tab=default_tab&amp;search_scope=EVERYTHING&amp;vid=01CRU&amp;lang=en_US&amp;offset=0&amp;query=any,contains,991003978669702656","Catalog Record")</f>
        <v/>
      </c>
      <c r="AT1622">
        <f>HYPERLINK("http://www.worldcat.org/oclc/2014382","WorldCat Record")</f>
        <v/>
      </c>
      <c r="AU1622" t="inlineStr">
        <is>
          <t>4461071116:spa</t>
        </is>
      </c>
      <c r="AV1622" t="inlineStr">
        <is>
          <t>2014382</t>
        </is>
      </c>
      <c r="AW1622" t="inlineStr">
        <is>
          <t>991003978669702656</t>
        </is>
      </c>
      <c r="AX1622" t="inlineStr">
        <is>
          <t>991003978669702656</t>
        </is>
      </c>
      <c r="AY1622" t="inlineStr">
        <is>
          <t>2268198640002656</t>
        </is>
      </c>
      <c r="AZ1622" t="inlineStr">
        <is>
          <t>BOOK</t>
        </is>
      </c>
      <c r="BC1622" t="inlineStr">
        <is>
          <t>32285003261699</t>
        </is>
      </c>
      <c r="BD1622" t="inlineStr">
        <is>
          <t>893417067</t>
        </is>
      </c>
    </row>
    <row r="1623">
      <c r="A1623" t="inlineStr">
        <is>
          <t>No</t>
        </is>
      </c>
      <c r="B1623" t="inlineStr">
        <is>
          <t>DP162 .M333</t>
        </is>
      </c>
      <c r="C1623" t="inlineStr">
        <is>
          <t>0                      DP 0162000M  333</t>
        </is>
      </c>
      <c r="D1623" t="inlineStr">
        <is>
          <t>The Spain of Ferdinand and Isabella. Translated and edited by Benjamin Keen.</t>
        </is>
      </c>
      <c r="F1623" t="inlineStr">
        <is>
          <t>No</t>
        </is>
      </c>
      <c r="G1623" t="inlineStr">
        <is>
          <t>1</t>
        </is>
      </c>
      <c r="H1623" t="inlineStr">
        <is>
          <t>No</t>
        </is>
      </c>
      <c r="I1623" t="inlineStr">
        <is>
          <t>No</t>
        </is>
      </c>
      <c r="J1623" t="inlineStr">
        <is>
          <t>0</t>
        </is>
      </c>
      <c r="K1623" t="inlineStr">
        <is>
          <t>Mariéjol, Jean-H. (Jean-Hippolyte), 1855-1934.</t>
        </is>
      </c>
      <c r="L1623" t="inlineStr">
        <is>
          <t>New Brunswick, N.J., Rutgers University Press [1961]</t>
        </is>
      </c>
      <c r="M1623" t="inlineStr">
        <is>
          <t>1961</t>
        </is>
      </c>
      <c r="O1623" t="inlineStr">
        <is>
          <t>eng</t>
        </is>
      </c>
      <c r="P1623" t="inlineStr">
        <is>
          <t>nju</t>
        </is>
      </c>
      <c r="R1623" t="inlineStr">
        <is>
          <t xml:space="preserve">DP </t>
        </is>
      </c>
      <c r="S1623" t="n">
        <v>2</v>
      </c>
      <c r="T1623" t="n">
        <v>2</v>
      </c>
      <c r="U1623" t="inlineStr">
        <is>
          <t>2005-04-27</t>
        </is>
      </c>
      <c r="V1623" t="inlineStr">
        <is>
          <t>2005-04-27</t>
        </is>
      </c>
      <c r="W1623" t="inlineStr">
        <is>
          <t>1997-02-13</t>
        </is>
      </c>
      <c r="X1623" t="inlineStr">
        <is>
          <t>1997-02-13</t>
        </is>
      </c>
      <c r="Y1623" t="n">
        <v>1085</v>
      </c>
      <c r="Z1623" t="n">
        <v>987</v>
      </c>
      <c r="AA1623" t="n">
        <v>989</v>
      </c>
      <c r="AB1623" t="n">
        <v>8</v>
      </c>
      <c r="AC1623" t="n">
        <v>8</v>
      </c>
      <c r="AD1623" t="n">
        <v>50</v>
      </c>
      <c r="AE1623" t="n">
        <v>50</v>
      </c>
      <c r="AF1623" t="n">
        <v>22</v>
      </c>
      <c r="AG1623" t="n">
        <v>22</v>
      </c>
      <c r="AH1623" t="n">
        <v>11</v>
      </c>
      <c r="AI1623" t="n">
        <v>11</v>
      </c>
      <c r="AJ1623" t="n">
        <v>23</v>
      </c>
      <c r="AK1623" t="n">
        <v>23</v>
      </c>
      <c r="AL1623" t="n">
        <v>7</v>
      </c>
      <c r="AM1623" t="n">
        <v>7</v>
      </c>
      <c r="AN1623" t="n">
        <v>0</v>
      </c>
      <c r="AO1623" t="n">
        <v>0</v>
      </c>
      <c r="AP1623" t="inlineStr">
        <is>
          <t>No</t>
        </is>
      </c>
      <c r="AQ1623" t="inlineStr">
        <is>
          <t>Yes</t>
        </is>
      </c>
      <c r="AR1623">
        <f>HYPERLINK("http://catalog.hathitrust.org/Record/001236670","HathiTrust Record")</f>
        <v/>
      </c>
      <c r="AS1623">
        <f>HYPERLINK("https://creighton-primo.hosted.exlibrisgroup.com/primo-explore/search?tab=default_tab&amp;search_scope=EVERYTHING&amp;vid=01CRU&amp;lang=en_US&amp;offset=0&amp;query=any,contains,991002699289702656","Catalog Record")</f>
        <v/>
      </c>
      <c r="AT1623">
        <f>HYPERLINK("http://www.worldcat.org/oclc/404920","WorldCat Record")</f>
        <v/>
      </c>
      <c r="AU1623" t="inlineStr">
        <is>
          <t>365741811:eng</t>
        </is>
      </c>
      <c r="AV1623" t="inlineStr">
        <is>
          <t>404920</t>
        </is>
      </c>
      <c r="AW1623" t="inlineStr">
        <is>
          <t>991002699289702656</t>
        </is>
      </c>
      <c r="AX1623" t="inlineStr">
        <is>
          <t>991002699289702656</t>
        </is>
      </c>
      <c r="AY1623" t="inlineStr">
        <is>
          <t>2260397140002656</t>
        </is>
      </c>
      <c r="AZ1623" t="inlineStr">
        <is>
          <t>BOOK</t>
        </is>
      </c>
      <c r="BC1623" t="inlineStr">
        <is>
          <t>32285002438074</t>
        </is>
      </c>
      <c r="BD1623" t="inlineStr">
        <is>
          <t>893610167</t>
        </is>
      </c>
    </row>
    <row r="1624">
      <c r="A1624" t="inlineStr">
        <is>
          <t>No</t>
        </is>
      </c>
      <c r="B1624" t="inlineStr">
        <is>
          <t>DP162 .P78 1963</t>
        </is>
      </c>
      <c r="C1624" t="inlineStr">
        <is>
          <t>0                      DP 0162000P  78          1963</t>
        </is>
      </c>
      <c r="D1624" t="inlineStr">
        <is>
          <t>Histories: the rise and decline of the Spanish Empire. [The essence of Ferdinand and Isabella. The conquest of Mexico, The conquest of Peru, and Philip II] Selected and edited and with a biographical introd. by Irwin R. Blacker.</t>
        </is>
      </c>
      <c r="F1624" t="inlineStr">
        <is>
          <t>No</t>
        </is>
      </c>
      <c r="G1624" t="inlineStr">
        <is>
          <t>1</t>
        </is>
      </c>
      <c r="H1624" t="inlineStr">
        <is>
          <t>No</t>
        </is>
      </c>
      <c r="I1624" t="inlineStr">
        <is>
          <t>No</t>
        </is>
      </c>
      <c r="J1624" t="inlineStr">
        <is>
          <t>0</t>
        </is>
      </c>
      <c r="K1624" t="inlineStr">
        <is>
          <t>Prescott, William Hickling, 1796-1859.</t>
        </is>
      </c>
      <c r="L1624" t="inlineStr">
        <is>
          <t>New York, Viking Press [1963]</t>
        </is>
      </c>
      <c r="M1624" t="inlineStr">
        <is>
          <t>1963</t>
        </is>
      </c>
      <c r="O1624" t="inlineStr">
        <is>
          <t>eng</t>
        </is>
      </c>
      <c r="P1624" t="inlineStr">
        <is>
          <t>nyu</t>
        </is>
      </c>
      <c r="R1624" t="inlineStr">
        <is>
          <t xml:space="preserve">DP </t>
        </is>
      </c>
      <c r="S1624" t="n">
        <v>0</v>
      </c>
      <c r="T1624" t="n">
        <v>0</v>
      </c>
      <c r="U1624" t="inlineStr">
        <is>
          <t>2009-11-05</t>
        </is>
      </c>
      <c r="V1624" t="inlineStr">
        <is>
          <t>2009-11-05</t>
        </is>
      </c>
      <c r="W1624" t="inlineStr">
        <is>
          <t>1996-08-02</t>
        </is>
      </c>
      <c r="X1624" t="inlineStr">
        <is>
          <t>1996-08-02</t>
        </is>
      </c>
      <c r="Y1624" t="n">
        <v>610</v>
      </c>
      <c r="Z1624" t="n">
        <v>582</v>
      </c>
      <c r="AA1624" t="n">
        <v>622</v>
      </c>
      <c r="AB1624" t="n">
        <v>6</v>
      </c>
      <c r="AC1624" t="n">
        <v>6</v>
      </c>
      <c r="AD1624" t="n">
        <v>18</v>
      </c>
      <c r="AE1624" t="n">
        <v>20</v>
      </c>
      <c r="AF1624" t="n">
        <v>7</v>
      </c>
      <c r="AG1624" t="n">
        <v>8</v>
      </c>
      <c r="AH1624" t="n">
        <v>3</v>
      </c>
      <c r="AI1624" t="n">
        <v>4</v>
      </c>
      <c r="AJ1624" t="n">
        <v>10</v>
      </c>
      <c r="AK1624" t="n">
        <v>10</v>
      </c>
      <c r="AL1624" t="n">
        <v>2</v>
      </c>
      <c r="AM1624" t="n">
        <v>2</v>
      </c>
      <c r="AN1624" t="n">
        <v>0</v>
      </c>
      <c r="AO1624" t="n">
        <v>0</v>
      </c>
      <c r="AP1624" t="inlineStr">
        <is>
          <t>No</t>
        </is>
      </c>
      <c r="AQ1624" t="inlineStr">
        <is>
          <t>Yes</t>
        </is>
      </c>
      <c r="AR1624">
        <f>HYPERLINK("http://catalog.hathitrust.org/Record/001236672","HathiTrust Record")</f>
        <v/>
      </c>
      <c r="AS1624">
        <f>HYPERLINK("https://creighton-primo.hosted.exlibrisgroup.com/primo-explore/search?tab=default_tab&amp;search_scope=EVERYTHING&amp;vid=01CRU&amp;lang=en_US&amp;offset=0&amp;query=any,contains,991005004729702656","Catalog Record")</f>
        <v/>
      </c>
      <c r="AT1624">
        <f>HYPERLINK("http://www.worldcat.org/oclc/6556127","WorldCat Record")</f>
        <v/>
      </c>
      <c r="AU1624" t="inlineStr">
        <is>
          <t>4724816642:eng</t>
        </is>
      </c>
      <c r="AV1624" t="inlineStr">
        <is>
          <t>6556127</t>
        </is>
      </c>
      <c r="AW1624" t="inlineStr">
        <is>
          <t>991005004729702656</t>
        </is>
      </c>
      <c r="AX1624" t="inlineStr">
        <is>
          <t>991005004729702656</t>
        </is>
      </c>
      <c r="AY1624" t="inlineStr">
        <is>
          <t>2257812280002656</t>
        </is>
      </c>
      <c r="AZ1624" t="inlineStr">
        <is>
          <t>BOOK</t>
        </is>
      </c>
      <c r="BC1624" t="inlineStr">
        <is>
          <t>32285002270121</t>
        </is>
      </c>
      <c r="BD1624" t="inlineStr">
        <is>
          <t>893536303</t>
        </is>
      </c>
    </row>
    <row r="1625">
      <c r="A1625" t="inlineStr">
        <is>
          <t>No</t>
        </is>
      </c>
      <c r="B1625" t="inlineStr">
        <is>
          <t>DP162 .P8 1889</t>
        </is>
      </c>
      <c r="C1625" t="inlineStr">
        <is>
          <t>0                      DP 0162000P  8           1889</t>
        </is>
      </c>
      <c r="D1625" t="inlineStr">
        <is>
          <t>History of the reign of Ferdinand and Isabella, the Catholic. Edited by John Foster Kirk.</t>
        </is>
      </c>
      <c r="F1625" t="inlineStr">
        <is>
          <t>No</t>
        </is>
      </c>
      <c r="G1625" t="inlineStr">
        <is>
          <t>1</t>
        </is>
      </c>
      <c r="H1625" t="inlineStr">
        <is>
          <t>No</t>
        </is>
      </c>
      <c r="I1625" t="inlineStr">
        <is>
          <t>Yes</t>
        </is>
      </c>
      <c r="J1625" t="inlineStr">
        <is>
          <t>0</t>
        </is>
      </c>
      <c r="K1625" t="inlineStr">
        <is>
          <t>Prescott, William Hickling, 1796-1859.</t>
        </is>
      </c>
      <c r="L1625" t="inlineStr">
        <is>
          <t>London, Swan Sonnenschein, 1889.</t>
        </is>
      </c>
      <c r="M1625" t="inlineStr">
        <is>
          <t>1889</t>
        </is>
      </c>
      <c r="N1625" t="inlineStr">
        <is>
          <t>New and rev. ed., with the autho's latest corrections and additions.</t>
        </is>
      </c>
      <c r="O1625" t="inlineStr">
        <is>
          <t>eng</t>
        </is>
      </c>
      <c r="P1625" t="inlineStr">
        <is>
          <t>enk</t>
        </is>
      </c>
      <c r="R1625" t="inlineStr">
        <is>
          <t xml:space="preserve">DP </t>
        </is>
      </c>
      <c r="S1625" t="n">
        <v>10</v>
      </c>
      <c r="T1625" t="n">
        <v>10</v>
      </c>
      <c r="U1625" t="inlineStr">
        <is>
          <t>2005-09-24</t>
        </is>
      </c>
      <c r="V1625" t="inlineStr">
        <is>
          <t>2005-09-24</t>
        </is>
      </c>
      <c r="W1625" t="inlineStr">
        <is>
          <t>1992-05-19</t>
        </is>
      </c>
      <c r="X1625" t="inlineStr">
        <is>
          <t>1992-05-19</t>
        </is>
      </c>
      <c r="Y1625" t="n">
        <v>19</v>
      </c>
      <c r="Z1625" t="n">
        <v>10</v>
      </c>
      <c r="AA1625" t="n">
        <v>1515</v>
      </c>
      <c r="AB1625" t="n">
        <v>1</v>
      </c>
      <c r="AC1625" t="n">
        <v>16</v>
      </c>
      <c r="AD1625" t="n">
        <v>1</v>
      </c>
      <c r="AE1625" t="n">
        <v>63</v>
      </c>
      <c r="AF1625" t="n">
        <v>0</v>
      </c>
      <c r="AG1625" t="n">
        <v>27</v>
      </c>
      <c r="AH1625" t="n">
        <v>0</v>
      </c>
      <c r="AI1625" t="n">
        <v>11</v>
      </c>
      <c r="AJ1625" t="n">
        <v>1</v>
      </c>
      <c r="AK1625" t="n">
        <v>26</v>
      </c>
      <c r="AL1625" t="n">
        <v>0</v>
      </c>
      <c r="AM1625" t="n">
        <v>12</v>
      </c>
      <c r="AN1625" t="n">
        <v>0</v>
      </c>
      <c r="AO1625" t="n">
        <v>1</v>
      </c>
      <c r="AP1625" t="inlineStr">
        <is>
          <t>No</t>
        </is>
      </c>
      <c r="AQ1625" t="inlineStr">
        <is>
          <t>No</t>
        </is>
      </c>
      <c r="AS1625">
        <f>HYPERLINK("https://creighton-primo.hosted.exlibrisgroup.com/primo-explore/search?tab=default_tab&amp;search_scope=EVERYTHING&amp;vid=01CRU&amp;lang=en_US&amp;offset=0&amp;query=any,contains,991003930739702656","Catalog Record")</f>
        <v/>
      </c>
      <c r="AT1625">
        <f>HYPERLINK("http://www.worldcat.org/oclc/1896007","WorldCat Record")</f>
        <v/>
      </c>
      <c r="AU1625" t="inlineStr">
        <is>
          <t>1541352:eng</t>
        </is>
      </c>
      <c r="AV1625" t="inlineStr">
        <is>
          <t>1896007</t>
        </is>
      </c>
      <c r="AW1625" t="inlineStr">
        <is>
          <t>991003930739702656</t>
        </is>
      </c>
      <c r="AX1625" t="inlineStr">
        <is>
          <t>991003930739702656</t>
        </is>
      </c>
      <c r="AY1625" t="inlineStr">
        <is>
          <t>2261201190002656</t>
        </is>
      </c>
      <c r="AZ1625" t="inlineStr">
        <is>
          <t>BOOK</t>
        </is>
      </c>
      <c r="BC1625" t="inlineStr">
        <is>
          <t>32285001053668</t>
        </is>
      </c>
      <c r="BD1625" t="inlineStr">
        <is>
          <t>893337139</t>
        </is>
      </c>
    </row>
    <row r="1626">
      <c r="A1626" t="inlineStr">
        <is>
          <t>No</t>
        </is>
      </c>
      <c r="B1626" t="inlineStr">
        <is>
          <t>DP163 .T3</t>
        </is>
      </c>
      <c r="C1626" t="inlineStr">
        <is>
          <t>0                      DP 0163000T  3</t>
        </is>
      </c>
      <c r="D1626" t="inlineStr">
        <is>
          <t>Isabel la Católica : estudio crítico de su vida y su reinado.</t>
        </is>
      </c>
      <c r="F1626" t="inlineStr">
        <is>
          <t>No</t>
        </is>
      </c>
      <c r="G1626" t="inlineStr">
        <is>
          <t>1</t>
        </is>
      </c>
      <c r="H1626" t="inlineStr">
        <is>
          <t>No</t>
        </is>
      </c>
      <c r="I1626" t="inlineStr">
        <is>
          <t>No</t>
        </is>
      </c>
      <c r="J1626" t="inlineStr">
        <is>
          <t>0</t>
        </is>
      </c>
      <c r="K1626" t="inlineStr">
        <is>
          <t>Azcona, Tarsicio de, 1923-</t>
        </is>
      </c>
      <c r="L1626" t="inlineStr">
        <is>
          <t>Madrid : [Editorial Católica], 1964.</t>
        </is>
      </c>
      <c r="M1626" t="inlineStr">
        <is>
          <t>1964</t>
        </is>
      </c>
      <c r="O1626" t="inlineStr">
        <is>
          <t>spa</t>
        </is>
      </c>
      <c r="P1626" t="inlineStr">
        <is>
          <t xml:space="preserve">xx </t>
        </is>
      </c>
      <c r="Q1626" t="inlineStr">
        <is>
          <t>Biblioteca de autores cristianos, 237. Sección 5, Historia y hagiografia</t>
        </is>
      </c>
      <c r="R1626" t="inlineStr">
        <is>
          <t xml:space="preserve">DP </t>
        </is>
      </c>
      <c r="S1626" t="n">
        <v>4</v>
      </c>
      <c r="T1626" t="n">
        <v>4</v>
      </c>
      <c r="U1626" t="inlineStr">
        <is>
          <t>2000-02-22</t>
        </is>
      </c>
      <c r="V1626" t="inlineStr">
        <is>
          <t>2000-02-22</t>
        </is>
      </c>
      <c r="W1626" t="inlineStr">
        <is>
          <t>1993-05-10</t>
        </is>
      </c>
      <c r="X1626" t="inlineStr">
        <is>
          <t>1993-05-10</t>
        </is>
      </c>
      <c r="Y1626" t="n">
        <v>141</v>
      </c>
      <c r="Z1626" t="n">
        <v>100</v>
      </c>
      <c r="AA1626" t="n">
        <v>104</v>
      </c>
      <c r="AB1626" t="n">
        <v>2</v>
      </c>
      <c r="AC1626" t="n">
        <v>2</v>
      </c>
      <c r="AD1626" t="n">
        <v>9</v>
      </c>
      <c r="AE1626" t="n">
        <v>10</v>
      </c>
      <c r="AF1626" t="n">
        <v>1</v>
      </c>
      <c r="AG1626" t="n">
        <v>1</v>
      </c>
      <c r="AH1626" t="n">
        <v>2</v>
      </c>
      <c r="AI1626" t="n">
        <v>3</v>
      </c>
      <c r="AJ1626" t="n">
        <v>7</v>
      </c>
      <c r="AK1626" t="n">
        <v>7</v>
      </c>
      <c r="AL1626" t="n">
        <v>1</v>
      </c>
      <c r="AM1626" t="n">
        <v>1</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HYPERLINK("https://creighton-primo.hosted.exlibrisgroup.com/primo-explore/search?tab=default_tab&amp;search_scope=EVERYTHING&amp;vid=01CRU&amp;lang=en_US&amp;offset=0&amp;query=any,contains,991003257139702656","Catalog Record")</f>
        <v/>
      </c>
      <c r="AT1626">
        <f>HYPERLINK("http://www.worldcat.org/oclc/782884","WorldCat Record")</f>
        <v/>
      </c>
      <c r="AU1626" t="inlineStr">
        <is>
          <t>9278175181:spa</t>
        </is>
      </c>
      <c r="AV1626" t="inlineStr">
        <is>
          <t>782884</t>
        </is>
      </c>
      <c r="AW1626" t="inlineStr">
        <is>
          <t>991003257139702656</t>
        </is>
      </c>
      <c r="AX1626" t="inlineStr">
        <is>
          <t>991003257139702656</t>
        </is>
      </c>
      <c r="AY1626" t="inlineStr">
        <is>
          <t>2263601210002656</t>
        </is>
      </c>
      <c r="AZ1626" t="inlineStr">
        <is>
          <t>BOOK</t>
        </is>
      </c>
      <c r="BC1626" t="inlineStr">
        <is>
          <t>32285001652733</t>
        </is>
      </c>
      <c r="BD1626" t="inlineStr">
        <is>
          <t>893518302</t>
        </is>
      </c>
    </row>
    <row r="1627">
      <c r="A1627" t="inlineStr">
        <is>
          <t>No</t>
        </is>
      </c>
      <c r="B1627" t="inlineStr">
        <is>
          <t>DP163 .W3</t>
        </is>
      </c>
      <c r="C1627" t="inlineStr">
        <is>
          <t>0                      DP 0163000W  3</t>
        </is>
      </c>
      <c r="D1627" t="inlineStr">
        <is>
          <t>Isabella of Spain : the last crusader / by William Thomas Walsh.</t>
        </is>
      </c>
      <c r="F1627" t="inlineStr">
        <is>
          <t>No</t>
        </is>
      </c>
      <c r="G1627" t="inlineStr">
        <is>
          <t>1</t>
        </is>
      </c>
      <c r="H1627" t="inlineStr">
        <is>
          <t>No</t>
        </is>
      </c>
      <c r="I1627" t="inlineStr">
        <is>
          <t>No</t>
        </is>
      </c>
      <c r="J1627" t="inlineStr">
        <is>
          <t>0</t>
        </is>
      </c>
      <c r="K1627" t="inlineStr">
        <is>
          <t>Walsh, William Thomas, 1891-1949.</t>
        </is>
      </c>
      <c r="L1627" t="inlineStr">
        <is>
          <t>New York : R. M. McBride &amp; Company, 1930.</t>
        </is>
      </c>
      <c r="M1627" t="inlineStr">
        <is>
          <t>1930</t>
        </is>
      </c>
      <c r="O1627" t="inlineStr">
        <is>
          <t>eng</t>
        </is>
      </c>
      <c r="P1627" t="inlineStr">
        <is>
          <t xml:space="preserve">xx </t>
        </is>
      </c>
      <c r="R1627" t="inlineStr">
        <is>
          <t xml:space="preserve">DP </t>
        </is>
      </c>
      <c r="S1627" t="n">
        <v>3</v>
      </c>
      <c r="T1627" t="n">
        <v>3</v>
      </c>
      <c r="U1627" t="inlineStr">
        <is>
          <t>2008-09-19</t>
        </is>
      </c>
      <c r="V1627" t="inlineStr">
        <is>
          <t>2008-09-19</t>
        </is>
      </c>
      <c r="W1627" t="inlineStr">
        <is>
          <t>1992-04-24</t>
        </is>
      </c>
      <c r="X1627" t="inlineStr">
        <is>
          <t>1992-04-24</t>
        </is>
      </c>
      <c r="Y1627" t="n">
        <v>363</v>
      </c>
      <c r="Z1627" t="n">
        <v>351</v>
      </c>
      <c r="AA1627" t="n">
        <v>842</v>
      </c>
      <c r="AB1627" t="n">
        <v>2</v>
      </c>
      <c r="AC1627" t="n">
        <v>7</v>
      </c>
      <c r="AD1627" t="n">
        <v>24</v>
      </c>
      <c r="AE1627" t="n">
        <v>42</v>
      </c>
      <c r="AF1627" t="n">
        <v>7</v>
      </c>
      <c r="AG1627" t="n">
        <v>13</v>
      </c>
      <c r="AH1627" t="n">
        <v>8</v>
      </c>
      <c r="AI1627" t="n">
        <v>11</v>
      </c>
      <c r="AJ1627" t="n">
        <v>16</v>
      </c>
      <c r="AK1627" t="n">
        <v>22</v>
      </c>
      <c r="AL1627" t="n">
        <v>1</v>
      </c>
      <c r="AM1627" t="n">
        <v>5</v>
      </c>
      <c r="AN1627" t="n">
        <v>0</v>
      </c>
      <c r="AO1627" t="n">
        <v>1</v>
      </c>
      <c r="AP1627" t="inlineStr">
        <is>
          <t>Yes</t>
        </is>
      </c>
      <c r="AQ1627" t="inlineStr">
        <is>
          <t>No</t>
        </is>
      </c>
      <c r="AR1627">
        <f>HYPERLINK("http://catalog.hathitrust.org/Record/007124578","HathiTrust Record")</f>
        <v/>
      </c>
      <c r="AS1627">
        <f>HYPERLINK("https://creighton-primo.hosted.exlibrisgroup.com/primo-explore/search?tab=default_tab&amp;search_scope=EVERYTHING&amp;vid=01CRU&amp;lang=en_US&amp;offset=0&amp;query=any,contains,991002733279702656","Catalog Record")</f>
        <v/>
      </c>
      <c r="AT1627">
        <f>HYPERLINK("http://www.worldcat.org/oclc/418107","WorldCat Record")</f>
        <v/>
      </c>
      <c r="AU1627" t="inlineStr">
        <is>
          <t>14678643:eng</t>
        </is>
      </c>
      <c r="AV1627" t="inlineStr">
        <is>
          <t>418107</t>
        </is>
      </c>
      <c r="AW1627" t="inlineStr">
        <is>
          <t>991002733279702656</t>
        </is>
      </c>
      <c r="AX1627" t="inlineStr">
        <is>
          <t>991002733279702656</t>
        </is>
      </c>
      <c r="AY1627" t="inlineStr">
        <is>
          <t>2261106600002656</t>
        </is>
      </c>
      <c r="AZ1627" t="inlineStr">
        <is>
          <t>BOOK</t>
        </is>
      </c>
      <c r="BC1627" t="inlineStr">
        <is>
          <t>32285001086825</t>
        </is>
      </c>
      <c r="BD1627" t="inlineStr">
        <is>
          <t>893716851</t>
        </is>
      </c>
    </row>
    <row r="1628">
      <c r="A1628" t="inlineStr">
        <is>
          <t>No</t>
        </is>
      </c>
      <c r="B1628" t="inlineStr">
        <is>
          <t>DP164 .A14 1992</t>
        </is>
      </c>
      <c r="C1628" t="inlineStr">
        <is>
          <t>0                      DP 0164000A  14          1992</t>
        </is>
      </c>
      <c r="D1628" t="inlineStr">
        <is>
          <t>1492.</t>
        </is>
      </c>
      <c r="F1628" t="inlineStr">
        <is>
          <t>No</t>
        </is>
      </c>
      <c r="G1628" t="inlineStr">
        <is>
          <t>1</t>
        </is>
      </c>
      <c r="H1628" t="inlineStr">
        <is>
          <t>No</t>
        </is>
      </c>
      <c r="I1628" t="inlineStr">
        <is>
          <t>No</t>
        </is>
      </c>
      <c r="J1628" t="inlineStr">
        <is>
          <t>0</t>
        </is>
      </c>
      <c r="L1628" t="inlineStr">
        <is>
          <t>[New York, N.Y.] : Wethersfield Institute, [1992?]</t>
        </is>
      </c>
      <c r="M1628" t="inlineStr">
        <is>
          <t>1992</t>
        </is>
      </c>
      <c r="O1628" t="inlineStr">
        <is>
          <t>eng</t>
        </is>
      </c>
      <c r="P1628" t="inlineStr">
        <is>
          <t>nyu</t>
        </is>
      </c>
      <c r="R1628" t="inlineStr">
        <is>
          <t xml:space="preserve">DP </t>
        </is>
      </c>
      <c r="S1628" t="n">
        <v>9</v>
      </c>
      <c r="T1628" t="n">
        <v>9</v>
      </c>
      <c r="U1628" t="inlineStr">
        <is>
          <t>1996-09-16</t>
        </is>
      </c>
      <c r="V1628" t="inlineStr">
        <is>
          <t>1996-09-16</t>
        </is>
      </c>
      <c r="W1628" t="inlineStr">
        <is>
          <t>1994-07-27</t>
        </is>
      </c>
      <c r="X1628" t="inlineStr">
        <is>
          <t>1994-07-27</t>
        </is>
      </c>
      <c r="Y1628" t="n">
        <v>64</v>
      </c>
      <c r="Z1628" t="n">
        <v>64</v>
      </c>
      <c r="AA1628" t="n">
        <v>64</v>
      </c>
      <c r="AB1628" t="n">
        <v>2</v>
      </c>
      <c r="AC1628" t="n">
        <v>2</v>
      </c>
      <c r="AD1628" t="n">
        <v>12</v>
      </c>
      <c r="AE1628" t="n">
        <v>12</v>
      </c>
      <c r="AF1628" t="n">
        <v>4</v>
      </c>
      <c r="AG1628" t="n">
        <v>4</v>
      </c>
      <c r="AH1628" t="n">
        <v>2</v>
      </c>
      <c r="AI1628" t="n">
        <v>2</v>
      </c>
      <c r="AJ1628" t="n">
        <v>10</v>
      </c>
      <c r="AK1628" t="n">
        <v>10</v>
      </c>
      <c r="AL1628" t="n">
        <v>0</v>
      </c>
      <c r="AM1628" t="n">
        <v>0</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HYPERLINK("https://creighton-primo.hosted.exlibrisgroup.com/primo-explore/search?tab=default_tab&amp;search_scope=EVERYTHING&amp;vid=01CRU&amp;lang=en_US&amp;offset=0&amp;query=any,contains,991002334129702656","Catalog Record")</f>
        <v/>
      </c>
      <c r="AT1628">
        <f>HYPERLINK("http://www.worldcat.org/oclc/30371847","WorldCat Record")</f>
        <v/>
      </c>
      <c r="AU1628" t="inlineStr">
        <is>
          <t>55818603:eng</t>
        </is>
      </c>
      <c r="AV1628" t="inlineStr">
        <is>
          <t>30371847</t>
        </is>
      </c>
      <c r="AW1628" t="inlineStr">
        <is>
          <t>991002334129702656</t>
        </is>
      </c>
      <c r="AX1628" t="inlineStr">
        <is>
          <t>991002334129702656</t>
        </is>
      </c>
      <c r="AY1628" t="inlineStr">
        <is>
          <t>2256812080002656</t>
        </is>
      </c>
      <c r="AZ1628" t="inlineStr">
        <is>
          <t>BOOK</t>
        </is>
      </c>
      <c r="BC1628" t="inlineStr">
        <is>
          <t>32285001918944</t>
        </is>
      </c>
      <c r="BD1628" t="inlineStr">
        <is>
          <t>893879786</t>
        </is>
      </c>
    </row>
    <row r="1629">
      <c r="A1629" t="inlineStr">
        <is>
          <t>No</t>
        </is>
      </c>
      <c r="B1629" t="inlineStr">
        <is>
          <t>DP164 .E39 2000</t>
        </is>
      </c>
      <c r="C1629" t="inlineStr">
        <is>
          <t>0                      DP 0164000E  39          2000</t>
        </is>
      </c>
      <c r="D1629" t="inlineStr">
        <is>
          <t>The Spain of the Catholic Monarchs, 1474-1520 / John Edwards.</t>
        </is>
      </c>
      <c r="F1629" t="inlineStr">
        <is>
          <t>No</t>
        </is>
      </c>
      <c r="G1629" t="inlineStr">
        <is>
          <t>1</t>
        </is>
      </c>
      <c r="H1629" t="inlineStr">
        <is>
          <t>No</t>
        </is>
      </c>
      <c r="I1629" t="inlineStr">
        <is>
          <t>No</t>
        </is>
      </c>
      <c r="J1629" t="inlineStr">
        <is>
          <t>0</t>
        </is>
      </c>
      <c r="K1629" t="inlineStr">
        <is>
          <t>Edwards, John, 1949-</t>
        </is>
      </c>
      <c r="L1629" t="inlineStr">
        <is>
          <t>Malden, Mass. : Blackwell Publishers, 2000.</t>
        </is>
      </c>
      <c r="M1629" t="inlineStr">
        <is>
          <t>2000</t>
        </is>
      </c>
      <c r="O1629" t="inlineStr">
        <is>
          <t>eng</t>
        </is>
      </c>
      <c r="P1629" t="inlineStr">
        <is>
          <t>mau</t>
        </is>
      </c>
      <c r="Q1629" t="inlineStr">
        <is>
          <t>A history of Spain</t>
        </is>
      </c>
      <c r="R1629" t="inlineStr">
        <is>
          <t xml:space="preserve">DP </t>
        </is>
      </c>
      <c r="S1629" t="n">
        <v>6</v>
      </c>
      <c r="T1629" t="n">
        <v>6</v>
      </c>
      <c r="U1629" t="inlineStr">
        <is>
          <t>2005-03-02</t>
        </is>
      </c>
      <c r="V1629" t="inlineStr">
        <is>
          <t>2005-03-02</t>
        </is>
      </c>
      <c r="W1629" t="inlineStr">
        <is>
          <t>2002-01-07</t>
        </is>
      </c>
      <c r="X1629" t="inlineStr">
        <is>
          <t>2002-01-07</t>
        </is>
      </c>
      <c r="Y1629" t="n">
        <v>561</v>
      </c>
      <c r="Z1629" t="n">
        <v>461</v>
      </c>
      <c r="AA1629" t="n">
        <v>476</v>
      </c>
      <c r="AB1629" t="n">
        <v>3</v>
      </c>
      <c r="AC1629" t="n">
        <v>3</v>
      </c>
      <c r="AD1629" t="n">
        <v>31</v>
      </c>
      <c r="AE1629" t="n">
        <v>33</v>
      </c>
      <c r="AF1629" t="n">
        <v>14</v>
      </c>
      <c r="AG1629" t="n">
        <v>15</v>
      </c>
      <c r="AH1629" t="n">
        <v>8</v>
      </c>
      <c r="AI1629" t="n">
        <v>9</v>
      </c>
      <c r="AJ1629" t="n">
        <v>15</v>
      </c>
      <c r="AK1629" t="n">
        <v>16</v>
      </c>
      <c r="AL1629" t="n">
        <v>2</v>
      </c>
      <c r="AM1629" t="n">
        <v>2</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HYPERLINK("https://creighton-primo.hosted.exlibrisgroup.com/primo-explore/search?tab=default_tab&amp;search_scope=EVERYTHING&amp;vid=01CRU&amp;lang=en_US&amp;offset=0&amp;query=any,contains,991003692349702656","Catalog Record")</f>
        <v/>
      </c>
      <c r="AT1629">
        <f>HYPERLINK("http://www.worldcat.org/oclc/44128268","WorldCat Record")</f>
        <v/>
      </c>
      <c r="AU1629" t="inlineStr">
        <is>
          <t>967893:eng</t>
        </is>
      </c>
      <c r="AV1629" t="inlineStr">
        <is>
          <t>44128268</t>
        </is>
      </c>
      <c r="AW1629" t="inlineStr">
        <is>
          <t>991003692349702656</t>
        </is>
      </c>
      <c r="AX1629" t="inlineStr">
        <is>
          <t>991003692349702656</t>
        </is>
      </c>
      <c r="AY1629" t="inlineStr">
        <is>
          <t>2264447920002656</t>
        </is>
      </c>
      <c r="AZ1629" t="inlineStr">
        <is>
          <t>BOOK</t>
        </is>
      </c>
      <c r="BB1629" t="inlineStr">
        <is>
          <t>9780631161653</t>
        </is>
      </c>
      <c r="BC1629" t="inlineStr">
        <is>
          <t>32285004445804</t>
        </is>
      </c>
      <c r="BD1629" t="inlineStr">
        <is>
          <t>893441602</t>
        </is>
      </c>
    </row>
    <row r="1630">
      <c r="A1630" t="inlineStr">
        <is>
          <t>No</t>
        </is>
      </c>
      <c r="B1630" t="inlineStr">
        <is>
          <t>DP171 .L9</t>
        </is>
      </c>
      <c r="C1630" t="inlineStr">
        <is>
          <t>0                      DP 0171000L  9</t>
        </is>
      </c>
      <c r="D1630" t="inlineStr">
        <is>
          <t>Spain under the Habsburgs.</t>
        </is>
      </c>
      <c r="E1630" t="inlineStr">
        <is>
          <t>V.1</t>
        </is>
      </c>
      <c r="F1630" t="inlineStr">
        <is>
          <t>Yes</t>
        </is>
      </c>
      <c r="G1630" t="inlineStr">
        <is>
          <t>1</t>
        </is>
      </c>
      <c r="H1630" t="inlineStr">
        <is>
          <t>No</t>
        </is>
      </c>
      <c r="I1630" t="inlineStr">
        <is>
          <t>No</t>
        </is>
      </c>
      <c r="J1630" t="inlineStr">
        <is>
          <t>0</t>
        </is>
      </c>
      <c r="K1630" t="inlineStr">
        <is>
          <t>Lynch, John, 1927-</t>
        </is>
      </c>
      <c r="L1630" t="inlineStr">
        <is>
          <t>New York : Oxford University Press, 1964-</t>
        </is>
      </c>
      <c r="M1630" t="inlineStr">
        <is>
          <t>1964</t>
        </is>
      </c>
      <c r="O1630" t="inlineStr">
        <is>
          <t>eng</t>
        </is>
      </c>
      <c r="P1630" t="inlineStr">
        <is>
          <t>nyu</t>
        </is>
      </c>
      <c r="R1630" t="inlineStr">
        <is>
          <t xml:space="preserve">DP </t>
        </is>
      </c>
      <c r="S1630" t="n">
        <v>7</v>
      </c>
      <c r="T1630" t="n">
        <v>17</v>
      </c>
      <c r="U1630" t="inlineStr">
        <is>
          <t>1997-02-13</t>
        </is>
      </c>
      <c r="V1630" t="inlineStr">
        <is>
          <t>1999-11-29</t>
        </is>
      </c>
      <c r="W1630" t="inlineStr">
        <is>
          <t>1991-09-20</t>
        </is>
      </c>
      <c r="X1630" t="inlineStr">
        <is>
          <t>1991-09-20</t>
        </is>
      </c>
      <c r="Y1630" t="n">
        <v>887</v>
      </c>
      <c r="Z1630" t="n">
        <v>845</v>
      </c>
      <c r="AA1630" t="n">
        <v>1228</v>
      </c>
      <c r="AB1630" t="n">
        <v>7</v>
      </c>
      <c r="AC1630" t="n">
        <v>9</v>
      </c>
      <c r="AD1630" t="n">
        <v>40</v>
      </c>
      <c r="AE1630" t="n">
        <v>52</v>
      </c>
      <c r="AF1630" t="n">
        <v>16</v>
      </c>
      <c r="AG1630" t="n">
        <v>23</v>
      </c>
      <c r="AH1630" t="n">
        <v>8</v>
      </c>
      <c r="AI1630" t="n">
        <v>11</v>
      </c>
      <c r="AJ1630" t="n">
        <v>19</v>
      </c>
      <c r="AK1630" t="n">
        <v>23</v>
      </c>
      <c r="AL1630" t="n">
        <v>6</v>
      </c>
      <c r="AM1630" t="n">
        <v>8</v>
      </c>
      <c r="AN1630" t="n">
        <v>0</v>
      </c>
      <c r="AO1630" t="n">
        <v>0</v>
      </c>
      <c r="AP1630" t="inlineStr">
        <is>
          <t>No</t>
        </is>
      </c>
      <c r="AQ1630" t="inlineStr">
        <is>
          <t>Yes</t>
        </is>
      </c>
      <c r="AR1630">
        <f>HYPERLINK("http://catalog.hathitrust.org/Record/001245895","HathiTrust Record")</f>
        <v/>
      </c>
      <c r="AS1630">
        <f>HYPERLINK("https://creighton-primo.hosted.exlibrisgroup.com/primo-explore/search?tab=default_tab&amp;search_scope=EVERYTHING&amp;vid=01CRU&amp;lang=en_US&amp;offset=0&amp;query=any,contains,991002144409702656","Catalog Record")</f>
        <v/>
      </c>
      <c r="AT1630">
        <f>HYPERLINK("http://www.worldcat.org/oclc/271254","WorldCat Record")</f>
        <v/>
      </c>
      <c r="AU1630" t="inlineStr">
        <is>
          <t>4160299452:eng</t>
        </is>
      </c>
      <c r="AV1630" t="inlineStr">
        <is>
          <t>271254</t>
        </is>
      </c>
      <c r="AW1630" t="inlineStr">
        <is>
          <t>991002144409702656</t>
        </is>
      </c>
      <c r="AX1630" t="inlineStr">
        <is>
          <t>991002144409702656</t>
        </is>
      </c>
      <c r="AY1630" t="inlineStr">
        <is>
          <t>2261936620002656</t>
        </is>
      </c>
      <c r="AZ1630" t="inlineStr">
        <is>
          <t>BOOK</t>
        </is>
      </c>
      <c r="BC1630" t="inlineStr">
        <is>
          <t>32285000652643</t>
        </is>
      </c>
      <c r="BD1630" t="inlineStr">
        <is>
          <t>893697403</t>
        </is>
      </c>
    </row>
    <row r="1631">
      <c r="A1631" t="inlineStr">
        <is>
          <t>No</t>
        </is>
      </c>
      <c r="B1631" t="inlineStr">
        <is>
          <t>DP171 .L9</t>
        </is>
      </c>
      <c r="C1631" t="inlineStr">
        <is>
          <t>0                      DP 0171000L  9</t>
        </is>
      </c>
      <c r="D1631" t="inlineStr">
        <is>
          <t>Spain under the Habsburgs.</t>
        </is>
      </c>
      <c r="E1631" t="inlineStr">
        <is>
          <t>V.2</t>
        </is>
      </c>
      <c r="F1631" t="inlineStr">
        <is>
          <t>Yes</t>
        </is>
      </c>
      <c r="G1631" t="inlineStr">
        <is>
          <t>1</t>
        </is>
      </c>
      <c r="H1631" t="inlineStr">
        <is>
          <t>No</t>
        </is>
      </c>
      <c r="I1631" t="inlineStr">
        <is>
          <t>No</t>
        </is>
      </c>
      <c r="J1631" t="inlineStr">
        <is>
          <t>0</t>
        </is>
      </c>
      <c r="K1631" t="inlineStr">
        <is>
          <t>Lynch, John, 1927-</t>
        </is>
      </c>
      <c r="L1631" t="inlineStr">
        <is>
          <t>New York : Oxford University Press, 1964-</t>
        </is>
      </c>
      <c r="M1631" t="inlineStr">
        <is>
          <t>1964</t>
        </is>
      </c>
      <c r="O1631" t="inlineStr">
        <is>
          <t>eng</t>
        </is>
      </c>
      <c r="P1631" t="inlineStr">
        <is>
          <t>nyu</t>
        </is>
      </c>
      <c r="R1631" t="inlineStr">
        <is>
          <t xml:space="preserve">DP </t>
        </is>
      </c>
      <c r="S1631" t="n">
        <v>10</v>
      </c>
      <c r="T1631" t="n">
        <v>17</v>
      </c>
      <c r="U1631" t="inlineStr">
        <is>
          <t>1999-11-29</t>
        </is>
      </c>
      <c r="V1631" t="inlineStr">
        <is>
          <t>1999-11-29</t>
        </is>
      </c>
      <c r="W1631" t="inlineStr">
        <is>
          <t>1990-04-18</t>
        </is>
      </c>
      <c r="X1631" t="inlineStr">
        <is>
          <t>1991-09-20</t>
        </is>
      </c>
      <c r="Y1631" t="n">
        <v>887</v>
      </c>
      <c r="Z1631" t="n">
        <v>845</v>
      </c>
      <c r="AA1631" t="n">
        <v>1228</v>
      </c>
      <c r="AB1631" t="n">
        <v>7</v>
      </c>
      <c r="AC1631" t="n">
        <v>9</v>
      </c>
      <c r="AD1631" t="n">
        <v>40</v>
      </c>
      <c r="AE1631" t="n">
        <v>52</v>
      </c>
      <c r="AF1631" t="n">
        <v>16</v>
      </c>
      <c r="AG1631" t="n">
        <v>23</v>
      </c>
      <c r="AH1631" t="n">
        <v>8</v>
      </c>
      <c r="AI1631" t="n">
        <v>11</v>
      </c>
      <c r="AJ1631" t="n">
        <v>19</v>
      </c>
      <c r="AK1631" t="n">
        <v>23</v>
      </c>
      <c r="AL1631" t="n">
        <v>6</v>
      </c>
      <c r="AM1631" t="n">
        <v>8</v>
      </c>
      <c r="AN1631" t="n">
        <v>0</v>
      </c>
      <c r="AO1631" t="n">
        <v>0</v>
      </c>
      <c r="AP1631" t="inlineStr">
        <is>
          <t>No</t>
        </is>
      </c>
      <c r="AQ1631" t="inlineStr">
        <is>
          <t>Yes</t>
        </is>
      </c>
      <c r="AR1631">
        <f>HYPERLINK("http://catalog.hathitrust.org/Record/001245895","HathiTrust Record")</f>
        <v/>
      </c>
      <c r="AS1631">
        <f>HYPERLINK("https://creighton-primo.hosted.exlibrisgroup.com/primo-explore/search?tab=default_tab&amp;search_scope=EVERYTHING&amp;vid=01CRU&amp;lang=en_US&amp;offset=0&amp;query=any,contains,991002144409702656","Catalog Record")</f>
        <v/>
      </c>
      <c r="AT1631">
        <f>HYPERLINK("http://www.worldcat.org/oclc/271254","WorldCat Record")</f>
        <v/>
      </c>
      <c r="AU1631" t="inlineStr">
        <is>
          <t>4160299452:eng</t>
        </is>
      </c>
      <c r="AV1631" t="inlineStr">
        <is>
          <t>271254</t>
        </is>
      </c>
      <c r="AW1631" t="inlineStr">
        <is>
          <t>991002144409702656</t>
        </is>
      </c>
      <c r="AX1631" t="inlineStr">
        <is>
          <t>991002144409702656</t>
        </is>
      </c>
      <c r="AY1631" t="inlineStr">
        <is>
          <t>2261936620002656</t>
        </is>
      </c>
      <c r="AZ1631" t="inlineStr">
        <is>
          <t>BOOK</t>
        </is>
      </c>
      <c r="BC1631" t="inlineStr">
        <is>
          <t>32285000116243</t>
        </is>
      </c>
      <c r="BD1631" t="inlineStr">
        <is>
          <t>893716106</t>
        </is>
      </c>
    </row>
    <row r="1632">
      <c r="A1632" t="inlineStr">
        <is>
          <t>No</t>
        </is>
      </c>
      <c r="B1632" t="inlineStr">
        <is>
          <t>DP171 .S3 1971</t>
        </is>
      </c>
      <c r="C1632" t="inlineStr">
        <is>
          <t>0                      DP 0171000S  3           1971</t>
        </is>
      </c>
      <c r="D1632" t="inlineStr">
        <is>
          <t>Imperial Spain : the rise of the empire and the dawn of modern sea-power.</t>
        </is>
      </c>
      <c r="F1632" t="inlineStr">
        <is>
          <t>No</t>
        </is>
      </c>
      <c r="G1632" t="inlineStr">
        <is>
          <t>1</t>
        </is>
      </c>
      <c r="H1632" t="inlineStr">
        <is>
          <t>No</t>
        </is>
      </c>
      <c r="I1632" t="inlineStr">
        <is>
          <t>No</t>
        </is>
      </c>
      <c r="J1632" t="inlineStr">
        <is>
          <t>0</t>
        </is>
      </c>
      <c r="K1632" t="inlineStr">
        <is>
          <t>Salmon, Edward Dwight.</t>
        </is>
      </c>
      <c r="L1632" t="inlineStr">
        <is>
          <t>Westport, Conn. : Greenwood Press, [1971, c1931]</t>
        </is>
      </c>
      <c r="M1632" t="inlineStr">
        <is>
          <t>1971</t>
        </is>
      </c>
      <c r="O1632" t="inlineStr">
        <is>
          <t>eng</t>
        </is>
      </c>
      <c r="P1632" t="inlineStr">
        <is>
          <t>ctu</t>
        </is>
      </c>
      <c r="R1632" t="inlineStr">
        <is>
          <t xml:space="preserve">DP </t>
        </is>
      </c>
      <c r="S1632" t="n">
        <v>1</v>
      </c>
      <c r="T1632" t="n">
        <v>1</v>
      </c>
      <c r="U1632" t="inlineStr">
        <is>
          <t>2000-11-05</t>
        </is>
      </c>
      <c r="V1632" t="inlineStr">
        <is>
          <t>2000-11-05</t>
        </is>
      </c>
      <c r="W1632" t="inlineStr">
        <is>
          <t>1992-12-02</t>
        </is>
      </c>
      <c r="X1632" t="inlineStr">
        <is>
          <t>1992-12-02</t>
        </is>
      </c>
      <c r="Y1632" t="n">
        <v>125</v>
      </c>
      <c r="Z1632" t="n">
        <v>105</v>
      </c>
      <c r="AA1632" t="n">
        <v>468</v>
      </c>
      <c r="AB1632" t="n">
        <v>1</v>
      </c>
      <c r="AC1632" t="n">
        <v>5</v>
      </c>
      <c r="AD1632" t="n">
        <v>6</v>
      </c>
      <c r="AE1632" t="n">
        <v>20</v>
      </c>
      <c r="AF1632" t="n">
        <v>2</v>
      </c>
      <c r="AG1632" t="n">
        <v>7</v>
      </c>
      <c r="AH1632" t="n">
        <v>3</v>
      </c>
      <c r="AI1632" t="n">
        <v>6</v>
      </c>
      <c r="AJ1632" t="n">
        <v>2</v>
      </c>
      <c r="AK1632" t="n">
        <v>8</v>
      </c>
      <c r="AL1632" t="n">
        <v>0</v>
      </c>
      <c r="AM1632" t="n">
        <v>4</v>
      </c>
      <c r="AN1632" t="n">
        <v>0</v>
      </c>
      <c r="AO1632" t="n">
        <v>0</v>
      </c>
      <c r="AP1632" t="inlineStr">
        <is>
          <t>No</t>
        </is>
      </c>
      <c r="AQ1632" t="inlineStr">
        <is>
          <t>No</t>
        </is>
      </c>
      <c r="AS1632">
        <f>HYPERLINK("https://creighton-primo.hosted.exlibrisgroup.com/primo-explore/search?tab=default_tab&amp;search_scope=EVERYTHING&amp;vid=01CRU&amp;lang=en_US&amp;offset=0&amp;query=any,contains,991001354599702656","Catalog Record")</f>
        <v/>
      </c>
      <c r="AT1632">
        <f>HYPERLINK("http://www.worldcat.org/oclc/221633","WorldCat Record")</f>
        <v/>
      </c>
      <c r="AU1632" t="inlineStr">
        <is>
          <t>197656597:eng</t>
        </is>
      </c>
      <c r="AV1632" t="inlineStr">
        <is>
          <t>221633</t>
        </is>
      </c>
      <c r="AW1632" t="inlineStr">
        <is>
          <t>991001354599702656</t>
        </is>
      </c>
      <c r="AX1632" t="inlineStr">
        <is>
          <t>991001354599702656</t>
        </is>
      </c>
      <c r="AY1632" t="inlineStr">
        <is>
          <t>2258453280002656</t>
        </is>
      </c>
      <c r="AZ1632" t="inlineStr">
        <is>
          <t>BOOK</t>
        </is>
      </c>
      <c r="BB1632" t="inlineStr">
        <is>
          <t>9780837157641</t>
        </is>
      </c>
      <c r="BC1632" t="inlineStr">
        <is>
          <t>32285001411510</t>
        </is>
      </c>
      <c r="BD1632" t="inlineStr">
        <is>
          <t>893803567</t>
        </is>
      </c>
    </row>
    <row r="1633">
      <c r="A1633" t="inlineStr">
        <is>
          <t>No</t>
        </is>
      </c>
      <c r="B1633" t="inlineStr">
        <is>
          <t>DP172 .L68 1986</t>
        </is>
      </c>
      <c r="C1633" t="inlineStr">
        <is>
          <t>0                      DP 0172000L  68          1986</t>
        </is>
      </c>
      <c r="D1633" t="inlineStr">
        <is>
          <t>Early Habsburg Spain, 1517-1598 / A. W. Lovett.</t>
        </is>
      </c>
      <c r="F1633" t="inlineStr">
        <is>
          <t>No</t>
        </is>
      </c>
      <c r="G1633" t="inlineStr">
        <is>
          <t>1</t>
        </is>
      </c>
      <c r="H1633" t="inlineStr">
        <is>
          <t>No</t>
        </is>
      </c>
      <c r="I1633" t="inlineStr">
        <is>
          <t>No</t>
        </is>
      </c>
      <c r="J1633" t="inlineStr">
        <is>
          <t>0</t>
        </is>
      </c>
      <c r="K1633" t="inlineStr">
        <is>
          <t>Lovett, A. W.</t>
        </is>
      </c>
      <c r="L1633" t="inlineStr">
        <is>
          <t>Oxford ; New York : Oxford University Press, 1986.</t>
        </is>
      </c>
      <c r="M1633" t="inlineStr">
        <is>
          <t>1986</t>
        </is>
      </c>
      <c r="O1633" t="inlineStr">
        <is>
          <t>eng</t>
        </is>
      </c>
      <c r="P1633" t="inlineStr">
        <is>
          <t>enk</t>
        </is>
      </c>
      <c r="R1633" t="inlineStr">
        <is>
          <t xml:space="preserve">DP </t>
        </is>
      </c>
      <c r="S1633" t="n">
        <v>5</v>
      </c>
      <c r="T1633" t="n">
        <v>5</v>
      </c>
      <c r="U1633" t="inlineStr">
        <is>
          <t>2005-04-27</t>
        </is>
      </c>
      <c r="V1633" t="inlineStr">
        <is>
          <t>2005-04-27</t>
        </is>
      </c>
      <c r="W1633" t="inlineStr">
        <is>
          <t>1991-09-20</t>
        </is>
      </c>
      <c r="X1633" t="inlineStr">
        <is>
          <t>1991-09-20</t>
        </is>
      </c>
      <c r="Y1633" t="n">
        <v>530</v>
      </c>
      <c r="Z1633" t="n">
        <v>363</v>
      </c>
      <c r="AA1633" t="n">
        <v>364</v>
      </c>
      <c r="AB1633" t="n">
        <v>3</v>
      </c>
      <c r="AC1633" t="n">
        <v>3</v>
      </c>
      <c r="AD1633" t="n">
        <v>19</v>
      </c>
      <c r="AE1633" t="n">
        <v>19</v>
      </c>
      <c r="AF1633" t="n">
        <v>5</v>
      </c>
      <c r="AG1633" t="n">
        <v>5</v>
      </c>
      <c r="AH1633" t="n">
        <v>5</v>
      </c>
      <c r="AI1633" t="n">
        <v>5</v>
      </c>
      <c r="AJ1633" t="n">
        <v>12</v>
      </c>
      <c r="AK1633" t="n">
        <v>12</v>
      </c>
      <c r="AL1633" t="n">
        <v>2</v>
      </c>
      <c r="AM1633" t="n">
        <v>2</v>
      </c>
      <c r="AN1633" t="n">
        <v>0</v>
      </c>
      <c r="AO1633" t="n">
        <v>0</v>
      </c>
      <c r="AP1633" t="inlineStr">
        <is>
          <t>No</t>
        </is>
      </c>
      <c r="AQ1633" t="inlineStr">
        <is>
          <t>Yes</t>
        </is>
      </c>
      <c r="AR1633">
        <f>HYPERLINK("http://catalog.hathitrust.org/Record/000593428","HathiTrust Record")</f>
        <v/>
      </c>
      <c r="AS1633">
        <f>HYPERLINK("https://creighton-primo.hosted.exlibrisgroup.com/primo-explore/search?tab=default_tab&amp;search_scope=EVERYTHING&amp;vid=01CRU&amp;lang=en_US&amp;offset=0&amp;query=any,contains,991000779129702656","Catalog Record")</f>
        <v/>
      </c>
      <c r="AT1633">
        <f>HYPERLINK("http://www.worldcat.org/oclc/13093866","WorldCat Record")</f>
        <v/>
      </c>
      <c r="AU1633" t="inlineStr">
        <is>
          <t>5838205:eng</t>
        </is>
      </c>
      <c r="AV1633" t="inlineStr">
        <is>
          <t>13093866</t>
        </is>
      </c>
      <c r="AW1633" t="inlineStr">
        <is>
          <t>991000779129702656</t>
        </is>
      </c>
      <c r="AX1633" t="inlineStr">
        <is>
          <t>991000779129702656</t>
        </is>
      </c>
      <c r="AY1633" t="inlineStr">
        <is>
          <t>2269784910002656</t>
        </is>
      </c>
      <c r="AZ1633" t="inlineStr">
        <is>
          <t>BOOK</t>
        </is>
      </c>
      <c r="BB1633" t="inlineStr">
        <is>
          <t>9780198221388</t>
        </is>
      </c>
      <c r="BC1633" t="inlineStr">
        <is>
          <t>32285000652668</t>
        </is>
      </c>
      <c r="BD1633" t="inlineStr">
        <is>
          <t>893865674</t>
        </is>
      </c>
    </row>
    <row r="1634">
      <c r="A1634" t="inlineStr">
        <is>
          <t>No</t>
        </is>
      </c>
      <c r="B1634" t="inlineStr">
        <is>
          <t>DP174 .G55 1988</t>
        </is>
      </c>
      <c r="C1634" t="inlineStr">
        <is>
          <t>0                      DP 0174000G  55          1988</t>
        </is>
      </c>
      <c r="D1634" t="inlineStr">
        <is>
          <t>El Consejo Real de Carlos V / Pedro Gan Giménez.</t>
        </is>
      </c>
      <c r="F1634" t="inlineStr">
        <is>
          <t>No</t>
        </is>
      </c>
      <c r="G1634" t="inlineStr">
        <is>
          <t>1</t>
        </is>
      </c>
      <c r="H1634" t="inlineStr">
        <is>
          <t>No</t>
        </is>
      </c>
      <c r="I1634" t="inlineStr">
        <is>
          <t>No</t>
        </is>
      </c>
      <c r="J1634" t="inlineStr">
        <is>
          <t>0</t>
        </is>
      </c>
      <c r="K1634" t="inlineStr">
        <is>
          <t>Gan Giménez, Pedro.</t>
        </is>
      </c>
      <c r="L1634" t="inlineStr">
        <is>
          <t>[Granada, Spain] : Universidad de Granada, 1988.</t>
        </is>
      </c>
      <c r="M1634" t="inlineStr">
        <is>
          <t>1988</t>
        </is>
      </c>
      <c r="O1634" t="inlineStr">
        <is>
          <t>spa</t>
        </is>
      </c>
      <c r="P1634" t="inlineStr">
        <is>
          <t xml:space="preserve">sp </t>
        </is>
      </c>
      <c r="R1634" t="inlineStr">
        <is>
          <t xml:space="preserve">DP </t>
        </is>
      </c>
      <c r="S1634" t="n">
        <v>0</v>
      </c>
      <c r="T1634" t="n">
        <v>0</v>
      </c>
      <c r="U1634" t="inlineStr">
        <is>
          <t>2009-11-30</t>
        </is>
      </c>
      <c r="V1634" t="inlineStr">
        <is>
          <t>2009-11-30</t>
        </is>
      </c>
      <c r="W1634" t="inlineStr">
        <is>
          <t>1991-09-20</t>
        </is>
      </c>
      <c r="X1634" t="inlineStr">
        <is>
          <t>1991-09-20</t>
        </is>
      </c>
      <c r="Y1634" t="n">
        <v>45</v>
      </c>
      <c r="Z1634" t="n">
        <v>28</v>
      </c>
      <c r="AA1634" t="n">
        <v>29</v>
      </c>
      <c r="AB1634" t="n">
        <v>1</v>
      </c>
      <c r="AC1634" t="n">
        <v>1</v>
      </c>
      <c r="AD1634" t="n">
        <v>0</v>
      </c>
      <c r="AE1634" t="n">
        <v>0</v>
      </c>
      <c r="AF1634" t="n">
        <v>0</v>
      </c>
      <c r="AG1634" t="n">
        <v>0</v>
      </c>
      <c r="AH1634" t="n">
        <v>0</v>
      </c>
      <c r="AI1634" t="n">
        <v>0</v>
      </c>
      <c r="AJ1634" t="n">
        <v>0</v>
      </c>
      <c r="AK1634" t="n">
        <v>0</v>
      </c>
      <c r="AL1634" t="n">
        <v>0</v>
      </c>
      <c r="AM1634" t="n">
        <v>0</v>
      </c>
      <c r="AN1634" t="n">
        <v>0</v>
      </c>
      <c r="AO1634" t="n">
        <v>0</v>
      </c>
      <c r="AP1634" t="inlineStr">
        <is>
          <t>No</t>
        </is>
      </c>
      <c r="AQ1634" t="inlineStr">
        <is>
          <t>Yes</t>
        </is>
      </c>
      <c r="AR1634">
        <f>HYPERLINK("http://catalog.hathitrust.org/Record/001831909","HathiTrust Record")</f>
        <v/>
      </c>
      <c r="AS1634">
        <f>HYPERLINK("https://creighton-primo.hosted.exlibrisgroup.com/primo-explore/search?tab=default_tab&amp;search_scope=EVERYTHING&amp;vid=01CRU&amp;lang=en_US&amp;offset=0&amp;query=any,contains,991001485499702656","Catalog Record")</f>
        <v/>
      </c>
      <c r="AT1634">
        <f>HYPERLINK("http://www.worldcat.org/oclc/19644972","WorldCat Record")</f>
        <v/>
      </c>
      <c r="AU1634" t="inlineStr">
        <is>
          <t>365145440:spa</t>
        </is>
      </c>
      <c r="AV1634" t="inlineStr">
        <is>
          <t>19644972</t>
        </is>
      </c>
      <c r="AW1634" t="inlineStr">
        <is>
          <t>991001485499702656</t>
        </is>
      </c>
      <c r="AX1634" t="inlineStr">
        <is>
          <t>991001485499702656</t>
        </is>
      </c>
      <c r="AY1634" t="inlineStr">
        <is>
          <t>2256676710002656</t>
        </is>
      </c>
      <c r="AZ1634" t="inlineStr">
        <is>
          <t>BOOK</t>
        </is>
      </c>
      <c r="BB1634" t="inlineStr">
        <is>
          <t>9788433806901</t>
        </is>
      </c>
      <c r="BC1634" t="inlineStr">
        <is>
          <t>32285000652684</t>
        </is>
      </c>
      <c r="BD1634" t="inlineStr">
        <is>
          <t>893509651</t>
        </is>
      </c>
    </row>
    <row r="1635">
      <c r="A1635" t="inlineStr">
        <is>
          <t>No</t>
        </is>
      </c>
      <c r="B1635" t="inlineStr">
        <is>
          <t>DP174 .H34</t>
        </is>
      </c>
      <c r="C1635" t="inlineStr">
        <is>
          <t>0                      DP 0174000H  34</t>
        </is>
      </c>
      <c r="D1635" t="inlineStr">
        <is>
          <t>The Comuneros of Castile : the forging of a revolution, 1475-1521 / Stephen Haliczer.</t>
        </is>
      </c>
      <c r="F1635" t="inlineStr">
        <is>
          <t>No</t>
        </is>
      </c>
      <c r="G1635" t="inlineStr">
        <is>
          <t>1</t>
        </is>
      </c>
      <c r="H1635" t="inlineStr">
        <is>
          <t>No</t>
        </is>
      </c>
      <c r="I1635" t="inlineStr">
        <is>
          <t>No</t>
        </is>
      </c>
      <c r="J1635" t="inlineStr">
        <is>
          <t>0</t>
        </is>
      </c>
      <c r="K1635" t="inlineStr">
        <is>
          <t>Haliczer, Stephen, 1942-</t>
        </is>
      </c>
      <c r="L1635" t="inlineStr">
        <is>
          <t>Madison, Wis. : University of Wisconsin Press, 1981.</t>
        </is>
      </c>
      <c r="M1635" t="inlineStr">
        <is>
          <t>1981</t>
        </is>
      </c>
      <c r="O1635" t="inlineStr">
        <is>
          <t>eng</t>
        </is>
      </c>
      <c r="P1635" t="inlineStr">
        <is>
          <t>wiu</t>
        </is>
      </c>
      <c r="R1635" t="inlineStr">
        <is>
          <t xml:space="preserve">DP </t>
        </is>
      </c>
      <c r="S1635" t="n">
        <v>5</v>
      </c>
      <c r="T1635" t="n">
        <v>5</v>
      </c>
      <c r="U1635" t="inlineStr">
        <is>
          <t>1995-10-31</t>
        </is>
      </c>
      <c r="V1635" t="inlineStr">
        <is>
          <t>1995-10-31</t>
        </is>
      </c>
      <c r="W1635" t="inlineStr">
        <is>
          <t>1990-06-18</t>
        </is>
      </c>
      <c r="X1635" t="inlineStr">
        <is>
          <t>1990-06-18</t>
        </is>
      </c>
      <c r="Y1635" t="n">
        <v>410</v>
      </c>
      <c r="Z1635" t="n">
        <v>315</v>
      </c>
      <c r="AA1635" t="n">
        <v>316</v>
      </c>
      <c r="AB1635" t="n">
        <v>3</v>
      </c>
      <c r="AC1635" t="n">
        <v>3</v>
      </c>
      <c r="AD1635" t="n">
        <v>19</v>
      </c>
      <c r="AE1635" t="n">
        <v>19</v>
      </c>
      <c r="AF1635" t="n">
        <v>4</v>
      </c>
      <c r="AG1635" t="n">
        <v>4</v>
      </c>
      <c r="AH1635" t="n">
        <v>6</v>
      </c>
      <c r="AI1635" t="n">
        <v>6</v>
      </c>
      <c r="AJ1635" t="n">
        <v>13</v>
      </c>
      <c r="AK1635" t="n">
        <v>13</v>
      </c>
      <c r="AL1635" t="n">
        <v>2</v>
      </c>
      <c r="AM1635" t="n">
        <v>2</v>
      </c>
      <c r="AN1635" t="n">
        <v>0</v>
      </c>
      <c r="AO1635" t="n">
        <v>0</v>
      </c>
      <c r="AP1635" t="inlineStr">
        <is>
          <t>No</t>
        </is>
      </c>
      <c r="AQ1635" t="inlineStr">
        <is>
          <t>Yes</t>
        </is>
      </c>
      <c r="AR1635">
        <f>HYPERLINK("http://catalog.hathitrust.org/Record/000142726","HathiTrust Record")</f>
        <v/>
      </c>
      <c r="AS1635">
        <f>HYPERLINK("https://creighton-primo.hosted.exlibrisgroup.com/primo-explore/search?tab=default_tab&amp;search_scope=EVERYTHING&amp;vid=01CRU&amp;lang=en_US&amp;offset=0&amp;query=any,contains,991005113409702656","Catalog Record")</f>
        <v/>
      </c>
      <c r="AT1635">
        <f>HYPERLINK("http://www.worldcat.org/oclc/7460019","WorldCat Record")</f>
        <v/>
      </c>
      <c r="AU1635" t="inlineStr">
        <is>
          <t>1028234754:eng</t>
        </is>
      </c>
      <c r="AV1635" t="inlineStr">
        <is>
          <t>7460019</t>
        </is>
      </c>
      <c r="AW1635" t="inlineStr">
        <is>
          <t>991005113409702656</t>
        </is>
      </c>
      <c r="AX1635" t="inlineStr">
        <is>
          <t>991005113409702656</t>
        </is>
      </c>
      <c r="AY1635" t="inlineStr">
        <is>
          <t>2264336700002656</t>
        </is>
      </c>
      <c r="AZ1635" t="inlineStr">
        <is>
          <t>BOOK</t>
        </is>
      </c>
      <c r="BB1635" t="inlineStr">
        <is>
          <t>9780299085001</t>
        </is>
      </c>
      <c r="BC1635" t="inlineStr">
        <is>
          <t>32285000198175</t>
        </is>
      </c>
      <c r="BD1635" t="inlineStr">
        <is>
          <t>893520447</t>
        </is>
      </c>
    </row>
    <row r="1636">
      <c r="A1636" t="inlineStr">
        <is>
          <t>No</t>
        </is>
      </c>
      <c r="B1636" t="inlineStr">
        <is>
          <t>DP174 .M3 1970</t>
        </is>
      </c>
      <c r="C1636" t="inlineStr">
        <is>
          <t>0                      DP 0174000M  3           1970</t>
        </is>
      </c>
      <c r="D1636" t="inlineStr">
        <is>
          <t>Las comunidades de Castilla : una primera revolución moderna.</t>
        </is>
      </c>
      <c r="F1636" t="inlineStr">
        <is>
          <t>No</t>
        </is>
      </c>
      <c r="G1636" t="inlineStr">
        <is>
          <t>1</t>
        </is>
      </c>
      <c r="H1636" t="inlineStr">
        <is>
          <t>No</t>
        </is>
      </c>
      <c r="I1636" t="inlineStr">
        <is>
          <t>No</t>
        </is>
      </c>
      <c r="J1636" t="inlineStr">
        <is>
          <t>0</t>
        </is>
      </c>
      <c r="K1636" t="inlineStr">
        <is>
          <t>Maravall, José Antonio.</t>
        </is>
      </c>
      <c r="L1636" t="inlineStr">
        <is>
          <t>Madrid : Revista de Occidente, [1970]</t>
        </is>
      </c>
      <c r="M1636" t="inlineStr">
        <is>
          <t>1970</t>
        </is>
      </c>
      <c r="N1636" t="inlineStr">
        <is>
          <t>2. ed., revisada y ampliada.</t>
        </is>
      </c>
      <c r="O1636" t="inlineStr">
        <is>
          <t>spa</t>
        </is>
      </c>
      <c r="P1636" t="inlineStr">
        <is>
          <t xml:space="preserve">xx </t>
        </is>
      </c>
      <c r="Q1636" t="inlineStr">
        <is>
          <t>Colección "Selecta" ; 35</t>
        </is>
      </c>
      <c r="R1636" t="inlineStr">
        <is>
          <t xml:space="preserve">DP </t>
        </is>
      </c>
      <c r="S1636" t="n">
        <v>0</v>
      </c>
      <c r="T1636" t="n">
        <v>0</v>
      </c>
      <c r="U1636" t="inlineStr">
        <is>
          <t>2000-11-01</t>
        </is>
      </c>
      <c r="V1636" t="inlineStr">
        <is>
          <t>2000-11-01</t>
        </is>
      </c>
      <c r="W1636" t="inlineStr">
        <is>
          <t>1996-08-01</t>
        </is>
      </c>
      <c r="X1636" t="inlineStr">
        <is>
          <t>1996-08-01</t>
        </is>
      </c>
      <c r="Y1636" t="n">
        <v>95</v>
      </c>
      <c r="Z1636" t="n">
        <v>58</v>
      </c>
      <c r="AA1636" t="n">
        <v>151</v>
      </c>
      <c r="AB1636" t="n">
        <v>2</v>
      </c>
      <c r="AC1636" t="n">
        <v>2</v>
      </c>
      <c r="AD1636" t="n">
        <v>5</v>
      </c>
      <c r="AE1636" t="n">
        <v>8</v>
      </c>
      <c r="AF1636" t="n">
        <v>0</v>
      </c>
      <c r="AG1636" t="n">
        <v>0</v>
      </c>
      <c r="AH1636" t="n">
        <v>2</v>
      </c>
      <c r="AI1636" t="n">
        <v>3</v>
      </c>
      <c r="AJ1636" t="n">
        <v>3</v>
      </c>
      <c r="AK1636" t="n">
        <v>6</v>
      </c>
      <c r="AL1636" t="n">
        <v>1</v>
      </c>
      <c r="AM1636" t="n">
        <v>1</v>
      </c>
      <c r="AN1636" t="n">
        <v>0</v>
      </c>
      <c r="AO1636" t="n">
        <v>0</v>
      </c>
      <c r="AP1636" t="inlineStr">
        <is>
          <t>No</t>
        </is>
      </c>
      <c r="AQ1636" t="inlineStr">
        <is>
          <t>No</t>
        </is>
      </c>
      <c r="AS1636">
        <f>HYPERLINK("https://creighton-primo.hosted.exlibrisgroup.com/primo-explore/search?tab=default_tab&amp;search_scope=EVERYTHING&amp;vid=01CRU&amp;lang=en_US&amp;offset=0&amp;query=any,contains,991002507939702656","Catalog Record")</f>
        <v/>
      </c>
      <c r="AT1636">
        <f>HYPERLINK("http://www.worldcat.org/oclc/364908","WorldCat Record")</f>
        <v/>
      </c>
      <c r="AU1636" t="inlineStr">
        <is>
          <t>365365854:spa</t>
        </is>
      </c>
      <c r="AV1636" t="inlineStr">
        <is>
          <t>364908</t>
        </is>
      </c>
      <c r="AW1636" t="inlineStr">
        <is>
          <t>991002507939702656</t>
        </is>
      </c>
      <c r="AX1636" t="inlineStr">
        <is>
          <t>991002507939702656</t>
        </is>
      </c>
      <c r="AY1636" t="inlineStr">
        <is>
          <t>2262555660002656</t>
        </is>
      </c>
      <c r="AZ1636" t="inlineStr">
        <is>
          <t>BOOK</t>
        </is>
      </c>
      <c r="BC1636" t="inlineStr">
        <is>
          <t>32285002214897</t>
        </is>
      </c>
      <c r="BD1636" t="inlineStr">
        <is>
          <t>893691686</t>
        </is>
      </c>
    </row>
    <row r="1637">
      <c r="A1637" t="inlineStr">
        <is>
          <t>No</t>
        </is>
      </c>
      <c r="B1637" t="inlineStr">
        <is>
          <t>DP178 .H92 1970</t>
        </is>
      </c>
      <c r="C1637" t="inlineStr">
        <is>
          <t>0                      DP 0178000H  92          1970</t>
        </is>
      </c>
      <c r="D1637" t="inlineStr">
        <is>
          <t>Philip II of Spain / edited with notes by Henry Ketcham.</t>
        </is>
      </c>
      <c r="F1637" t="inlineStr">
        <is>
          <t>No</t>
        </is>
      </c>
      <c r="G1637" t="inlineStr">
        <is>
          <t>1</t>
        </is>
      </c>
      <c r="H1637" t="inlineStr">
        <is>
          <t>No</t>
        </is>
      </c>
      <c r="I1637" t="inlineStr">
        <is>
          <t>No</t>
        </is>
      </c>
      <c r="J1637" t="inlineStr">
        <is>
          <t>0</t>
        </is>
      </c>
      <c r="K1637" t="inlineStr">
        <is>
          <t>Hume, Martin A. S. (Martin Andrew Sharp), 1843-1910.</t>
        </is>
      </c>
      <c r="L1637" t="inlineStr">
        <is>
          <t>Westport, Conn. : Greenwood Press, [1970]</t>
        </is>
      </c>
      <c r="M1637" t="inlineStr">
        <is>
          <t>1970</t>
        </is>
      </c>
      <c r="O1637" t="inlineStr">
        <is>
          <t>eng</t>
        </is>
      </c>
      <c r="P1637" t="inlineStr">
        <is>
          <t>ctu</t>
        </is>
      </c>
      <c r="R1637" t="inlineStr">
        <is>
          <t xml:space="preserve">DP </t>
        </is>
      </c>
      <c r="S1637" t="n">
        <v>1</v>
      </c>
      <c r="T1637" t="n">
        <v>1</v>
      </c>
      <c r="U1637" t="inlineStr">
        <is>
          <t>2010-03-25</t>
        </is>
      </c>
      <c r="V1637" t="inlineStr">
        <is>
          <t>2010-03-25</t>
        </is>
      </c>
      <c r="W1637" t="inlineStr">
        <is>
          <t>1990-11-30</t>
        </is>
      </c>
      <c r="X1637" t="inlineStr">
        <is>
          <t>1990-11-30</t>
        </is>
      </c>
      <c r="Y1637" t="n">
        <v>132</v>
      </c>
      <c r="Z1637" t="n">
        <v>120</v>
      </c>
      <c r="AA1637" t="n">
        <v>661</v>
      </c>
      <c r="AB1637" t="n">
        <v>1</v>
      </c>
      <c r="AC1637" t="n">
        <v>6</v>
      </c>
      <c r="AD1637" t="n">
        <v>7</v>
      </c>
      <c r="AE1637" t="n">
        <v>37</v>
      </c>
      <c r="AF1637" t="n">
        <v>0</v>
      </c>
      <c r="AG1637" t="n">
        <v>15</v>
      </c>
      <c r="AH1637" t="n">
        <v>3</v>
      </c>
      <c r="AI1637" t="n">
        <v>7</v>
      </c>
      <c r="AJ1637" t="n">
        <v>5</v>
      </c>
      <c r="AK1637" t="n">
        <v>18</v>
      </c>
      <c r="AL1637" t="n">
        <v>0</v>
      </c>
      <c r="AM1637" t="n">
        <v>5</v>
      </c>
      <c r="AN1637" t="n">
        <v>0</v>
      </c>
      <c r="AO1637" t="n">
        <v>0</v>
      </c>
      <c r="AP1637" t="inlineStr">
        <is>
          <t>No</t>
        </is>
      </c>
      <c r="AQ1637" t="inlineStr">
        <is>
          <t>Yes</t>
        </is>
      </c>
      <c r="AR1637">
        <f>HYPERLINK("http://catalog.hathitrust.org/Record/001236727","HathiTrust Record")</f>
        <v/>
      </c>
      <c r="AS1637">
        <f>HYPERLINK("https://creighton-primo.hosted.exlibrisgroup.com/primo-explore/search?tab=default_tab&amp;search_scope=EVERYTHING&amp;vid=01CRU&amp;lang=en_US&amp;offset=0&amp;query=any,contains,991000643179702656","Catalog Record")</f>
        <v/>
      </c>
      <c r="AT1637">
        <f>HYPERLINK("http://www.worldcat.org/oclc/110090","WorldCat Record")</f>
        <v/>
      </c>
      <c r="AU1637" t="inlineStr">
        <is>
          <t>1143845:eng</t>
        </is>
      </c>
      <c r="AV1637" t="inlineStr">
        <is>
          <t>110090</t>
        </is>
      </c>
      <c r="AW1637" t="inlineStr">
        <is>
          <t>991000643179702656</t>
        </is>
      </c>
      <c r="AX1637" t="inlineStr">
        <is>
          <t>991000643179702656</t>
        </is>
      </c>
      <c r="AY1637" t="inlineStr">
        <is>
          <t>2266960330002656</t>
        </is>
      </c>
      <c r="AZ1637" t="inlineStr">
        <is>
          <t>BOOK</t>
        </is>
      </c>
      <c r="BB1637" t="inlineStr">
        <is>
          <t>9780837140919</t>
        </is>
      </c>
      <c r="BC1637" t="inlineStr">
        <is>
          <t>32285000410596</t>
        </is>
      </c>
      <c r="BD1637" t="inlineStr">
        <is>
          <t>893243438</t>
        </is>
      </c>
    </row>
    <row r="1638">
      <c r="A1638" t="inlineStr">
        <is>
          <t>No</t>
        </is>
      </c>
      <c r="B1638" t="inlineStr">
        <is>
          <t>DP178 .P37</t>
        </is>
      </c>
      <c r="C1638" t="inlineStr">
        <is>
          <t>0                      DP 0178000P  37</t>
        </is>
      </c>
      <c r="D1638" t="inlineStr">
        <is>
          <t>Philip II / by Geoffrey Parker.</t>
        </is>
      </c>
      <c r="F1638" t="inlineStr">
        <is>
          <t>No</t>
        </is>
      </c>
      <c r="G1638" t="inlineStr">
        <is>
          <t>1</t>
        </is>
      </c>
      <c r="H1638" t="inlineStr">
        <is>
          <t>No</t>
        </is>
      </c>
      <c r="I1638" t="inlineStr">
        <is>
          <t>No</t>
        </is>
      </c>
      <c r="J1638" t="inlineStr">
        <is>
          <t>0</t>
        </is>
      </c>
      <c r="K1638" t="inlineStr">
        <is>
          <t>Parker, Geoffrey, 1943-</t>
        </is>
      </c>
      <c r="L1638" t="inlineStr">
        <is>
          <t>Boston : Little, Brown, c1978.</t>
        </is>
      </c>
      <c r="M1638" t="inlineStr">
        <is>
          <t>1978</t>
        </is>
      </c>
      <c r="N1638" t="inlineStr">
        <is>
          <t>1st ed.</t>
        </is>
      </c>
      <c r="O1638" t="inlineStr">
        <is>
          <t>eng</t>
        </is>
      </c>
      <c r="P1638" t="inlineStr">
        <is>
          <t>mau</t>
        </is>
      </c>
      <c r="Q1638" t="inlineStr">
        <is>
          <t>The Library of world biography</t>
        </is>
      </c>
      <c r="R1638" t="inlineStr">
        <is>
          <t xml:space="preserve">DP </t>
        </is>
      </c>
      <c r="S1638" t="n">
        <v>1</v>
      </c>
      <c r="T1638" t="n">
        <v>1</v>
      </c>
      <c r="U1638" t="inlineStr">
        <is>
          <t>2008-10-12</t>
        </is>
      </c>
      <c r="V1638" t="inlineStr">
        <is>
          <t>2008-10-12</t>
        </is>
      </c>
      <c r="W1638" t="inlineStr">
        <is>
          <t>1990-04-12</t>
        </is>
      </c>
      <c r="X1638" t="inlineStr">
        <is>
          <t>1990-04-12</t>
        </is>
      </c>
      <c r="Y1638" t="n">
        <v>640</v>
      </c>
      <c r="Z1638" t="n">
        <v>587</v>
      </c>
      <c r="AA1638" t="n">
        <v>782</v>
      </c>
      <c r="AB1638" t="n">
        <v>4</v>
      </c>
      <c r="AC1638" t="n">
        <v>5</v>
      </c>
      <c r="AD1638" t="n">
        <v>18</v>
      </c>
      <c r="AE1638" t="n">
        <v>30</v>
      </c>
      <c r="AF1638" t="n">
        <v>4</v>
      </c>
      <c r="AG1638" t="n">
        <v>12</v>
      </c>
      <c r="AH1638" t="n">
        <v>7</v>
      </c>
      <c r="AI1638" t="n">
        <v>7</v>
      </c>
      <c r="AJ1638" t="n">
        <v>8</v>
      </c>
      <c r="AK1638" t="n">
        <v>15</v>
      </c>
      <c r="AL1638" t="n">
        <v>3</v>
      </c>
      <c r="AM1638" t="n">
        <v>4</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HYPERLINK("https://creighton-primo.hosted.exlibrisgroup.com/primo-explore/search?tab=default_tab&amp;search_scope=EVERYTHING&amp;vid=01CRU&amp;lang=en_US&amp;offset=0&amp;query=any,contains,991004563759702656","Catalog Record")</f>
        <v/>
      </c>
      <c r="AT1638">
        <f>HYPERLINK("http://www.worldcat.org/oclc/4004054","WorldCat Record")</f>
        <v/>
      </c>
      <c r="AU1638" t="inlineStr">
        <is>
          <t>4494989627:eng</t>
        </is>
      </c>
      <c r="AV1638" t="inlineStr">
        <is>
          <t>4004054</t>
        </is>
      </c>
      <c r="AW1638" t="inlineStr">
        <is>
          <t>991004563759702656</t>
        </is>
      </c>
      <c r="AX1638" t="inlineStr">
        <is>
          <t>991004563759702656</t>
        </is>
      </c>
      <c r="AY1638" t="inlineStr">
        <is>
          <t>2265229640002656</t>
        </is>
      </c>
      <c r="AZ1638" t="inlineStr">
        <is>
          <t>BOOK</t>
        </is>
      </c>
      <c r="BB1638" t="inlineStr">
        <is>
          <t>9780316690805</t>
        </is>
      </c>
      <c r="BC1638" t="inlineStr">
        <is>
          <t>32285000121763</t>
        </is>
      </c>
      <c r="BD1638" t="inlineStr">
        <is>
          <t>893876255</t>
        </is>
      </c>
    </row>
    <row r="1639">
      <c r="A1639" t="inlineStr">
        <is>
          <t>No</t>
        </is>
      </c>
      <c r="B1639" t="inlineStr">
        <is>
          <t>DP179 .R8</t>
        </is>
      </c>
      <c r="C1639" t="inlineStr">
        <is>
          <t>0                      DP 0179000R  8</t>
        </is>
      </c>
      <c r="D1639" t="inlineStr">
        <is>
          <t>The character of Philip II : the problem of moral judgments in history / edited with an introd. by John C. Rule and John J. TePaske.</t>
        </is>
      </c>
      <c r="F1639" t="inlineStr">
        <is>
          <t>No</t>
        </is>
      </c>
      <c r="G1639" t="inlineStr">
        <is>
          <t>1</t>
        </is>
      </c>
      <c r="H1639" t="inlineStr">
        <is>
          <t>No</t>
        </is>
      </c>
      <c r="I1639" t="inlineStr">
        <is>
          <t>No</t>
        </is>
      </c>
      <c r="J1639" t="inlineStr">
        <is>
          <t>0</t>
        </is>
      </c>
      <c r="K1639" t="inlineStr">
        <is>
          <t>Rule, John C., editor.</t>
        </is>
      </c>
      <c r="L1639" t="inlineStr">
        <is>
          <t>Boston : Heath, [1963]</t>
        </is>
      </c>
      <c r="M1639" t="inlineStr">
        <is>
          <t>1963</t>
        </is>
      </c>
      <c r="O1639" t="inlineStr">
        <is>
          <t>eng</t>
        </is>
      </c>
      <c r="P1639" t="inlineStr">
        <is>
          <t>mau</t>
        </is>
      </c>
      <c r="Q1639" t="inlineStr">
        <is>
          <t>Problems in European civilization</t>
        </is>
      </c>
      <c r="R1639" t="inlineStr">
        <is>
          <t xml:space="preserve">DP </t>
        </is>
      </c>
      <c r="S1639" t="n">
        <v>3</v>
      </c>
      <c r="T1639" t="n">
        <v>3</v>
      </c>
      <c r="U1639" t="inlineStr">
        <is>
          <t>2010-03-25</t>
        </is>
      </c>
      <c r="V1639" t="inlineStr">
        <is>
          <t>2010-03-25</t>
        </is>
      </c>
      <c r="W1639" t="inlineStr">
        <is>
          <t>1991-10-07</t>
        </is>
      </c>
      <c r="X1639" t="inlineStr">
        <is>
          <t>1991-10-07</t>
        </is>
      </c>
      <c r="Y1639" t="n">
        <v>882</v>
      </c>
      <c r="Z1639" t="n">
        <v>752</v>
      </c>
      <c r="AA1639" t="n">
        <v>755</v>
      </c>
      <c r="AB1639" t="n">
        <v>7</v>
      </c>
      <c r="AC1639" t="n">
        <v>7</v>
      </c>
      <c r="AD1639" t="n">
        <v>32</v>
      </c>
      <c r="AE1639" t="n">
        <v>32</v>
      </c>
      <c r="AF1639" t="n">
        <v>13</v>
      </c>
      <c r="AG1639" t="n">
        <v>13</v>
      </c>
      <c r="AH1639" t="n">
        <v>6</v>
      </c>
      <c r="AI1639" t="n">
        <v>6</v>
      </c>
      <c r="AJ1639" t="n">
        <v>15</v>
      </c>
      <c r="AK1639" t="n">
        <v>15</v>
      </c>
      <c r="AL1639" t="n">
        <v>6</v>
      </c>
      <c r="AM1639" t="n">
        <v>6</v>
      </c>
      <c r="AN1639" t="n">
        <v>0</v>
      </c>
      <c r="AO1639" t="n">
        <v>0</v>
      </c>
      <c r="AP1639" t="inlineStr">
        <is>
          <t>No</t>
        </is>
      </c>
      <c r="AQ1639" t="inlineStr">
        <is>
          <t>No</t>
        </is>
      </c>
      <c r="AR1639">
        <f>HYPERLINK("http://catalog.hathitrust.org/Record/006078009","HathiTrust Record")</f>
        <v/>
      </c>
      <c r="AS1639">
        <f>HYPERLINK("https://creighton-primo.hosted.exlibrisgroup.com/primo-explore/search?tab=default_tab&amp;search_scope=EVERYTHING&amp;vid=01CRU&amp;lang=en_US&amp;offset=0&amp;query=any,contains,991001963099702656","Catalog Record")</f>
        <v/>
      </c>
      <c r="AT1639">
        <f>HYPERLINK("http://www.worldcat.org/oclc/253653","WorldCat Record")</f>
        <v/>
      </c>
      <c r="AU1639" t="inlineStr">
        <is>
          <t>346916754:eng</t>
        </is>
      </c>
      <c r="AV1639" t="inlineStr">
        <is>
          <t>253653</t>
        </is>
      </c>
      <c r="AW1639" t="inlineStr">
        <is>
          <t>991001963099702656</t>
        </is>
      </c>
      <c r="AX1639" t="inlineStr">
        <is>
          <t>991001963099702656</t>
        </is>
      </c>
      <c r="AY1639" t="inlineStr">
        <is>
          <t>2267088660002656</t>
        </is>
      </c>
      <c r="AZ1639" t="inlineStr">
        <is>
          <t>BOOK</t>
        </is>
      </c>
      <c r="BC1639" t="inlineStr">
        <is>
          <t>32285000763747</t>
        </is>
      </c>
      <c r="BD1639" t="inlineStr">
        <is>
          <t>893346947</t>
        </is>
      </c>
    </row>
    <row r="1640">
      <c r="A1640" t="inlineStr">
        <is>
          <t>No</t>
        </is>
      </c>
      <c r="B1640" t="inlineStr">
        <is>
          <t>DP181.A6 K36 2004</t>
        </is>
      </c>
      <c r="C1640" t="inlineStr">
        <is>
          <t>0                      DP 0181000A  6                  K  36          2004</t>
        </is>
      </c>
      <c r="D1640" t="inlineStr">
        <is>
          <t>The Duke of Alba / Henry Kamen.</t>
        </is>
      </c>
      <c r="F1640" t="inlineStr">
        <is>
          <t>No</t>
        </is>
      </c>
      <c r="G1640" t="inlineStr">
        <is>
          <t>1</t>
        </is>
      </c>
      <c r="H1640" t="inlineStr">
        <is>
          <t>No</t>
        </is>
      </c>
      <c r="I1640" t="inlineStr">
        <is>
          <t>No</t>
        </is>
      </c>
      <c r="J1640" t="inlineStr">
        <is>
          <t>0</t>
        </is>
      </c>
      <c r="K1640" t="inlineStr">
        <is>
          <t>Kamen, Henry.</t>
        </is>
      </c>
      <c r="L1640" t="inlineStr">
        <is>
          <t>New Haven [Conn.] : Yale University Press, c2004.</t>
        </is>
      </c>
      <c r="M1640" t="inlineStr">
        <is>
          <t>2004</t>
        </is>
      </c>
      <c r="O1640" t="inlineStr">
        <is>
          <t>eng</t>
        </is>
      </c>
      <c r="P1640" t="inlineStr">
        <is>
          <t>ctu</t>
        </is>
      </c>
      <c r="R1640" t="inlineStr">
        <is>
          <t xml:space="preserve">DP </t>
        </is>
      </c>
      <c r="S1640" t="n">
        <v>2</v>
      </c>
      <c r="T1640" t="n">
        <v>2</v>
      </c>
      <c r="U1640" t="inlineStr">
        <is>
          <t>2008-06-10</t>
        </is>
      </c>
      <c r="V1640" t="inlineStr">
        <is>
          <t>2008-06-10</t>
        </is>
      </c>
      <c r="W1640" t="inlineStr">
        <is>
          <t>2008-05-22</t>
        </is>
      </c>
      <c r="X1640" t="inlineStr">
        <is>
          <t>2008-05-22</t>
        </is>
      </c>
      <c r="Y1640" t="n">
        <v>430</v>
      </c>
      <c r="Z1640" t="n">
        <v>341</v>
      </c>
      <c r="AA1640" t="n">
        <v>344</v>
      </c>
      <c r="AB1640" t="n">
        <v>5</v>
      </c>
      <c r="AC1640" t="n">
        <v>5</v>
      </c>
      <c r="AD1640" t="n">
        <v>20</v>
      </c>
      <c r="AE1640" t="n">
        <v>20</v>
      </c>
      <c r="AF1640" t="n">
        <v>8</v>
      </c>
      <c r="AG1640" t="n">
        <v>8</v>
      </c>
      <c r="AH1640" t="n">
        <v>5</v>
      </c>
      <c r="AI1640" t="n">
        <v>5</v>
      </c>
      <c r="AJ1640" t="n">
        <v>11</v>
      </c>
      <c r="AK1640" t="n">
        <v>11</v>
      </c>
      <c r="AL1640" t="n">
        <v>4</v>
      </c>
      <c r="AM1640" t="n">
        <v>4</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HYPERLINK("https://creighton-primo.hosted.exlibrisgroup.com/primo-explore/search?tab=default_tab&amp;search_scope=EVERYTHING&amp;vid=01CRU&amp;lang=en_US&amp;offset=0&amp;query=any,contains,991005226549702656","Catalog Record")</f>
        <v/>
      </c>
      <c r="AT1640">
        <f>HYPERLINK("http://www.worldcat.org/oclc/54279816","WorldCat Record")</f>
        <v/>
      </c>
      <c r="AU1640" t="inlineStr">
        <is>
          <t>12925551:eng</t>
        </is>
      </c>
      <c r="AV1640" t="inlineStr">
        <is>
          <t>54279816</t>
        </is>
      </c>
      <c r="AW1640" t="inlineStr">
        <is>
          <t>991005226549702656</t>
        </is>
      </c>
      <c r="AX1640" t="inlineStr">
        <is>
          <t>991005226549702656</t>
        </is>
      </c>
      <c r="AY1640" t="inlineStr">
        <is>
          <t>2255489370002656</t>
        </is>
      </c>
      <c r="AZ1640" t="inlineStr">
        <is>
          <t>BOOK</t>
        </is>
      </c>
      <c r="BB1640" t="inlineStr">
        <is>
          <t>9780300102833</t>
        </is>
      </c>
      <c r="BC1640" t="inlineStr">
        <is>
          <t>32285005440747</t>
        </is>
      </c>
      <c r="BD1640" t="inlineStr">
        <is>
          <t>893870729</t>
        </is>
      </c>
    </row>
    <row r="1641">
      <c r="A1641" t="inlineStr">
        <is>
          <t>No</t>
        </is>
      </c>
      <c r="B1641" t="inlineStr">
        <is>
          <t>DP184 .D3</t>
        </is>
      </c>
      <c r="C1641" t="inlineStr">
        <is>
          <t>0                      DP 0184000D  3</t>
        </is>
      </c>
      <c r="D1641" t="inlineStr">
        <is>
          <t>Spain in decline, 1621-1700.</t>
        </is>
      </c>
      <c r="F1641" t="inlineStr">
        <is>
          <t>No</t>
        </is>
      </c>
      <c r="G1641" t="inlineStr">
        <is>
          <t>1</t>
        </is>
      </c>
      <c r="H1641" t="inlineStr">
        <is>
          <t>No</t>
        </is>
      </c>
      <c r="I1641" t="inlineStr">
        <is>
          <t>No</t>
        </is>
      </c>
      <c r="J1641" t="inlineStr">
        <is>
          <t>0</t>
        </is>
      </c>
      <c r="K1641" t="inlineStr">
        <is>
          <t>Davies, R. Trevor (Reginald Trevor)</t>
        </is>
      </c>
      <c r="L1641" t="inlineStr">
        <is>
          <t>London : Macmillan ; New York : St. Martin's Press, 1957.</t>
        </is>
      </c>
      <c r="M1641" t="inlineStr">
        <is>
          <t>1957</t>
        </is>
      </c>
      <c r="O1641" t="inlineStr">
        <is>
          <t>eng</t>
        </is>
      </c>
      <c r="P1641" t="inlineStr">
        <is>
          <t>enk</t>
        </is>
      </c>
      <c r="Q1641" t="inlineStr">
        <is>
          <t>Papermac, 139</t>
        </is>
      </c>
      <c r="R1641" t="inlineStr">
        <is>
          <t xml:space="preserve">DP </t>
        </is>
      </c>
      <c r="S1641" t="n">
        <v>1</v>
      </c>
      <c r="T1641" t="n">
        <v>1</v>
      </c>
      <c r="U1641" t="inlineStr">
        <is>
          <t>2002-10-24</t>
        </is>
      </c>
      <c r="V1641" t="inlineStr">
        <is>
          <t>2002-10-24</t>
        </is>
      </c>
      <c r="W1641" t="inlineStr">
        <is>
          <t>1997-02-13</t>
        </is>
      </c>
      <c r="X1641" t="inlineStr">
        <is>
          <t>1997-02-13</t>
        </is>
      </c>
      <c r="Y1641" t="n">
        <v>732</v>
      </c>
      <c r="Z1641" t="n">
        <v>582</v>
      </c>
      <c r="AA1641" t="n">
        <v>743</v>
      </c>
      <c r="AB1641" t="n">
        <v>8</v>
      </c>
      <c r="AC1641" t="n">
        <v>8</v>
      </c>
      <c r="AD1641" t="n">
        <v>35</v>
      </c>
      <c r="AE1641" t="n">
        <v>40</v>
      </c>
      <c r="AF1641" t="n">
        <v>12</v>
      </c>
      <c r="AG1641" t="n">
        <v>16</v>
      </c>
      <c r="AH1641" t="n">
        <v>6</v>
      </c>
      <c r="AI1641" t="n">
        <v>8</v>
      </c>
      <c r="AJ1641" t="n">
        <v>21</v>
      </c>
      <c r="AK1641" t="n">
        <v>22</v>
      </c>
      <c r="AL1641" t="n">
        <v>6</v>
      </c>
      <c r="AM1641" t="n">
        <v>6</v>
      </c>
      <c r="AN1641" t="n">
        <v>0</v>
      </c>
      <c r="AO1641" t="n">
        <v>0</v>
      </c>
      <c r="AP1641" t="inlineStr">
        <is>
          <t>No</t>
        </is>
      </c>
      <c r="AQ1641" t="inlineStr">
        <is>
          <t>Yes</t>
        </is>
      </c>
      <c r="AR1641">
        <f>HYPERLINK("http://catalog.hathitrust.org/Record/001858862","HathiTrust Record")</f>
        <v/>
      </c>
      <c r="AS1641">
        <f>HYPERLINK("https://creighton-primo.hosted.exlibrisgroup.com/primo-explore/search?tab=default_tab&amp;search_scope=EVERYTHING&amp;vid=01CRU&amp;lang=en_US&amp;offset=0&amp;query=any,contains,991004039089702656","Catalog Record")</f>
        <v/>
      </c>
      <c r="AT1641">
        <f>HYPERLINK("http://www.worldcat.org/oclc/2182806","WorldCat Record")</f>
        <v/>
      </c>
      <c r="AU1641" t="inlineStr">
        <is>
          <t>3209589:eng</t>
        </is>
      </c>
      <c r="AV1641" t="inlineStr">
        <is>
          <t>2182806</t>
        </is>
      </c>
      <c r="AW1641" t="inlineStr">
        <is>
          <t>991004039089702656</t>
        </is>
      </c>
      <c r="AX1641" t="inlineStr">
        <is>
          <t>991004039089702656</t>
        </is>
      </c>
      <c r="AY1641" t="inlineStr">
        <is>
          <t>2260806000002656</t>
        </is>
      </c>
      <c r="AZ1641" t="inlineStr">
        <is>
          <t>BOOK</t>
        </is>
      </c>
      <c r="BC1641" t="inlineStr">
        <is>
          <t>32285002438264</t>
        </is>
      </c>
      <c r="BD1641" t="inlineStr">
        <is>
          <t>893349542</t>
        </is>
      </c>
    </row>
    <row r="1642">
      <c r="A1642" t="inlineStr">
        <is>
          <t>No</t>
        </is>
      </c>
      <c r="B1642" t="inlineStr">
        <is>
          <t>DP186 .S86 2006</t>
        </is>
      </c>
      <c r="C1642" t="inlineStr">
        <is>
          <t>0                      DP 0186000S  86          2006</t>
        </is>
      </c>
      <c r="D1642" t="inlineStr">
        <is>
          <t>The resilience of the Spanish monarchy 1665-1700 / Christopher Storrs.</t>
        </is>
      </c>
      <c r="F1642" t="inlineStr">
        <is>
          <t>No</t>
        </is>
      </c>
      <c r="G1642" t="inlineStr">
        <is>
          <t>1</t>
        </is>
      </c>
      <c r="H1642" t="inlineStr">
        <is>
          <t>No</t>
        </is>
      </c>
      <c r="I1642" t="inlineStr">
        <is>
          <t>No</t>
        </is>
      </c>
      <c r="J1642" t="inlineStr">
        <is>
          <t>0</t>
        </is>
      </c>
      <c r="K1642" t="inlineStr">
        <is>
          <t>Storrs, Christopher.</t>
        </is>
      </c>
      <c r="L1642" t="inlineStr">
        <is>
          <t>Oxford ; New York : Oxford University Press, 2006.</t>
        </is>
      </c>
      <c r="M1642" t="inlineStr">
        <is>
          <t>2006</t>
        </is>
      </c>
      <c r="O1642" t="inlineStr">
        <is>
          <t>eng</t>
        </is>
      </c>
      <c r="P1642" t="inlineStr">
        <is>
          <t>enk</t>
        </is>
      </c>
      <c r="R1642" t="inlineStr">
        <is>
          <t xml:space="preserve">DP </t>
        </is>
      </c>
      <c r="S1642" t="n">
        <v>1</v>
      </c>
      <c r="T1642" t="n">
        <v>1</v>
      </c>
      <c r="U1642" t="inlineStr">
        <is>
          <t>2009-04-14</t>
        </is>
      </c>
      <c r="V1642" t="inlineStr">
        <is>
          <t>2009-04-14</t>
        </is>
      </c>
      <c r="W1642" t="inlineStr">
        <is>
          <t>2009-04-14</t>
        </is>
      </c>
      <c r="X1642" t="inlineStr">
        <is>
          <t>2009-04-14</t>
        </is>
      </c>
      <c r="Y1642" t="n">
        <v>233</v>
      </c>
      <c r="Z1642" t="n">
        <v>162</v>
      </c>
      <c r="AA1642" t="n">
        <v>718</v>
      </c>
      <c r="AB1642" t="n">
        <v>2</v>
      </c>
      <c r="AC1642" t="n">
        <v>13</v>
      </c>
      <c r="AD1642" t="n">
        <v>14</v>
      </c>
      <c r="AE1642" t="n">
        <v>39</v>
      </c>
      <c r="AF1642" t="n">
        <v>6</v>
      </c>
      <c r="AG1642" t="n">
        <v>12</v>
      </c>
      <c r="AH1642" t="n">
        <v>4</v>
      </c>
      <c r="AI1642" t="n">
        <v>10</v>
      </c>
      <c r="AJ1642" t="n">
        <v>8</v>
      </c>
      <c r="AK1642" t="n">
        <v>13</v>
      </c>
      <c r="AL1642" t="n">
        <v>1</v>
      </c>
      <c r="AM1642" t="n">
        <v>10</v>
      </c>
      <c r="AN1642" t="n">
        <v>0</v>
      </c>
      <c r="AO1642" t="n">
        <v>1</v>
      </c>
      <c r="AP1642" t="inlineStr">
        <is>
          <t>No</t>
        </is>
      </c>
      <c r="AQ1642" t="inlineStr">
        <is>
          <t>No</t>
        </is>
      </c>
      <c r="AS1642">
        <f>HYPERLINK("https://creighton-primo.hosted.exlibrisgroup.com/primo-explore/search?tab=default_tab&amp;search_scope=EVERYTHING&amp;vid=01CRU&amp;lang=en_US&amp;offset=0&amp;query=any,contains,991005306379702656","Catalog Record")</f>
        <v/>
      </c>
      <c r="AT1642">
        <f>HYPERLINK("http://www.worldcat.org/oclc/70230677","WorldCat Record")</f>
        <v/>
      </c>
      <c r="AU1642" t="inlineStr">
        <is>
          <t>48502110:eng</t>
        </is>
      </c>
      <c r="AV1642" t="inlineStr">
        <is>
          <t>70230677</t>
        </is>
      </c>
      <c r="AW1642" t="inlineStr">
        <is>
          <t>991005306379702656</t>
        </is>
      </c>
      <c r="AX1642" t="inlineStr">
        <is>
          <t>991005306379702656</t>
        </is>
      </c>
      <c r="AY1642" t="inlineStr">
        <is>
          <t>2265672800002656</t>
        </is>
      </c>
      <c r="AZ1642" t="inlineStr">
        <is>
          <t>BOOK</t>
        </is>
      </c>
      <c r="BB1642" t="inlineStr">
        <is>
          <t>9780199246373</t>
        </is>
      </c>
      <c r="BC1642" t="inlineStr">
        <is>
          <t>32285005515209</t>
        </is>
      </c>
      <c r="BD1642" t="inlineStr">
        <is>
          <t>893701368</t>
        </is>
      </c>
    </row>
    <row r="1643">
      <c r="A1643" t="inlineStr">
        <is>
          <t>No</t>
        </is>
      </c>
      <c r="B1643" t="inlineStr">
        <is>
          <t>DP187 .C76</t>
        </is>
      </c>
      <c r="C1643" t="inlineStr">
        <is>
          <t>0                      DP 0187000C  76</t>
        </is>
      </c>
      <c r="D1643" t="inlineStr">
        <is>
          <t>Una crónica anónima de ʻAbd al-Raḥmān III al-Nāsir, editada por primera vez y traducida, con introducción, notas e índices, por E. Lévi-Provençal y Emilio García Gómez.</t>
        </is>
      </c>
      <c r="F1643" t="inlineStr">
        <is>
          <t>No</t>
        </is>
      </c>
      <c r="G1643" t="inlineStr">
        <is>
          <t>1</t>
        </is>
      </c>
      <c r="H1643" t="inlineStr">
        <is>
          <t>No</t>
        </is>
      </c>
      <c r="I1643" t="inlineStr">
        <is>
          <t>No</t>
        </is>
      </c>
      <c r="J1643" t="inlineStr">
        <is>
          <t>0</t>
        </is>
      </c>
      <c r="L1643" t="inlineStr">
        <is>
          <t>Madrid, Consejo Superior de Investigaciones Científicas, Instituto Miguel Asín, 1950.</t>
        </is>
      </c>
      <c r="M1643" t="inlineStr">
        <is>
          <t>1950</t>
        </is>
      </c>
      <c r="O1643" t="inlineStr">
        <is>
          <t>spa</t>
        </is>
      </c>
      <c r="P1643" t="inlineStr">
        <is>
          <t xml:space="preserve">sp </t>
        </is>
      </c>
      <c r="R1643" t="inlineStr">
        <is>
          <t xml:space="preserve">DP </t>
        </is>
      </c>
      <c r="S1643" t="n">
        <v>0</v>
      </c>
      <c r="T1643" t="n">
        <v>0</v>
      </c>
      <c r="U1643" t="inlineStr">
        <is>
          <t>2008-03-19</t>
        </is>
      </c>
      <c r="V1643" t="inlineStr">
        <is>
          <t>2008-03-19</t>
        </is>
      </c>
      <c r="W1643" t="inlineStr">
        <is>
          <t>1997-02-13</t>
        </is>
      </c>
      <c r="X1643" t="inlineStr">
        <is>
          <t>1997-02-13</t>
        </is>
      </c>
      <c r="Y1643" t="n">
        <v>90</v>
      </c>
      <c r="Z1643" t="n">
        <v>65</v>
      </c>
      <c r="AA1643" t="n">
        <v>70</v>
      </c>
      <c r="AB1643" t="n">
        <v>1</v>
      </c>
      <c r="AC1643" t="n">
        <v>1</v>
      </c>
      <c r="AD1643" t="n">
        <v>4</v>
      </c>
      <c r="AE1643" t="n">
        <v>4</v>
      </c>
      <c r="AF1643" t="n">
        <v>0</v>
      </c>
      <c r="AG1643" t="n">
        <v>0</v>
      </c>
      <c r="AH1643" t="n">
        <v>2</v>
      </c>
      <c r="AI1643" t="n">
        <v>2</v>
      </c>
      <c r="AJ1643" t="n">
        <v>2</v>
      </c>
      <c r="AK1643" t="n">
        <v>2</v>
      </c>
      <c r="AL1643" t="n">
        <v>0</v>
      </c>
      <c r="AM1643" t="n">
        <v>0</v>
      </c>
      <c r="AN1643" t="n">
        <v>0</v>
      </c>
      <c r="AO1643" t="n">
        <v>0</v>
      </c>
      <c r="AP1643" t="inlineStr">
        <is>
          <t>No</t>
        </is>
      </c>
      <c r="AQ1643" t="inlineStr">
        <is>
          <t>Yes</t>
        </is>
      </c>
      <c r="AR1643">
        <f>HYPERLINK("http://catalog.hathitrust.org/Record/001245868","HathiTrust Record")</f>
        <v/>
      </c>
      <c r="AS1643">
        <f>HYPERLINK("https://creighton-primo.hosted.exlibrisgroup.com/primo-explore/search?tab=default_tab&amp;search_scope=EVERYTHING&amp;vid=01CRU&amp;lang=en_US&amp;offset=0&amp;query=any,contains,991004427339702656","Catalog Record")</f>
        <v/>
      </c>
      <c r="AT1643">
        <f>HYPERLINK("http://www.worldcat.org/oclc/3406845","WorldCat Record")</f>
        <v/>
      </c>
      <c r="AU1643" t="inlineStr">
        <is>
          <t>350700588:spa</t>
        </is>
      </c>
      <c r="AV1643" t="inlineStr">
        <is>
          <t>3406845</t>
        </is>
      </c>
      <c r="AW1643" t="inlineStr">
        <is>
          <t>991004427339702656</t>
        </is>
      </c>
      <c r="AX1643" t="inlineStr">
        <is>
          <t>991004427339702656</t>
        </is>
      </c>
      <c r="AY1643" t="inlineStr">
        <is>
          <t>2262263700002656</t>
        </is>
      </c>
      <c r="AZ1643" t="inlineStr">
        <is>
          <t>BOOK</t>
        </is>
      </c>
      <c r="BC1643" t="inlineStr">
        <is>
          <t>32285002438306</t>
        </is>
      </c>
      <c r="BD1643" t="inlineStr">
        <is>
          <t>893519642</t>
        </is>
      </c>
    </row>
    <row r="1644">
      <c r="A1644" t="inlineStr">
        <is>
          <t>No</t>
        </is>
      </c>
      <c r="B1644" t="inlineStr">
        <is>
          <t>DP192 .B47 1974</t>
        </is>
      </c>
      <c r="C1644" t="inlineStr">
        <is>
          <t>0                      DP 0192000B  47          1974</t>
        </is>
      </c>
      <c r="D1644" t="inlineStr">
        <is>
          <t>The Spanish Bourbons : the history of a tenacious dynasty / by John D. Bergamini.</t>
        </is>
      </c>
      <c r="F1644" t="inlineStr">
        <is>
          <t>No</t>
        </is>
      </c>
      <c r="G1644" t="inlineStr">
        <is>
          <t>1</t>
        </is>
      </c>
      <c r="H1644" t="inlineStr">
        <is>
          <t>No</t>
        </is>
      </c>
      <c r="I1644" t="inlineStr">
        <is>
          <t>No</t>
        </is>
      </c>
      <c r="J1644" t="inlineStr">
        <is>
          <t>0</t>
        </is>
      </c>
      <c r="K1644" t="inlineStr">
        <is>
          <t>Bergamini, John D.</t>
        </is>
      </c>
      <c r="L1644" t="inlineStr">
        <is>
          <t>New York : Putnam, [1974]</t>
        </is>
      </c>
      <c r="M1644" t="inlineStr">
        <is>
          <t>1974</t>
        </is>
      </c>
      <c r="O1644" t="inlineStr">
        <is>
          <t>eng</t>
        </is>
      </c>
      <c r="P1644" t="inlineStr">
        <is>
          <t>nyu</t>
        </is>
      </c>
      <c r="R1644" t="inlineStr">
        <is>
          <t xml:space="preserve">DP </t>
        </is>
      </c>
      <c r="S1644" t="n">
        <v>2</v>
      </c>
      <c r="T1644" t="n">
        <v>2</v>
      </c>
      <c r="U1644" t="inlineStr">
        <is>
          <t>1993-09-29</t>
        </is>
      </c>
      <c r="V1644" t="inlineStr">
        <is>
          <t>1993-09-29</t>
        </is>
      </c>
      <c r="W1644" t="inlineStr">
        <is>
          <t>1989-12-08</t>
        </is>
      </c>
      <c r="X1644" t="inlineStr">
        <is>
          <t>1989-12-08</t>
        </is>
      </c>
      <c r="Y1644" t="n">
        <v>831</v>
      </c>
      <c r="Z1644" t="n">
        <v>780</v>
      </c>
      <c r="AA1644" t="n">
        <v>786</v>
      </c>
      <c r="AB1644" t="n">
        <v>4</v>
      </c>
      <c r="AC1644" t="n">
        <v>4</v>
      </c>
      <c r="AD1644" t="n">
        <v>27</v>
      </c>
      <c r="AE1644" t="n">
        <v>27</v>
      </c>
      <c r="AF1644" t="n">
        <v>8</v>
      </c>
      <c r="AG1644" t="n">
        <v>8</v>
      </c>
      <c r="AH1644" t="n">
        <v>6</v>
      </c>
      <c r="AI1644" t="n">
        <v>6</v>
      </c>
      <c r="AJ1644" t="n">
        <v>17</v>
      </c>
      <c r="AK1644" t="n">
        <v>17</v>
      </c>
      <c r="AL1644" t="n">
        <v>3</v>
      </c>
      <c r="AM1644" t="n">
        <v>3</v>
      </c>
      <c r="AN1644" t="n">
        <v>0</v>
      </c>
      <c r="AO1644" t="n">
        <v>0</v>
      </c>
      <c r="AP1644" t="inlineStr">
        <is>
          <t>No</t>
        </is>
      </c>
      <c r="AQ1644" t="inlineStr">
        <is>
          <t>Yes</t>
        </is>
      </c>
      <c r="AR1644">
        <f>HYPERLINK("http://catalog.hathitrust.org/Record/001236768","HathiTrust Record")</f>
        <v/>
      </c>
      <c r="AS1644">
        <f>HYPERLINK("https://creighton-primo.hosted.exlibrisgroup.com/primo-explore/search?tab=default_tab&amp;search_scope=EVERYTHING&amp;vid=01CRU&amp;lang=en_US&amp;offset=0&amp;query=any,contains,991003554359702656","Catalog Record")</f>
        <v/>
      </c>
      <c r="AT1644">
        <f>HYPERLINK("http://www.worldcat.org/oclc/1121280","WorldCat Record")</f>
        <v/>
      </c>
      <c r="AU1644" t="inlineStr">
        <is>
          <t>196632309:eng</t>
        </is>
      </c>
      <c r="AV1644" t="inlineStr">
        <is>
          <t>1121280</t>
        </is>
      </c>
      <c r="AW1644" t="inlineStr">
        <is>
          <t>991003554359702656</t>
        </is>
      </c>
      <c r="AX1644" t="inlineStr">
        <is>
          <t>991003554359702656</t>
        </is>
      </c>
      <c r="AY1644" t="inlineStr">
        <is>
          <t>2268400260002656</t>
        </is>
      </c>
      <c r="AZ1644" t="inlineStr">
        <is>
          <t>BOOK</t>
        </is>
      </c>
      <c r="BB1644" t="inlineStr">
        <is>
          <t>9780399113659</t>
        </is>
      </c>
      <c r="BC1644" t="inlineStr">
        <is>
          <t>32285000019504</t>
        </is>
      </c>
      <c r="BD1644" t="inlineStr">
        <is>
          <t>893805906</t>
        </is>
      </c>
    </row>
    <row r="1645">
      <c r="A1645" t="inlineStr">
        <is>
          <t>No</t>
        </is>
      </c>
      <c r="B1645" t="inlineStr">
        <is>
          <t>DP192 .P3</t>
        </is>
      </c>
      <c r="C1645" t="inlineStr">
        <is>
          <t>0                      DP 0192000P  3</t>
        </is>
      </c>
      <c r="D1645" t="inlineStr">
        <is>
          <t>Los españoles de la ilustración.</t>
        </is>
      </c>
      <c r="F1645" t="inlineStr">
        <is>
          <t>No</t>
        </is>
      </c>
      <c r="G1645" t="inlineStr">
        <is>
          <t>1</t>
        </is>
      </c>
      <c r="H1645" t="inlineStr">
        <is>
          <t>No</t>
        </is>
      </c>
      <c r="I1645" t="inlineStr">
        <is>
          <t>No</t>
        </is>
      </c>
      <c r="J1645" t="inlineStr">
        <is>
          <t>0</t>
        </is>
      </c>
      <c r="K1645" t="inlineStr">
        <is>
          <t>Palacio Atard, Vicente.</t>
        </is>
      </c>
      <c r="L1645" t="inlineStr">
        <is>
          <t>Madrid, Ediciones Guadarrama [c1964]</t>
        </is>
      </c>
      <c r="M1645" t="inlineStr">
        <is>
          <t>1964</t>
        </is>
      </c>
      <c r="O1645" t="inlineStr">
        <is>
          <t>spa</t>
        </is>
      </c>
      <c r="P1645" t="inlineStr">
        <is>
          <t xml:space="preserve">sp </t>
        </is>
      </c>
      <c r="R1645" t="inlineStr">
        <is>
          <t xml:space="preserve">DP </t>
        </is>
      </c>
      <c r="S1645" t="n">
        <v>1</v>
      </c>
      <c r="T1645" t="n">
        <v>1</v>
      </c>
      <c r="U1645" t="inlineStr">
        <is>
          <t>1999-02-02</t>
        </is>
      </c>
      <c r="V1645" t="inlineStr">
        <is>
          <t>1999-02-02</t>
        </is>
      </c>
      <c r="W1645" t="inlineStr">
        <is>
          <t>1997-02-13</t>
        </is>
      </c>
      <c r="X1645" t="inlineStr">
        <is>
          <t>1997-02-13</t>
        </is>
      </c>
      <c r="Y1645" t="n">
        <v>219</v>
      </c>
      <c r="Z1645" t="n">
        <v>167</v>
      </c>
      <c r="AA1645" t="n">
        <v>170</v>
      </c>
      <c r="AB1645" t="n">
        <v>1</v>
      </c>
      <c r="AC1645" t="n">
        <v>1</v>
      </c>
      <c r="AD1645" t="n">
        <v>9</v>
      </c>
      <c r="AE1645" t="n">
        <v>9</v>
      </c>
      <c r="AF1645" t="n">
        <v>3</v>
      </c>
      <c r="AG1645" t="n">
        <v>3</v>
      </c>
      <c r="AH1645" t="n">
        <v>3</v>
      </c>
      <c r="AI1645" t="n">
        <v>3</v>
      </c>
      <c r="AJ1645" t="n">
        <v>5</v>
      </c>
      <c r="AK1645" t="n">
        <v>5</v>
      </c>
      <c r="AL1645" t="n">
        <v>0</v>
      </c>
      <c r="AM1645" t="n">
        <v>0</v>
      </c>
      <c r="AN1645" t="n">
        <v>0</v>
      </c>
      <c r="AO1645" t="n">
        <v>0</v>
      </c>
      <c r="AP1645" t="inlineStr">
        <is>
          <t>No</t>
        </is>
      </c>
      <c r="AQ1645" t="inlineStr">
        <is>
          <t>Yes</t>
        </is>
      </c>
      <c r="AR1645">
        <f>HYPERLINK("http://catalog.hathitrust.org/Record/001858894","HathiTrust Record")</f>
        <v/>
      </c>
      <c r="AS1645">
        <f>HYPERLINK("https://creighton-primo.hosted.exlibrisgroup.com/primo-explore/search?tab=default_tab&amp;search_scope=EVERYTHING&amp;vid=01CRU&amp;lang=en_US&amp;offset=0&amp;query=any,contains,991003392109702656","Catalog Record")</f>
        <v/>
      </c>
      <c r="AT1645">
        <f>HYPERLINK("http://www.worldcat.org/oclc/930515","WorldCat Record")</f>
        <v/>
      </c>
      <c r="AU1645" t="inlineStr">
        <is>
          <t>9415442638:spa</t>
        </is>
      </c>
      <c r="AV1645" t="inlineStr">
        <is>
          <t>930515</t>
        </is>
      </c>
      <c r="AW1645" t="inlineStr">
        <is>
          <t>991003392109702656</t>
        </is>
      </c>
      <c r="AX1645" t="inlineStr">
        <is>
          <t>991003392109702656</t>
        </is>
      </c>
      <c r="AY1645" t="inlineStr">
        <is>
          <t>2269472550002656</t>
        </is>
      </c>
      <c r="AZ1645" t="inlineStr">
        <is>
          <t>BOOK</t>
        </is>
      </c>
      <c r="BC1645" t="inlineStr">
        <is>
          <t>32285002438330</t>
        </is>
      </c>
      <c r="BD1645" t="inlineStr">
        <is>
          <t>893511911</t>
        </is>
      </c>
    </row>
    <row r="1646">
      <c r="A1646" t="inlineStr">
        <is>
          <t>No</t>
        </is>
      </c>
      <c r="B1646" t="inlineStr">
        <is>
          <t>DP203 .L35 1907</t>
        </is>
      </c>
      <c r="C1646" t="inlineStr">
        <is>
          <t>0                      DP 0203000L  35          1907</t>
        </is>
      </c>
      <c r="D1646" t="inlineStr">
        <is>
          <t>Spain in the nineteenth century / by Elizabeth Wormeley Latimer.</t>
        </is>
      </c>
      <c r="F1646" t="inlineStr">
        <is>
          <t>No</t>
        </is>
      </c>
      <c r="G1646" t="inlineStr">
        <is>
          <t>1</t>
        </is>
      </c>
      <c r="H1646" t="inlineStr">
        <is>
          <t>No</t>
        </is>
      </c>
      <c r="I1646" t="inlineStr">
        <is>
          <t>No</t>
        </is>
      </c>
      <c r="J1646" t="inlineStr">
        <is>
          <t>0</t>
        </is>
      </c>
      <c r="K1646" t="inlineStr">
        <is>
          <t>Latimer, Elizabeth Wormeley, 1822-1904.</t>
        </is>
      </c>
      <c r="L1646" t="inlineStr">
        <is>
          <t>Chicago : A.C. McClurg &amp; Co., 1907 [c1897]</t>
        </is>
      </c>
      <c r="M1646" t="inlineStr">
        <is>
          <t>1907</t>
        </is>
      </c>
      <c r="N1646" t="inlineStr">
        <is>
          <t>5th ed.</t>
        </is>
      </c>
      <c r="O1646" t="inlineStr">
        <is>
          <t>eng</t>
        </is>
      </c>
      <c r="P1646" t="inlineStr">
        <is>
          <t xml:space="preserve">xx </t>
        </is>
      </c>
      <c r="R1646" t="inlineStr">
        <is>
          <t xml:space="preserve">DP </t>
        </is>
      </c>
      <c r="S1646" t="n">
        <v>1</v>
      </c>
      <c r="T1646" t="n">
        <v>1</v>
      </c>
      <c r="U1646" t="inlineStr">
        <is>
          <t>2008-10-08</t>
        </is>
      </c>
      <c r="V1646" t="inlineStr">
        <is>
          <t>2008-10-08</t>
        </is>
      </c>
      <c r="W1646" t="inlineStr">
        <is>
          <t>1996-08-01</t>
        </is>
      </c>
      <c r="X1646" t="inlineStr">
        <is>
          <t>1996-08-01</t>
        </is>
      </c>
      <c r="Y1646" t="n">
        <v>33</v>
      </c>
      <c r="Z1646" t="n">
        <v>31</v>
      </c>
      <c r="AA1646" t="n">
        <v>314</v>
      </c>
      <c r="AB1646" t="n">
        <v>1</v>
      </c>
      <c r="AC1646" t="n">
        <v>3</v>
      </c>
      <c r="AD1646" t="n">
        <v>3</v>
      </c>
      <c r="AE1646" t="n">
        <v>14</v>
      </c>
      <c r="AF1646" t="n">
        <v>0</v>
      </c>
      <c r="AG1646" t="n">
        <v>3</v>
      </c>
      <c r="AH1646" t="n">
        <v>0</v>
      </c>
      <c r="AI1646" t="n">
        <v>4</v>
      </c>
      <c r="AJ1646" t="n">
        <v>3</v>
      </c>
      <c r="AK1646" t="n">
        <v>10</v>
      </c>
      <c r="AL1646" t="n">
        <v>0</v>
      </c>
      <c r="AM1646" t="n">
        <v>2</v>
      </c>
      <c r="AN1646" t="n">
        <v>0</v>
      </c>
      <c r="AO1646" t="n">
        <v>0</v>
      </c>
      <c r="AP1646" t="inlineStr">
        <is>
          <t>Yes</t>
        </is>
      </c>
      <c r="AQ1646" t="inlineStr">
        <is>
          <t>No</t>
        </is>
      </c>
      <c r="AR1646">
        <f>HYPERLINK("http://catalog.hathitrust.org/Record/008644406","HathiTrust Record")</f>
        <v/>
      </c>
      <c r="AS1646">
        <f>HYPERLINK("https://creighton-primo.hosted.exlibrisgroup.com/primo-explore/search?tab=default_tab&amp;search_scope=EVERYTHING&amp;vid=01CRU&amp;lang=en_US&amp;offset=0&amp;query=any,contains,991003518019702656","Catalog Record")</f>
        <v/>
      </c>
      <c r="AT1646">
        <f>HYPERLINK("http://www.worldcat.org/oclc/1076434","WorldCat Record")</f>
        <v/>
      </c>
      <c r="AU1646" t="inlineStr">
        <is>
          <t>3863651440:eng</t>
        </is>
      </c>
      <c r="AV1646" t="inlineStr">
        <is>
          <t>1076434</t>
        </is>
      </c>
      <c r="AW1646" t="inlineStr">
        <is>
          <t>991003518019702656</t>
        </is>
      </c>
      <c r="AX1646" t="inlineStr">
        <is>
          <t>991003518019702656</t>
        </is>
      </c>
      <c r="AY1646" t="inlineStr">
        <is>
          <t>2257281150002656</t>
        </is>
      </c>
      <c r="AZ1646" t="inlineStr">
        <is>
          <t>BOOK</t>
        </is>
      </c>
      <c r="BC1646" t="inlineStr">
        <is>
          <t>32285002214962</t>
        </is>
      </c>
      <c r="BD1646" t="inlineStr">
        <is>
          <t>893518555</t>
        </is>
      </c>
    </row>
    <row r="1647">
      <c r="A1647" t="inlineStr">
        <is>
          <t>No</t>
        </is>
      </c>
      <c r="B1647" t="inlineStr">
        <is>
          <t>DP228 .P5</t>
        </is>
      </c>
      <c r="C1647" t="inlineStr">
        <is>
          <t>0                      DP 0228000P  5</t>
        </is>
      </c>
      <c r="D1647" t="inlineStr">
        <is>
          <t>El reinado de Amadeo de Saboya y la república de 1873 / Prólogo y notas de Antonio Jutglar.</t>
        </is>
      </c>
      <c r="F1647" t="inlineStr">
        <is>
          <t>No</t>
        </is>
      </c>
      <c r="G1647" t="inlineStr">
        <is>
          <t>1</t>
        </is>
      </c>
      <c r="H1647" t="inlineStr">
        <is>
          <t>No</t>
        </is>
      </c>
      <c r="I1647" t="inlineStr">
        <is>
          <t>No</t>
        </is>
      </c>
      <c r="J1647" t="inlineStr">
        <is>
          <t>0</t>
        </is>
      </c>
      <c r="K1647" t="inlineStr">
        <is>
          <t>Pí y Margall, Francisco, 1824-1901.</t>
        </is>
      </c>
      <c r="L1647" t="inlineStr">
        <is>
          <t>[Madrid] : Seminarios y Ediciones, [1970]</t>
        </is>
      </c>
      <c r="M1647" t="inlineStr">
        <is>
          <t>1970</t>
        </is>
      </c>
      <c r="O1647" t="inlineStr">
        <is>
          <t>spa</t>
        </is>
      </c>
      <c r="P1647" t="inlineStr">
        <is>
          <t xml:space="preserve">sp </t>
        </is>
      </c>
      <c r="Q1647" t="inlineStr">
        <is>
          <t>Hora H. Ensayos y documentos, 5</t>
        </is>
      </c>
      <c r="R1647" t="inlineStr">
        <is>
          <t xml:space="preserve">DP </t>
        </is>
      </c>
      <c r="S1647" t="n">
        <v>1</v>
      </c>
      <c r="T1647" t="n">
        <v>1</v>
      </c>
      <c r="U1647" t="inlineStr">
        <is>
          <t>2004-09-09</t>
        </is>
      </c>
      <c r="V1647" t="inlineStr">
        <is>
          <t>2004-09-09</t>
        </is>
      </c>
      <c r="W1647" t="inlineStr">
        <is>
          <t>1996-08-01</t>
        </is>
      </c>
      <c r="X1647" t="inlineStr">
        <is>
          <t>1996-08-01</t>
        </is>
      </c>
      <c r="Y1647" t="n">
        <v>58</v>
      </c>
      <c r="Z1647" t="n">
        <v>41</v>
      </c>
      <c r="AA1647" t="n">
        <v>42</v>
      </c>
      <c r="AB1647" t="n">
        <v>1</v>
      </c>
      <c r="AC1647" t="n">
        <v>1</v>
      </c>
      <c r="AD1647" t="n">
        <v>0</v>
      </c>
      <c r="AE1647" t="n">
        <v>0</v>
      </c>
      <c r="AF1647" t="n">
        <v>0</v>
      </c>
      <c r="AG1647" t="n">
        <v>0</v>
      </c>
      <c r="AH1647" t="n">
        <v>0</v>
      </c>
      <c r="AI1647" t="n">
        <v>0</v>
      </c>
      <c r="AJ1647" t="n">
        <v>0</v>
      </c>
      <c r="AK1647" t="n">
        <v>0</v>
      </c>
      <c r="AL1647" t="n">
        <v>0</v>
      </c>
      <c r="AM1647" t="n">
        <v>0</v>
      </c>
      <c r="AN1647" t="n">
        <v>0</v>
      </c>
      <c r="AO1647" t="n">
        <v>0</v>
      </c>
      <c r="AP1647" t="inlineStr">
        <is>
          <t>No</t>
        </is>
      </c>
      <c r="AQ1647" t="inlineStr">
        <is>
          <t>Yes</t>
        </is>
      </c>
      <c r="AR1647">
        <f>HYPERLINK("http://catalog.hathitrust.org/Record/001236914","HathiTrust Record")</f>
        <v/>
      </c>
      <c r="AS1647">
        <f>HYPERLINK("https://creighton-primo.hosted.exlibrisgroup.com/primo-explore/search?tab=default_tab&amp;search_scope=EVERYTHING&amp;vid=01CRU&amp;lang=en_US&amp;offset=0&amp;query=any,contains,991003285089702656","Catalog Record")</f>
        <v/>
      </c>
      <c r="AT1647">
        <f>HYPERLINK("http://www.worldcat.org/oclc/807001","WorldCat Record")</f>
        <v/>
      </c>
      <c r="AU1647" t="inlineStr">
        <is>
          <t>368245554:spa</t>
        </is>
      </c>
      <c r="AV1647" t="inlineStr">
        <is>
          <t>807001</t>
        </is>
      </c>
      <c r="AW1647" t="inlineStr">
        <is>
          <t>991003285089702656</t>
        </is>
      </c>
      <c r="AX1647" t="inlineStr">
        <is>
          <t>991003285089702656</t>
        </is>
      </c>
      <c r="AY1647" t="inlineStr">
        <is>
          <t>2268533120002656</t>
        </is>
      </c>
      <c r="AZ1647" t="inlineStr">
        <is>
          <t>BOOK</t>
        </is>
      </c>
      <c r="BC1647" t="inlineStr">
        <is>
          <t>32285002214988</t>
        </is>
      </c>
      <c r="BD1647" t="inlineStr">
        <is>
          <t>893805617</t>
        </is>
      </c>
    </row>
    <row r="1648">
      <c r="A1648" t="inlineStr">
        <is>
          <t>No</t>
        </is>
      </c>
      <c r="B1648" t="inlineStr">
        <is>
          <t>DP232 .B42</t>
        </is>
      </c>
      <c r="C1648" t="inlineStr">
        <is>
          <t>0                      DP 0232000B  42</t>
        </is>
      </c>
      <c r="D1648" t="inlineStr">
        <is>
          <t>A time of triumph and of sorrow : Spanish politics during the reign of Alfonso XII, 1874-1885 / Earl R. Beck.</t>
        </is>
      </c>
      <c r="F1648" t="inlineStr">
        <is>
          <t>No</t>
        </is>
      </c>
      <c r="G1648" t="inlineStr">
        <is>
          <t>1</t>
        </is>
      </c>
      <c r="H1648" t="inlineStr">
        <is>
          <t>No</t>
        </is>
      </c>
      <c r="I1648" t="inlineStr">
        <is>
          <t>No</t>
        </is>
      </c>
      <c r="J1648" t="inlineStr">
        <is>
          <t>0</t>
        </is>
      </c>
      <c r="K1648" t="inlineStr">
        <is>
          <t>Beck, Earl R. (Earl Ray), 1916-2002.</t>
        </is>
      </c>
      <c r="L1648" t="inlineStr">
        <is>
          <t>Carbondale : Southern Illinois University Press, c1979.</t>
        </is>
      </c>
      <c r="M1648" t="inlineStr">
        <is>
          <t>1979</t>
        </is>
      </c>
      <c r="O1648" t="inlineStr">
        <is>
          <t>eng</t>
        </is>
      </c>
      <c r="P1648" t="inlineStr">
        <is>
          <t>ilu</t>
        </is>
      </c>
      <c r="R1648" t="inlineStr">
        <is>
          <t xml:space="preserve">DP </t>
        </is>
      </c>
      <c r="S1648" t="n">
        <v>2</v>
      </c>
      <c r="T1648" t="n">
        <v>2</v>
      </c>
      <c r="U1648" t="inlineStr">
        <is>
          <t>1998-07-24</t>
        </is>
      </c>
      <c r="V1648" t="inlineStr">
        <is>
          <t>1998-07-24</t>
        </is>
      </c>
      <c r="W1648" t="inlineStr">
        <is>
          <t>1991-10-10</t>
        </is>
      </c>
      <c r="X1648" t="inlineStr">
        <is>
          <t>1991-10-10</t>
        </is>
      </c>
      <c r="Y1648" t="n">
        <v>398</v>
      </c>
      <c r="Z1648" t="n">
        <v>324</v>
      </c>
      <c r="AA1648" t="n">
        <v>325</v>
      </c>
      <c r="AB1648" t="n">
        <v>3</v>
      </c>
      <c r="AC1648" t="n">
        <v>3</v>
      </c>
      <c r="AD1648" t="n">
        <v>17</v>
      </c>
      <c r="AE1648" t="n">
        <v>17</v>
      </c>
      <c r="AF1648" t="n">
        <v>6</v>
      </c>
      <c r="AG1648" t="n">
        <v>6</v>
      </c>
      <c r="AH1648" t="n">
        <v>4</v>
      </c>
      <c r="AI1648" t="n">
        <v>4</v>
      </c>
      <c r="AJ1648" t="n">
        <v>10</v>
      </c>
      <c r="AK1648" t="n">
        <v>10</v>
      </c>
      <c r="AL1648" t="n">
        <v>2</v>
      </c>
      <c r="AM1648" t="n">
        <v>2</v>
      </c>
      <c r="AN1648" t="n">
        <v>0</v>
      </c>
      <c r="AO1648" t="n">
        <v>0</v>
      </c>
      <c r="AP1648" t="inlineStr">
        <is>
          <t>No</t>
        </is>
      </c>
      <c r="AQ1648" t="inlineStr">
        <is>
          <t>Yes</t>
        </is>
      </c>
      <c r="AR1648">
        <f>HYPERLINK("http://catalog.hathitrust.org/Record/000256004","HathiTrust Record")</f>
        <v/>
      </c>
      <c r="AS1648">
        <f>HYPERLINK("https://creighton-primo.hosted.exlibrisgroup.com/primo-explore/search?tab=default_tab&amp;search_scope=EVERYTHING&amp;vid=01CRU&amp;lang=en_US&amp;offset=0&amp;query=any,contains,991004653019702656","Catalog Record")</f>
        <v/>
      </c>
      <c r="AT1648">
        <f>HYPERLINK("http://www.worldcat.org/oclc/4494490","WorldCat Record")</f>
        <v/>
      </c>
      <c r="AU1648" t="inlineStr">
        <is>
          <t>365804426:eng</t>
        </is>
      </c>
      <c r="AV1648" t="inlineStr">
        <is>
          <t>4494490</t>
        </is>
      </c>
      <c r="AW1648" t="inlineStr">
        <is>
          <t>991004653019702656</t>
        </is>
      </c>
      <c r="AX1648" t="inlineStr">
        <is>
          <t>991004653019702656</t>
        </is>
      </c>
      <c r="AY1648" t="inlineStr">
        <is>
          <t>2267710130002656</t>
        </is>
      </c>
      <c r="AZ1648" t="inlineStr">
        <is>
          <t>BOOK</t>
        </is>
      </c>
      <c r="BB1648" t="inlineStr">
        <is>
          <t>9780809309023</t>
        </is>
      </c>
      <c r="BC1648" t="inlineStr">
        <is>
          <t>32285000652932</t>
        </is>
      </c>
      <c r="BD1648" t="inlineStr">
        <is>
          <t>893319486</t>
        </is>
      </c>
    </row>
    <row r="1649">
      <c r="A1649" t="inlineStr">
        <is>
          <t>No</t>
        </is>
      </c>
      <c r="B1649" t="inlineStr">
        <is>
          <t>DP233 .B7 1950</t>
        </is>
      </c>
      <c r="C1649" t="inlineStr">
        <is>
          <t>0                      DP 0233000B  7           1950</t>
        </is>
      </c>
      <c r="D1649" t="inlineStr">
        <is>
          <t>The Spanish labyrinth : an account of the social and political background of the Civil War.</t>
        </is>
      </c>
      <c r="F1649" t="inlineStr">
        <is>
          <t>No</t>
        </is>
      </c>
      <c r="G1649" t="inlineStr">
        <is>
          <t>1</t>
        </is>
      </c>
      <c r="H1649" t="inlineStr">
        <is>
          <t>No</t>
        </is>
      </c>
      <c r="I1649" t="inlineStr">
        <is>
          <t>No</t>
        </is>
      </c>
      <c r="J1649" t="inlineStr">
        <is>
          <t>0</t>
        </is>
      </c>
      <c r="K1649" t="inlineStr">
        <is>
          <t>Brenan, Gerald.</t>
        </is>
      </c>
      <c r="L1649" t="inlineStr">
        <is>
          <t>Cambridge, [Eng.] : University Press, 1950.</t>
        </is>
      </c>
      <c r="M1649" t="inlineStr">
        <is>
          <t>1950</t>
        </is>
      </c>
      <c r="N1649" t="inlineStr">
        <is>
          <t>[2d ed.]</t>
        </is>
      </c>
      <c r="O1649" t="inlineStr">
        <is>
          <t>eng</t>
        </is>
      </c>
      <c r="P1649" t="inlineStr">
        <is>
          <t>enk</t>
        </is>
      </c>
      <c r="R1649" t="inlineStr">
        <is>
          <t xml:space="preserve">DP </t>
        </is>
      </c>
      <c r="S1649" t="n">
        <v>7</v>
      </c>
      <c r="T1649" t="n">
        <v>7</v>
      </c>
      <c r="U1649" t="inlineStr">
        <is>
          <t>2010-03-30</t>
        </is>
      </c>
      <c r="V1649" t="inlineStr">
        <is>
          <t>2010-03-30</t>
        </is>
      </c>
      <c r="W1649" t="inlineStr">
        <is>
          <t>1991-10-17</t>
        </is>
      </c>
      <c r="X1649" t="inlineStr">
        <is>
          <t>1991-10-17</t>
        </is>
      </c>
      <c r="Y1649" t="n">
        <v>617</v>
      </c>
      <c r="Z1649" t="n">
        <v>556</v>
      </c>
      <c r="AA1649" t="n">
        <v>1364</v>
      </c>
      <c r="AB1649" t="n">
        <v>5</v>
      </c>
      <c r="AC1649" t="n">
        <v>10</v>
      </c>
      <c r="AD1649" t="n">
        <v>28</v>
      </c>
      <c r="AE1649" t="n">
        <v>57</v>
      </c>
      <c r="AF1649" t="n">
        <v>13</v>
      </c>
      <c r="AG1649" t="n">
        <v>24</v>
      </c>
      <c r="AH1649" t="n">
        <v>7</v>
      </c>
      <c r="AI1649" t="n">
        <v>11</v>
      </c>
      <c r="AJ1649" t="n">
        <v>11</v>
      </c>
      <c r="AK1649" t="n">
        <v>26</v>
      </c>
      <c r="AL1649" t="n">
        <v>4</v>
      </c>
      <c r="AM1649" t="n">
        <v>9</v>
      </c>
      <c r="AN1649" t="n">
        <v>0</v>
      </c>
      <c r="AO1649" t="n">
        <v>0</v>
      </c>
      <c r="AP1649" t="inlineStr">
        <is>
          <t>No</t>
        </is>
      </c>
      <c r="AQ1649" t="inlineStr">
        <is>
          <t>Yes</t>
        </is>
      </c>
      <c r="AR1649">
        <f>HYPERLINK("http://catalog.hathitrust.org/Record/001236922","HathiTrust Record")</f>
        <v/>
      </c>
      <c r="AS1649">
        <f>HYPERLINK("https://creighton-primo.hosted.exlibrisgroup.com/primo-explore/search?tab=default_tab&amp;search_scope=EVERYTHING&amp;vid=01CRU&amp;lang=en_US&amp;offset=0&amp;query=any,contains,991001088719702656","Catalog Record")</f>
        <v/>
      </c>
      <c r="AT1649">
        <f>HYPERLINK("http://www.worldcat.org/oclc/181103","WorldCat Record")</f>
        <v/>
      </c>
      <c r="AU1649" t="inlineStr">
        <is>
          <t>295319:eng</t>
        </is>
      </c>
      <c r="AV1649" t="inlineStr">
        <is>
          <t>181103</t>
        </is>
      </c>
      <c r="AW1649" t="inlineStr">
        <is>
          <t>991001088719702656</t>
        </is>
      </c>
      <c r="AX1649" t="inlineStr">
        <is>
          <t>991001088719702656</t>
        </is>
      </c>
      <c r="AY1649" t="inlineStr">
        <is>
          <t>2272739310002656</t>
        </is>
      </c>
      <c r="AZ1649" t="inlineStr">
        <is>
          <t>BOOK</t>
        </is>
      </c>
      <c r="BC1649" t="inlineStr">
        <is>
          <t>32285000774777</t>
        </is>
      </c>
      <c r="BD1649" t="inlineStr">
        <is>
          <t>893426310</t>
        </is>
      </c>
    </row>
    <row r="1650">
      <c r="A1650" t="inlineStr">
        <is>
          <t>No</t>
        </is>
      </c>
      <c r="B1650" t="inlineStr">
        <is>
          <t>DP233 .C37 1980</t>
        </is>
      </c>
      <c r="C1650" t="inlineStr">
        <is>
          <t>0                      DP 0233000C  37          1980</t>
        </is>
      </c>
      <c r="D1650" t="inlineStr">
        <is>
          <t>Modern Spain, 1875-1980 / Raymond Carr.</t>
        </is>
      </c>
      <c r="F1650" t="inlineStr">
        <is>
          <t>No</t>
        </is>
      </c>
      <c r="G1650" t="inlineStr">
        <is>
          <t>1</t>
        </is>
      </c>
      <c r="H1650" t="inlineStr">
        <is>
          <t>No</t>
        </is>
      </c>
      <c r="I1650" t="inlineStr">
        <is>
          <t>No</t>
        </is>
      </c>
      <c r="J1650" t="inlineStr">
        <is>
          <t>0</t>
        </is>
      </c>
      <c r="K1650" t="inlineStr">
        <is>
          <t>Carr, Raymond.</t>
        </is>
      </c>
      <c r="L1650" t="inlineStr">
        <is>
          <t>Oxford ; New York : Oxford University Press, c1980.</t>
        </is>
      </c>
      <c r="M1650" t="inlineStr">
        <is>
          <t>1980</t>
        </is>
      </c>
      <c r="O1650" t="inlineStr">
        <is>
          <t>eng</t>
        </is>
      </c>
      <c r="P1650" t="inlineStr">
        <is>
          <t>enk</t>
        </is>
      </c>
      <c r="Q1650" t="inlineStr">
        <is>
          <t>OPUS</t>
        </is>
      </c>
      <c r="R1650" t="inlineStr">
        <is>
          <t xml:space="preserve">DP </t>
        </is>
      </c>
      <c r="S1650" t="n">
        <v>7</v>
      </c>
      <c r="T1650" t="n">
        <v>7</v>
      </c>
      <c r="U1650" t="inlineStr">
        <is>
          <t>2001-02-15</t>
        </is>
      </c>
      <c r="V1650" t="inlineStr">
        <is>
          <t>2001-02-15</t>
        </is>
      </c>
      <c r="W1650" t="inlineStr">
        <is>
          <t>1992-01-28</t>
        </is>
      </c>
      <c r="X1650" t="inlineStr">
        <is>
          <t>1992-01-28</t>
        </is>
      </c>
      <c r="Y1650" t="n">
        <v>852</v>
      </c>
      <c r="Z1650" t="n">
        <v>635</v>
      </c>
      <c r="AA1650" t="n">
        <v>697</v>
      </c>
      <c r="AB1650" t="n">
        <v>2</v>
      </c>
      <c r="AC1650" t="n">
        <v>3</v>
      </c>
      <c r="AD1650" t="n">
        <v>28</v>
      </c>
      <c r="AE1650" t="n">
        <v>30</v>
      </c>
      <c r="AF1650" t="n">
        <v>13</v>
      </c>
      <c r="AG1650" t="n">
        <v>14</v>
      </c>
      <c r="AH1650" t="n">
        <v>9</v>
      </c>
      <c r="AI1650" t="n">
        <v>9</v>
      </c>
      <c r="AJ1650" t="n">
        <v>15</v>
      </c>
      <c r="AK1650" t="n">
        <v>16</v>
      </c>
      <c r="AL1650" t="n">
        <v>1</v>
      </c>
      <c r="AM1650" t="n">
        <v>1</v>
      </c>
      <c r="AN1650" t="n">
        <v>0</v>
      </c>
      <c r="AO1650" t="n">
        <v>0</v>
      </c>
      <c r="AP1650" t="inlineStr">
        <is>
          <t>No</t>
        </is>
      </c>
      <c r="AQ1650" t="inlineStr">
        <is>
          <t>Yes</t>
        </is>
      </c>
      <c r="AR1650">
        <f>HYPERLINK("http://catalog.hathitrust.org/Record/000222566","HathiTrust Record")</f>
        <v/>
      </c>
      <c r="AS1650">
        <f>HYPERLINK("https://creighton-primo.hosted.exlibrisgroup.com/primo-explore/search?tab=default_tab&amp;search_scope=EVERYTHING&amp;vid=01CRU&amp;lang=en_US&amp;offset=0&amp;query=any,contains,991005383709702656","Catalog Record")</f>
        <v/>
      </c>
      <c r="AT1650">
        <f>HYPERLINK("http://www.worldcat.org/oclc/6555498","WorldCat Record")</f>
        <v/>
      </c>
      <c r="AU1650" t="inlineStr">
        <is>
          <t>233387710:eng</t>
        </is>
      </c>
      <c r="AV1650" t="inlineStr">
        <is>
          <t>6555498</t>
        </is>
      </c>
      <c r="AW1650" t="inlineStr">
        <is>
          <t>991005383709702656</t>
        </is>
      </c>
      <c r="AX1650" t="inlineStr">
        <is>
          <t>991005383709702656</t>
        </is>
      </c>
      <c r="AY1650" t="inlineStr">
        <is>
          <t>2255006720002656</t>
        </is>
      </c>
      <c r="AZ1650" t="inlineStr">
        <is>
          <t>BOOK</t>
        </is>
      </c>
      <c r="BB1650" t="inlineStr">
        <is>
          <t>9780192158284</t>
        </is>
      </c>
      <c r="BC1650" t="inlineStr">
        <is>
          <t>32285000867134</t>
        </is>
      </c>
      <c r="BD1650" t="inlineStr">
        <is>
          <t>893332876</t>
        </is>
      </c>
    </row>
    <row r="1651">
      <c r="A1651" t="inlineStr">
        <is>
          <t>No</t>
        </is>
      </c>
      <c r="B1651" t="inlineStr">
        <is>
          <t>DP233.5 .G69 2003</t>
        </is>
      </c>
      <c r="C1651" t="inlineStr">
        <is>
          <t>0                      DP 0233500G  69          2003</t>
        </is>
      </c>
      <c r="D1651" t="inlineStr">
        <is>
          <t>España y sus ejidos / Juan Goytisolo.</t>
        </is>
      </c>
      <c r="F1651" t="inlineStr">
        <is>
          <t>No</t>
        </is>
      </c>
      <c r="G1651" t="inlineStr">
        <is>
          <t>1</t>
        </is>
      </c>
      <c r="H1651" t="inlineStr">
        <is>
          <t>No</t>
        </is>
      </c>
      <c r="I1651" t="inlineStr">
        <is>
          <t>No</t>
        </is>
      </c>
      <c r="J1651" t="inlineStr">
        <is>
          <t>0</t>
        </is>
      </c>
      <c r="K1651" t="inlineStr">
        <is>
          <t>Goytisolo, Juan.</t>
        </is>
      </c>
      <c r="L1651" t="inlineStr">
        <is>
          <t>Majadahonda, Madrid : HMR, Hijos de Muley-Rubio, 2003.</t>
        </is>
      </c>
      <c r="M1651" t="inlineStr">
        <is>
          <t>2003</t>
        </is>
      </c>
      <c r="N1651" t="inlineStr">
        <is>
          <t>1. ed.</t>
        </is>
      </c>
      <c r="O1651" t="inlineStr">
        <is>
          <t>spa</t>
        </is>
      </c>
      <c r="P1651" t="inlineStr">
        <is>
          <t xml:space="preserve">sp </t>
        </is>
      </c>
      <c r="Q1651" t="inlineStr">
        <is>
          <t>Material memoria</t>
        </is>
      </c>
      <c r="R1651" t="inlineStr">
        <is>
          <t xml:space="preserve">DP </t>
        </is>
      </c>
      <c r="S1651" t="n">
        <v>1</v>
      </c>
      <c r="T1651" t="n">
        <v>1</v>
      </c>
      <c r="U1651" t="inlineStr">
        <is>
          <t>2010-03-04</t>
        </is>
      </c>
      <c r="V1651" t="inlineStr">
        <is>
          <t>2010-03-04</t>
        </is>
      </c>
      <c r="W1651" t="inlineStr">
        <is>
          <t>2010-03-04</t>
        </is>
      </c>
      <c r="X1651" t="inlineStr">
        <is>
          <t>2010-03-04</t>
        </is>
      </c>
      <c r="Y1651" t="n">
        <v>69</v>
      </c>
      <c r="Z1651" t="n">
        <v>51</v>
      </c>
      <c r="AA1651" t="n">
        <v>51</v>
      </c>
      <c r="AB1651" t="n">
        <v>1</v>
      </c>
      <c r="AC1651" t="n">
        <v>1</v>
      </c>
      <c r="AD1651" t="n">
        <v>3</v>
      </c>
      <c r="AE1651" t="n">
        <v>3</v>
      </c>
      <c r="AF1651" t="n">
        <v>0</v>
      </c>
      <c r="AG1651" t="n">
        <v>0</v>
      </c>
      <c r="AH1651" t="n">
        <v>3</v>
      </c>
      <c r="AI1651" t="n">
        <v>3</v>
      </c>
      <c r="AJ1651" t="n">
        <v>1</v>
      </c>
      <c r="AK1651" t="n">
        <v>1</v>
      </c>
      <c r="AL1651" t="n">
        <v>0</v>
      </c>
      <c r="AM1651" t="n">
        <v>0</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HYPERLINK("https://creighton-primo.hosted.exlibrisgroup.com/primo-explore/search?tab=default_tab&amp;search_scope=EVERYTHING&amp;vid=01CRU&amp;lang=en_US&amp;offset=0&amp;query=any,contains,991005369279702656","Catalog Record")</f>
        <v/>
      </c>
      <c r="AT1651">
        <f>HYPERLINK("http://www.worldcat.org/oclc/52104837","WorldCat Record")</f>
        <v/>
      </c>
      <c r="AU1651" t="inlineStr">
        <is>
          <t>8948704:spa</t>
        </is>
      </c>
      <c r="AV1651" t="inlineStr">
        <is>
          <t>52104837</t>
        </is>
      </c>
      <c r="AW1651" t="inlineStr">
        <is>
          <t>991005369279702656</t>
        </is>
      </c>
      <c r="AX1651" t="inlineStr">
        <is>
          <t>991005369279702656</t>
        </is>
      </c>
      <c r="AY1651" t="inlineStr">
        <is>
          <t>2271368880002656</t>
        </is>
      </c>
      <c r="AZ1651" t="inlineStr">
        <is>
          <t>BOOK</t>
        </is>
      </c>
      <c r="BB1651" t="inlineStr">
        <is>
          <t>9788492343393</t>
        </is>
      </c>
      <c r="BC1651" t="inlineStr">
        <is>
          <t>32285005577019</t>
        </is>
      </c>
      <c r="BD1651" t="inlineStr">
        <is>
          <t>893783523</t>
        </is>
      </c>
    </row>
    <row r="1652">
      <c r="A1652" t="inlineStr">
        <is>
          <t>No</t>
        </is>
      </c>
      <c r="B1652" t="inlineStr">
        <is>
          <t>DP233.5 .M34 1987</t>
        </is>
      </c>
      <c r="C1652" t="inlineStr">
        <is>
          <t>0                      DP 0233500M  34          1987</t>
        </is>
      </c>
      <c r="D1652" t="inlineStr">
        <is>
          <t>Rojos y rebeldes : la cultura de la disidencia durante el franquismo / Shirley Mangini.</t>
        </is>
      </c>
      <c r="F1652" t="inlineStr">
        <is>
          <t>No</t>
        </is>
      </c>
      <c r="G1652" t="inlineStr">
        <is>
          <t>1</t>
        </is>
      </c>
      <c r="H1652" t="inlineStr">
        <is>
          <t>No</t>
        </is>
      </c>
      <c r="I1652" t="inlineStr">
        <is>
          <t>No</t>
        </is>
      </c>
      <c r="J1652" t="inlineStr">
        <is>
          <t>0</t>
        </is>
      </c>
      <c r="K1652" t="inlineStr">
        <is>
          <t>Mangini González, Shirley, 1946-</t>
        </is>
      </c>
      <c r="L1652" t="inlineStr">
        <is>
          <t>Barcelona : Anthropos, 1987.</t>
        </is>
      </c>
      <c r="M1652" t="inlineStr">
        <is>
          <t>1987</t>
        </is>
      </c>
      <c r="N1652" t="inlineStr">
        <is>
          <t>1a ed.</t>
        </is>
      </c>
      <c r="O1652" t="inlineStr">
        <is>
          <t>spa</t>
        </is>
      </c>
      <c r="P1652" t="inlineStr">
        <is>
          <t xml:space="preserve">sp </t>
        </is>
      </c>
      <c r="Q1652" t="inlineStr">
        <is>
          <t>Ambitos literarios. Ensayo ; 17</t>
        </is>
      </c>
      <c r="R1652" t="inlineStr">
        <is>
          <t xml:space="preserve">DP </t>
        </is>
      </c>
      <c r="S1652" t="n">
        <v>1</v>
      </c>
      <c r="T1652" t="n">
        <v>1</v>
      </c>
      <c r="U1652" t="inlineStr">
        <is>
          <t>2004-06-10</t>
        </is>
      </c>
      <c r="V1652" t="inlineStr">
        <is>
          <t>2004-06-10</t>
        </is>
      </c>
      <c r="W1652" t="inlineStr">
        <is>
          <t>2004-06-10</t>
        </is>
      </c>
      <c r="X1652" t="inlineStr">
        <is>
          <t>2004-06-10</t>
        </is>
      </c>
      <c r="Y1652" t="n">
        <v>141</v>
      </c>
      <c r="Z1652" t="n">
        <v>96</v>
      </c>
      <c r="AA1652" t="n">
        <v>97</v>
      </c>
      <c r="AB1652" t="n">
        <v>1</v>
      </c>
      <c r="AC1652" t="n">
        <v>1</v>
      </c>
      <c r="AD1652" t="n">
        <v>3</v>
      </c>
      <c r="AE1652" t="n">
        <v>3</v>
      </c>
      <c r="AF1652" t="n">
        <v>1</v>
      </c>
      <c r="AG1652" t="n">
        <v>1</v>
      </c>
      <c r="AH1652" t="n">
        <v>2</v>
      </c>
      <c r="AI1652" t="n">
        <v>2</v>
      </c>
      <c r="AJ1652" t="n">
        <v>2</v>
      </c>
      <c r="AK1652" t="n">
        <v>2</v>
      </c>
      <c r="AL1652" t="n">
        <v>0</v>
      </c>
      <c r="AM1652" t="n">
        <v>0</v>
      </c>
      <c r="AN1652" t="n">
        <v>0</v>
      </c>
      <c r="AO1652" t="n">
        <v>0</v>
      </c>
      <c r="AP1652" t="inlineStr">
        <is>
          <t>No</t>
        </is>
      </c>
      <c r="AQ1652" t="inlineStr">
        <is>
          <t>Yes</t>
        </is>
      </c>
      <c r="AR1652">
        <f>HYPERLINK("http://catalog.hathitrust.org/Record/000847852","HathiTrust Record")</f>
        <v/>
      </c>
      <c r="AS1652">
        <f>HYPERLINK("https://creighton-primo.hosted.exlibrisgroup.com/primo-explore/search?tab=default_tab&amp;search_scope=EVERYTHING&amp;vid=01CRU&amp;lang=en_US&amp;offset=0&amp;query=any,contains,991004270989702656","Catalog Record")</f>
        <v/>
      </c>
      <c r="AT1652">
        <f>HYPERLINK("http://www.worldcat.org/oclc/17373679","WorldCat Record")</f>
        <v/>
      </c>
      <c r="AU1652" t="inlineStr">
        <is>
          <t>15775510:spa</t>
        </is>
      </c>
      <c r="AV1652" t="inlineStr">
        <is>
          <t>17373679</t>
        </is>
      </c>
      <c r="AW1652" t="inlineStr">
        <is>
          <t>991004270989702656</t>
        </is>
      </c>
      <c r="AX1652" t="inlineStr">
        <is>
          <t>991004270989702656</t>
        </is>
      </c>
      <c r="AY1652" t="inlineStr">
        <is>
          <t>2270001730002656</t>
        </is>
      </c>
      <c r="AZ1652" t="inlineStr">
        <is>
          <t>BOOK</t>
        </is>
      </c>
      <c r="BB1652" t="inlineStr">
        <is>
          <t>9788476580332</t>
        </is>
      </c>
      <c r="BC1652" t="inlineStr">
        <is>
          <t>32285004909346</t>
        </is>
      </c>
      <c r="BD1652" t="inlineStr">
        <is>
          <t>893612151</t>
        </is>
      </c>
    </row>
    <row r="1653">
      <c r="A1653" t="inlineStr">
        <is>
          <t>No</t>
        </is>
      </c>
      <c r="B1653" t="inlineStr">
        <is>
          <t>DP233.5 .P56 1996</t>
        </is>
      </c>
      <c r="C1653" t="inlineStr">
        <is>
          <t>0                      DP 0233500P  56          1996</t>
        </is>
      </c>
      <c r="D1653" t="inlineStr">
        <is>
          <t>The passing of Spanish traditionalism : deprivation, transformation, credence / Lawrence J. Pinnie.</t>
        </is>
      </c>
      <c r="F1653" t="inlineStr">
        <is>
          <t>No</t>
        </is>
      </c>
      <c r="G1653" t="inlineStr">
        <is>
          <t>1</t>
        </is>
      </c>
      <c r="H1653" t="inlineStr">
        <is>
          <t>No</t>
        </is>
      </c>
      <c r="I1653" t="inlineStr">
        <is>
          <t>No</t>
        </is>
      </c>
      <c r="J1653" t="inlineStr">
        <is>
          <t>0</t>
        </is>
      </c>
      <c r="K1653" t="inlineStr">
        <is>
          <t>Pinnie, Lawrence J.</t>
        </is>
      </c>
      <c r="L1653" t="inlineStr">
        <is>
          <t>New York : Vantage Press, 1996.</t>
        </is>
      </c>
      <c r="M1653" t="inlineStr">
        <is>
          <t>1996</t>
        </is>
      </c>
      <c r="N1653" t="inlineStr">
        <is>
          <t>1st ed.</t>
        </is>
      </c>
      <c r="O1653" t="inlineStr">
        <is>
          <t>eng</t>
        </is>
      </c>
      <c r="P1653" t="inlineStr">
        <is>
          <t>nyu</t>
        </is>
      </c>
      <c r="R1653" t="inlineStr">
        <is>
          <t xml:space="preserve">DP </t>
        </is>
      </c>
      <c r="S1653" t="n">
        <v>1</v>
      </c>
      <c r="T1653" t="n">
        <v>1</v>
      </c>
      <c r="U1653" t="inlineStr">
        <is>
          <t>2007-04-11</t>
        </is>
      </c>
      <c r="V1653" t="inlineStr">
        <is>
          <t>2007-04-11</t>
        </is>
      </c>
      <c r="W1653" t="inlineStr">
        <is>
          <t>1999-04-19</t>
        </is>
      </c>
      <c r="X1653" t="inlineStr">
        <is>
          <t>1999-04-19</t>
        </is>
      </c>
      <c r="Y1653" t="n">
        <v>322</v>
      </c>
      <c r="Z1653" t="n">
        <v>304</v>
      </c>
      <c r="AA1653" t="n">
        <v>311</v>
      </c>
      <c r="AB1653" t="n">
        <v>4</v>
      </c>
      <c r="AC1653" t="n">
        <v>4</v>
      </c>
      <c r="AD1653" t="n">
        <v>21</v>
      </c>
      <c r="AE1653" t="n">
        <v>21</v>
      </c>
      <c r="AF1653" t="n">
        <v>7</v>
      </c>
      <c r="AG1653" t="n">
        <v>7</v>
      </c>
      <c r="AH1653" t="n">
        <v>6</v>
      </c>
      <c r="AI1653" t="n">
        <v>6</v>
      </c>
      <c r="AJ1653" t="n">
        <v>10</v>
      </c>
      <c r="AK1653" t="n">
        <v>10</v>
      </c>
      <c r="AL1653" t="n">
        <v>3</v>
      </c>
      <c r="AM1653" t="n">
        <v>3</v>
      </c>
      <c r="AN1653" t="n">
        <v>0</v>
      </c>
      <c r="AO1653" t="n">
        <v>0</v>
      </c>
      <c r="AP1653" t="inlineStr">
        <is>
          <t>No</t>
        </is>
      </c>
      <c r="AQ1653" t="inlineStr">
        <is>
          <t>Yes</t>
        </is>
      </c>
      <c r="AR1653">
        <f>HYPERLINK("http://catalog.hathitrust.org/Record/003305907","HathiTrust Record")</f>
        <v/>
      </c>
      <c r="AS1653">
        <f>HYPERLINK("https://creighton-primo.hosted.exlibrisgroup.com/primo-explore/search?tab=default_tab&amp;search_scope=EVERYTHING&amp;vid=01CRU&amp;lang=en_US&amp;offset=0&amp;query=any,contains,991002805989702656","Catalog Record")</f>
        <v/>
      </c>
      <c r="AT1653">
        <f>HYPERLINK("http://www.worldcat.org/oclc/36860563","WorldCat Record")</f>
        <v/>
      </c>
      <c r="AU1653" t="inlineStr">
        <is>
          <t>319418151:eng</t>
        </is>
      </c>
      <c r="AV1653" t="inlineStr">
        <is>
          <t>36860563</t>
        </is>
      </c>
      <c r="AW1653" t="inlineStr">
        <is>
          <t>991002805989702656</t>
        </is>
      </c>
      <c r="AX1653" t="inlineStr">
        <is>
          <t>991002805989702656</t>
        </is>
      </c>
      <c r="AY1653" t="inlineStr">
        <is>
          <t>2264420060002656</t>
        </is>
      </c>
      <c r="AZ1653" t="inlineStr">
        <is>
          <t>BOOK</t>
        </is>
      </c>
      <c r="BB1653" t="inlineStr">
        <is>
          <t>9780965569804</t>
        </is>
      </c>
      <c r="BC1653" t="inlineStr">
        <is>
          <t>32285003553426</t>
        </is>
      </c>
      <c r="BD1653" t="inlineStr">
        <is>
          <t>893685811</t>
        </is>
      </c>
    </row>
    <row r="1654">
      <c r="A1654" t="inlineStr">
        <is>
          <t>No</t>
        </is>
      </c>
      <c r="B1654" t="inlineStr">
        <is>
          <t>DP233.5 .S7 1995</t>
        </is>
      </c>
      <c r="C1654" t="inlineStr">
        <is>
          <t>0                      DP 0233500S  7           1995</t>
        </is>
      </c>
      <c r="D1654" t="inlineStr">
        <is>
          <t>Spanish cultural studies : an introduction : the struggle for modernity / edited by Helen Graham and Jo Labanyi.</t>
        </is>
      </c>
      <c r="F1654" t="inlineStr">
        <is>
          <t>No</t>
        </is>
      </c>
      <c r="G1654" t="inlineStr">
        <is>
          <t>1</t>
        </is>
      </c>
      <c r="H1654" t="inlineStr">
        <is>
          <t>No</t>
        </is>
      </c>
      <c r="I1654" t="inlineStr">
        <is>
          <t>No</t>
        </is>
      </c>
      <c r="J1654" t="inlineStr">
        <is>
          <t>0</t>
        </is>
      </c>
      <c r="L1654" t="inlineStr">
        <is>
          <t>Oxford [England] ; New York : Oxford University Press, 1995.</t>
        </is>
      </c>
      <c r="M1654" t="inlineStr">
        <is>
          <t>1995</t>
        </is>
      </c>
      <c r="O1654" t="inlineStr">
        <is>
          <t>eng</t>
        </is>
      </c>
      <c r="P1654" t="inlineStr">
        <is>
          <t>enk</t>
        </is>
      </c>
      <c r="R1654" t="inlineStr">
        <is>
          <t xml:space="preserve">DP </t>
        </is>
      </c>
      <c r="S1654" t="n">
        <v>9</v>
      </c>
      <c r="T1654" t="n">
        <v>9</v>
      </c>
      <c r="U1654" t="inlineStr">
        <is>
          <t>2009-11-09</t>
        </is>
      </c>
      <c r="V1654" t="inlineStr">
        <is>
          <t>2009-11-09</t>
        </is>
      </c>
      <c r="W1654" t="inlineStr">
        <is>
          <t>1996-06-05</t>
        </is>
      </c>
      <c r="X1654" t="inlineStr">
        <is>
          <t>1996-06-05</t>
        </is>
      </c>
      <c r="Y1654" t="n">
        <v>668</v>
      </c>
      <c r="Z1654" t="n">
        <v>504</v>
      </c>
      <c r="AA1654" t="n">
        <v>512</v>
      </c>
      <c r="AB1654" t="n">
        <v>6</v>
      </c>
      <c r="AC1654" t="n">
        <v>6</v>
      </c>
      <c r="AD1654" t="n">
        <v>33</v>
      </c>
      <c r="AE1654" t="n">
        <v>33</v>
      </c>
      <c r="AF1654" t="n">
        <v>13</v>
      </c>
      <c r="AG1654" t="n">
        <v>13</v>
      </c>
      <c r="AH1654" t="n">
        <v>9</v>
      </c>
      <c r="AI1654" t="n">
        <v>9</v>
      </c>
      <c r="AJ1654" t="n">
        <v>14</v>
      </c>
      <c r="AK1654" t="n">
        <v>14</v>
      </c>
      <c r="AL1654" t="n">
        <v>5</v>
      </c>
      <c r="AM1654" t="n">
        <v>5</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HYPERLINK("https://creighton-primo.hosted.exlibrisgroup.com/primo-explore/search?tab=default_tab&amp;search_scope=EVERYTHING&amp;vid=01CRU&amp;lang=en_US&amp;offset=0&amp;query=any,contains,991002493099702656","Catalog Record")</f>
        <v/>
      </c>
      <c r="AT1654">
        <f>HYPERLINK("http://www.worldcat.org/oclc/32431980","WorldCat Record")</f>
        <v/>
      </c>
      <c r="AU1654" t="inlineStr">
        <is>
          <t>837078631:eng</t>
        </is>
      </c>
      <c r="AV1654" t="inlineStr">
        <is>
          <t>32431980</t>
        </is>
      </c>
      <c r="AW1654" t="inlineStr">
        <is>
          <t>991002493099702656</t>
        </is>
      </c>
      <c r="AX1654" t="inlineStr">
        <is>
          <t>991002493099702656</t>
        </is>
      </c>
      <c r="AY1654" t="inlineStr">
        <is>
          <t>2256921910002656</t>
        </is>
      </c>
      <c r="AZ1654" t="inlineStr">
        <is>
          <t>BOOK</t>
        </is>
      </c>
      <c r="BB1654" t="inlineStr">
        <is>
          <t>9780198151951</t>
        </is>
      </c>
      <c r="BC1654" t="inlineStr">
        <is>
          <t>32285002187945</t>
        </is>
      </c>
      <c r="BD1654" t="inlineStr">
        <is>
          <t>893523675</t>
        </is>
      </c>
    </row>
    <row r="1655">
      <c r="A1655" t="inlineStr">
        <is>
          <t>No</t>
        </is>
      </c>
      <c r="B1655" t="inlineStr">
        <is>
          <t>DP233.5 .T74 2008</t>
        </is>
      </c>
      <c r="C1655" t="inlineStr">
        <is>
          <t>0                      DP 0233500T  74          2008</t>
        </is>
      </c>
      <c r="D1655" t="inlineStr">
        <is>
          <t>Ghosts of Spain : travels through Spain and its silent past / Giles Tremlett.</t>
        </is>
      </c>
      <c r="F1655" t="inlineStr">
        <is>
          <t>No</t>
        </is>
      </c>
      <c r="G1655" t="inlineStr">
        <is>
          <t>1</t>
        </is>
      </c>
      <c r="H1655" t="inlineStr">
        <is>
          <t>No</t>
        </is>
      </c>
      <c r="I1655" t="inlineStr">
        <is>
          <t>No</t>
        </is>
      </c>
      <c r="J1655" t="inlineStr">
        <is>
          <t>0</t>
        </is>
      </c>
      <c r="K1655" t="inlineStr">
        <is>
          <t>Tremlett, Giles.</t>
        </is>
      </c>
      <c r="L1655" t="inlineStr">
        <is>
          <t>New York : Walker &amp; Co. : Distributed to the trade by Macmillan, c2008.</t>
        </is>
      </c>
      <c r="M1655" t="inlineStr">
        <is>
          <t>2008</t>
        </is>
      </c>
      <c r="O1655" t="inlineStr">
        <is>
          <t>eng</t>
        </is>
      </c>
      <c r="P1655" t="inlineStr">
        <is>
          <t>nyu</t>
        </is>
      </c>
      <c r="R1655" t="inlineStr">
        <is>
          <t xml:space="preserve">DP </t>
        </is>
      </c>
      <c r="S1655" t="n">
        <v>1</v>
      </c>
      <c r="T1655" t="n">
        <v>1</v>
      </c>
      <c r="U1655" t="inlineStr">
        <is>
          <t>2010-12-07</t>
        </is>
      </c>
      <c r="V1655" t="inlineStr">
        <is>
          <t>2010-12-07</t>
        </is>
      </c>
      <c r="W1655" t="inlineStr">
        <is>
          <t>2010-12-07</t>
        </is>
      </c>
      <c r="X1655" t="inlineStr">
        <is>
          <t>2010-12-07</t>
        </is>
      </c>
      <c r="Y1655" t="n">
        <v>107</v>
      </c>
      <c r="Z1655" t="n">
        <v>100</v>
      </c>
      <c r="AA1655" t="n">
        <v>727</v>
      </c>
      <c r="AB1655" t="n">
        <v>3</v>
      </c>
      <c r="AC1655" t="n">
        <v>5</v>
      </c>
      <c r="AD1655" t="n">
        <v>4</v>
      </c>
      <c r="AE1655" t="n">
        <v>22</v>
      </c>
      <c r="AF1655" t="n">
        <v>2</v>
      </c>
      <c r="AG1655" t="n">
        <v>10</v>
      </c>
      <c r="AH1655" t="n">
        <v>0</v>
      </c>
      <c r="AI1655" t="n">
        <v>6</v>
      </c>
      <c r="AJ1655" t="n">
        <v>1</v>
      </c>
      <c r="AK1655" t="n">
        <v>8</v>
      </c>
      <c r="AL1655" t="n">
        <v>2</v>
      </c>
      <c r="AM1655" t="n">
        <v>3</v>
      </c>
      <c r="AN1655" t="n">
        <v>0</v>
      </c>
      <c r="AO1655" t="n">
        <v>0</v>
      </c>
      <c r="AP1655" t="inlineStr">
        <is>
          <t>No</t>
        </is>
      </c>
      <c r="AQ1655" t="inlineStr">
        <is>
          <t>No</t>
        </is>
      </c>
      <c r="AS1655">
        <f>HYPERLINK("https://creighton-primo.hosted.exlibrisgroup.com/primo-explore/search?tab=default_tab&amp;search_scope=EVERYTHING&amp;vid=01CRU&amp;lang=en_US&amp;offset=0&amp;query=any,contains,991000378339702656","Catalog Record")</f>
        <v/>
      </c>
      <c r="AT1655">
        <f>HYPERLINK("http://www.worldcat.org/oclc/173240093","WorldCat Record")</f>
        <v/>
      </c>
      <c r="AU1655" t="inlineStr">
        <is>
          <t>9593632525:eng</t>
        </is>
      </c>
      <c r="AV1655" t="inlineStr">
        <is>
          <t>173240093</t>
        </is>
      </c>
      <c r="AW1655" t="inlineStr">
        <is>
          <t>991000378339702656</t>
        </is>
      </c>
      <c r="AX1655" t="inlineStr">
        <is>
          <t>991000378339702656</t>
        </is>
      </c>
      <c r="AY1655" t="inlineStr">
        <is>
          <t>2267787530002656</t>
        </is>
      </c>
      <c r="AZ1655" t="inlineStr">
        <is>
          <t>BOOK</t>
        </is>
      </c>
      <c r="BB1655" t="inlineStr">
        <is>
          <t>9780802716743</t>
        </is>
      </c>
      <c r="BC1655" t="inlineStr">
        <is>
          <t>32285005609200</t>
        </is>
      </c>
      <c r="BD1655" t="inlineStr">
        <is>
          <t>893771576</t>
        </is>
      </c>
    </row>
    <row r="1656">
      <c r="A1656" t="inlineStr">
        <is>
          <t>No</t>
        </is>
      </c>
      <c r="B1656" t="inlineStr">
        <is>
          <t>DP236.A2 B458 1992</t>
        </is>
      </c>
      <c r="C1656" t="inlineStr">
        <is>
          <t>0                      DP 0236000A  2                  B  458         1992</t>
        </is>
      </c>
      <c r="D1656" t="inlineStr">
        <is>
          <t>Evocación santanderina de la Reina Victoria Eugenia / Pablo Beltrán de Heredia.</t>
        </is>
      </c>
      <c r="F1656" t="inlineStr">
        <is>
          <t>No</t>
        </is>
      </c>
      <c r="G1656" t="inlineStr">
        <is>
          <t>1</t>
        </is>
      </c>
      <c r="H1656" t="inlineStr">
        <is>
          <t>No</t>
        </is>
      </c>
      <c r="I1656" t="inlineStr">
        <is>
          <t>No</t>
        </is>
      </c>
      <c r="J1656" t="inlineStr">
        <is>
          <t>0</t>
        </is>
      </c>
      <c r="K1656" t="inlineStr">
        <is>
          <t>Beltrán de Heredia, Pablo.</t>
        </is>
      </c>
      <c r="L1656" t="inlineStr">
        <is>
          <t>Santander : Artes Gráficas Gonzalo Bedia, 1992.</t>
        </is>
      </c>
      <c r="M1656" t="inlineStr">
        <is>
          <t>1992</t>
        </is>
      </c>
      <c r="O1656" t="inlineStr">
        <is>
          <t>spa</t>
        </is>
      </c>
      <c r="P1656" t="inlineStr">
        <is>
          <t xml:space="preserve">sp </t>
        </is>
      </c>
      <c r="Q1656" t="inlineStr">
        <is>
          <t>Colofón del año</t>
        </is>
      </c>
      <c r="R1656" t="inlineStr">
        <is>
          <t xml:space="preserve">DP </t>
        </is>
      </c>
      <c r="S1656" t="n">
        <v>1</v>
      </c>
      <c r="T1656" t="n">
        <v>1</v>
      </c>
      <c r="U1656" t="inlineStr">
        <is>
          <t>2005-03-22</t>
        </is>
      </c>
      <c r="V1656" t="inlineStr">
        <is>
          <t>2005-03-22</t>
        </is>
      </c>
      <c r="W1656" t="inlineStr">
        <is>
          <t>2005-03-22</t>
        </is>
      </c>
      <c r="X1656" t="inlineStr">
        <is>
          <t>2005-03-22</t>
        </is>
      </c>
      <c r="Y1656" t="n">
        <v>3</v>
      </c>
      <c r="Z1656" t="n">
        <v>2</v>
      </c>
      <c r="AA1656" t="n">
        <v>2</v>
      </c>
      <c r="AB1656" t="n">
        <v>1</v>
      </c>
      <c r="AC1656" t="n">
        <v>1</v>
      </c>
      <c r="AD1656" t="n">
        <v>0</v>
      </c>
      <c r="AE1656" t="n">
        <v>0</v>
      </c>
      <c r="AF1656" t="n">
        <v>0</v>
      </c>
      <c r="AG1656" t="n">
        <v>0</v>
      </c>
      <c r="AH1656" t="n">
        <v>0</v>
      </c>
      <c r="AI1656" t="n">
        <v>0</v>
      </c>
      <c r="AJ1656" t="n">
        <v>0</v>
      </c>
      <c r="AK1656" t="n">
        <v>0</v>
      </c>
      <c r="AL1656" t="n">
        <v>0</v>
      </c>
      <c r="AM1656" t="n">
        <v>0</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HYPERLINK("https://creighton-primo.hosted.exlibrisgroup.com/primo-explore/search?tab=default_tab&amp;search_scope=EVERYTHING&amp;vid=01CRU&amp;lang=en_US&amp;offset=0&amp;query=any,contains,991004508229702656","Catalog Record")</f>
        <v/>
      </c>
      <c r="AT1656">
        <f>HYPERLINK("http://www.worldcat.org/oclc/55890483","WorldCat Record")</f>
        <v/>
      </c>
      <c r="AU1656" t="inlineStr">
        <is>
          <t>16600530:spa</t>
        </is>
      </c>
      <c r="AV1656" t="inlineStr">
        <is>
          <t>55890483</t>
        </is>
      </c>
      <c r="AW1656" t="inlineStr">
        <is>
          <t>991004508229702656</t>
        </is>
      </c>
      <c r="AX1656" t="inlineStr">
        <is>
          <t>991004508229702656</t>
        </is>
      </c>
      <c r="AY1656" t="inlineStr">
        <is>
          <t>2261926680002656</t>
        </is>
      </c>
      <c r="AZ1656" t="inlineStr">
        <is>
          <t>BOOK</t>
        </is>
      </c>
      <c r="BB1656" t="inlineStr">
        <is>
          <t>9788460442899</t>
        </is>
      </c>
      <c r="BC1656" t="inlineStr">
        <is>
          <t>32285005029615</t>
        </is>
      </c>
      <c r="BD1656" t="inlineStr">
        <is>
          <t>893430148</t>
        </is>
      </c>
    </row>
    <row r="1657">
      <c r="A1657" t="inlineStr">
        <is>
          <t>No</t>
        </is>
      </c>
      <c r="B1657" t="inlineStr">
        <is>
          <t>DP236.B3 A28</t>
        </is>
      </c>
      <c r="C1657" t="inlineStr">
        <is>
          <t>0                      DP 0236000B  3                  A  28</t>
        </is>
      </c>
      <c r="D1657" t="inlineStr">
        <is>
          <t>The forging of a rebel / translated from the Spanish by Ilsa Barea.</t>
        </is>
      </c>
      <c r="F1657" t="inlineStr">
        <is>
          <t>No</t>
        </is>
      </c>
      <c r="G1657" t="inlineStr">
        <is>
          <t>1</t>
        </is>
      </c>
      <c r="H1657" t="inlineStr">
        <is>
          <t>No</t>
        </is>
      </c>
      <c r="I1657" t="inlineStr">
        <is>
          <t>No</t>
        </is>
      </c>
      <c r="J1657" t="inlineStr">
        <is>
          <t>0</t>
        </is>
      </c>
      <c r="K1657" t="inlineStr">
        <is>
          <t>Barea, Arturo, 1897-1957.</t>
        </is>
      </c>
      <c r="L1657" t="inlineStr">
        <is>
          <t>New York : Reynal &amp; Hitchcock, [1946]</t>
        </is>
      </c>
      <c r="M1657" t="inlineStr">
        <is>
          <t>1946</t>
        </is>
      </c>
      <c r="O1657" t="inlineStr">
        <is>
          <t>eng</t>
        </is>
      </c>
      <c r="P1657" t="inlineStr">
        <is>
          <t xml:space="preserve">xx </t>
        </is>
      </c>
      <c r="R1657" t="inlineStr">
        <is>
          <t xml:space="preserve">DP </t>
        </is>
      </c>
      <c r="S1657" t="n">
        <v>0</v>
      </c>
      <c r="T1657" t="n">
        <v>0</v>
      </c>
      <c r="U1657" t="inlineStr">
        <is>
          <t>2005-10-10</t>
        </is>
      </c>
      <c r="V1657" t="inlineStr">
        <is>
          <t>2005-10-10</t>
        </is>
      </c>
      <c r="W1657" t="inlineStr">
        <is>
          <t>1992-04-15</t>
        </is>
      </c>
      <c r="X1657" t="inlineStr">
        <is>
          <t>1992-04-15</t>
        </is>
      </c>
      <c r="Y1657" t="n">
        <v>446</v>
      </c>
      <c r="Z1657" t="n">
        <v>413</v>
      </c>
      <c r="AA1657" t="n">
        <v>698</v>
      </c>
      <c r="AB1657" t="n">
        <v>2</v>
      </c>
      <c r="AC1657" t="n">
        <v>4</v>
      </c>
      <c r="AD1657" t="n">
        <v>20</v>
      </c>
      <c r="AE1657" t="n">
        <v>36</v>
      </c>
      <c r="AF1657" t="n">
        <v>6</v>
      </c>
      <c r="AG1657" t="n">
        <v>14</v>
      </c>
      <c r="AH1657" t="n">
        <v>6</v>
      </c>
      <c r="AI1657" t="n">
        <v>9</v>
      </c>
      <c r="AJ1657" t="n">
        <v>13</v>
      </c>
      <c r="AK1657" t="n">
        <v>20</v>
      </c>
      <c r="AL1657" t="n">
        <v>1</v>
      </c>
      <c r="AM1657" t="n">
        <v>3</v>
      </c>
      <c r="AN1657" t="n">
        <v>0</v>
      </c>
      <c r="AO1657" t="n">
        <v>0</v>
      </c>
      <c r="AP1657" t="inlineStr">
        <is>
          <t>No</t>
        </is>
      </c>
      <c r="AQ1657" t="inlineStr">
        <is>
          <t>No</t>
        </is>
      </c>
      <c r="AR1657">
        <f>HYPERLINK("http://catalog.hathitrust.org/Record/001236941","HathiTrust Record")</f>
        <v/>
      </c>
      <c r="AS1657">
        <f>HYPERLINK("https://creighton-primo.hosted.exlibrisgroup.com/primo-explore/search?tab=default_tab&amp;search_scope=EVERYTHING&amp;vid=01CRU&amp;lang=en_US&amp;offset=0&amp;query=any,contains,991003195309702656","Catalog Record")</f>
        <v/>
      </c>
      <c r="AT1657">
        <f>HYPERLINK("http://www.worldcat.org/oclc/720543","WorldCat Record")</f>
        <v/>
      </c>
      <c r="AU1657" t="inlineStr">
        <is>
          <t>2864283810:eng</t>
        </is>
      </c>
      <c r="AV1657" t="inlineStr">
        <is>
          <t>720543</t>
        </is>
      </c>
      <c r="AW1657" t="inlineStr">
        <is>
          <t>991003195309702656</t>
        </is>
      </c>
      <c r="AX1657" t="inlineStr">
        <is>
          <t>991003195309702656</t>
        </is>
      </c>
      <c r="AY1657" t="inlineStr">
        <is>
          <t>2256327490002656</t>
        </is>
      </c>
      <c r="AZ1657" t="inlineStr">
        <is>
          <t>BOOK</t>
        </is>
      </c>
      <c r="BC1657" t="inlineStr">
        <is>
          <t>32285001062636</t>
        </is>
      </c>
      <c r="BD1657" t="inlineStr">
        <is>
          <t>893422270</t>
        </is>
      </c>
    </row>
    <row r="1658">
      <c r="A1658" t="inlineStr">
        <is>
          <t>No</t>
        </is>
      </c>
      <c r="B1658" t="inlineStr">
        <is>
          <t>DP238 .P46</t>
        </is>
      </c>
      <c r="C1658" t="inlineStr">
        <is>
          <t>0                      DP 0238000P  46</t>
        </is>
      </c>
      <c r="D1658" t="inlineStr">
        <is>
          <t>King Alfonso XIII and his age / [by] Sir Charles Petrie, bt.</t>
        </is>
      </c>
      <c r="F1658" t="inlineStr">
        <is>
          <t>No</t>
        </is>
      </c>
      <c r="G1658" t="inlineStr">
        <is>
          <t>1</t>
        </is>
      </c>
      <c r="H1658" t="inlineStr">
        <is>
          <t>No</t>
        </is>
      </c>
      <c r="I1658" t="inlineStr">
        <is>
          <t>No</t>
        </is>
      </c>
      <c r="J1658" t="inlineStr">
        <is>
          <t>0</t>
        </is>
      </c>
      <c r="K1658" t="inlineStr">
        <is>
          <t>Petrie, Charles, 1895-1977.</t>
        </is>
      </c>
      <c r="L1658" t="inlineStr">
        <is>
          <t>London : Chapman &amp; Hall, [1963]</t>
        </is>
      </c>
      <c r="M1658" t="inlineStr">
        <is>
          <t>1963</t>
        </is>
      </c>
      <c r="O1658" t="inlineStr">
        <is>
          <t>eng</t>
        </is>
      </c>
      <c r="P1658" t="inlineStr">
        <is>
          <t>enk</t>
        </is>
      </c>
      <c r="R1658" t="inlineStr">
        <is>
          <t xml:space="preserve">DP </t>
        </is>
      </c>
      <c r="S1658" t="n">
        <v>3</v>
      </c>
      <c r="T1658" t="n">
        <v>3</v>
      </c>
      <c r="U1658" t="inlineStr">
        <is>
          <t>2007-03-26</t>
        </is>
      </c>
      <c r="V1658" t="inlineStr">
        <is>
          <t>2007-03-26</t>
        </is>
      </c>
      <c r="W1658" t="inlineStr">
        <is>
          <t>1992-05-13</t>
        </is>
      </c>
      <c r="X1658" t="inlineStr">
        <is>
          <t>1992-05-13</t>
        </is>
      </c>
      <c r="Y1658" t="n">
        <v>503</v>
      </c>
      <c r="Z1658" t="n">
        <v>390</v>
      </c>
      <c r="AA1658" t="n">
        <v>392</v>
      </c>
      <c r="AB1658" t="n">
        <v>4</v>
      </c>
      <c r="AC1658" t="n">
        <v>4</v>
      </c>
      <c r="AD1658" t="n">
        <v>20</v>
      </c>
      <c r="AE1658" t="n">
        <v>20</v>
      </c>
      <c r="AF1658" t="n">
        <v>4</v>
      </c>
      <c r="AG1658" t="n">
        <v>4</v>
      </c>
      <c r="AH1658" t="n">
        <v>5</v>
      </c>
      <c r="AI1658" t="n">
        <v>5</v>
      </c>
      <c r="AJ1658" t="n">
        <v>14</v>
      </c>
      <c r="AK1658" t="n">
        <v>14</v>
      </c>
      <c r="AL1658" t="n">
        <v>3</v>
      </c>
      <c r="AM1658" t="n">
        <v>3</v>
      </c>
      <c r="AN1658" t="n">
        <v>0</v>
      </c>
      <c r="AO1658" t="n">
        <v>0</v>
      </c>
      <c r="AP1658" t="inlineStr">
        <is>
          <t>No</t>
        </is>
      </c>
      <c r="AQ1658" t="inlineStr">
        <is>
          <t>Yes</t>
        </is>
      </c>
      <c r="AR1658">
        <f>HYPERLINK("http://catalog.hathitrust.org/Record/001245953","HathiTrust Record")</f>
        <v/>
      </c>
      <c r="AS1658">
        <f>HYPERLINK("https://creighton-primo.hosted.exlibrisgroup.com/primo-explore/search?tab=default_tab&amp;search_scope=EVERYTHING&amp;vid=01CRU&amp;lang=en_US&amp;offset=0&amp;query=any,contains,991003771619702656","Catalog Record")</f>
        <v/>
      </c>
      <c r="AT1658">
        <f>HYPERLINK("http://www.worldcat.org/oclc/1472337","WorldCat Record")</f>
        <v/>
      </c>
      <c r="AU1658" t="inlineStr">
        <is>
          <t>319703120:eng</t>
        </is>
      </c>
      <c r="AV1658" t="inlineStr">
        <is>
          <t>1472337</t>
        </is>
      </c>
      <c r="AW1658" t="inlineStr">
        <is>
          <t>991003771619702656</t>
        </is>
      </c>
      <c r="AX1658" t="inlineStr">
        <is>
          <t>991003771619702656</t>
        </is>
      </c>
      <c r="AY1658" t="inlineStr">
        <is>
          <t>2256870310002656</t>
        </is>
      </c>
      <c r="AZ1658" t="inlineStr">
        <is>
          <t>BOOK</t>
        </is>
      </c>
      <c r="BC1658" t="inlineStr">
        <is>
          <t>32285001109155</t>
        </is>
      </c>
      <c r="BD1658" t="inlineStr">
        <is>
          <t>893686938</t>
        </is>
      </c>
    </row>
    <row r="1659">
      <c r="A1659" t="inlineStr">
        <is>
          <t>No</t>
        </is>
      </c>
      <c r="B1659" t="inlineStr">
        <is>
          <t>DP247 .P34</t>
        </is>
      </c>
      <c r="C1659" t="inlineStr">
        <is>
          <t>0                      DP 0247000P  34</t>
        </is>
      </c>
      <c r="D1659" t="inlineStr">
        <is>
          <t>This is Spain.</t>
        </is>
      </c>
      <c r="F1659" t="inlineStr">
        <is>
          <t>No</t>
        </is>
      </c>
      <c r="G1659" t="inlineStr">
        <is>
          <t>1</t>
        </is>
      </c>
      <c r="H1659" t="inlineStr">
        <is>
          <t>No</t>
        </is>
      </c>
      <c r="I1659" t="inlineStr">
        <is>
          <t>No</t>
        </is>
      </c>
      <c r="J1659" t="inlineStr">
        <is>
          <t>0</t>
        </is>
      </c>
      <c r="K1659" t="inlineStr">
        <is>
          <t>Pattee, Richard, 1906-</t>
        </is>
      </c>
      <c r="L1659" t="inlineStr">
        <is>
          <t>Milwaukee : Bruce, [1951].</t>
        </is>
      </c>
      <c r="M1659" t="inlineStr">
        <is>
          <t>1951</t>
        </is>
      </c>
      <c r="O1659" t="inlineStr">
        <is>
          <t>eng</t>
        </is>
      </c>
      <c r="P1659" t="inlineStr">
        <is>
          <t xml:space="preserve">xx </t>
        </is>
      </c>
      <c r="Q1659" t="inlineStr">
        <is>
          <t>Science and culture series</t>
        </is>
      </c>
      <c r="R1659" t="inlineStr">
        <is>
          <t xml:space="preserve">DP </t>
        </is>
      </c>
      <c r="S1659" t="n">
        <v>2</v>
      </c>
      <c r="T1659" t="n">
        <v>2</v>
      </c>
      <c r="U1659" t="inlineStr">
        <is>
          <t>1992-02-19</t>
        </is>
      </c>
      <c r="V1659" t="inlineStr">
        <is>
          <t>1992-02-19</t>
        </is>
      </c>
      <c r="W1659" t="inlineStr">
        <is>
          <t>1991-10-17</t>
        </is>
      </c>
      <c r="X1659" t="inlineStr">
        <is>
          <t>1991-10-17</t>
        </is>
      </c>
      <c r="Y1659" t="n">
        <v>367</v>
      </c>
      <c r="Z1659" t="n">
        <v>331</v>
      </c>
      <c r="AA1659" t="n">
        <v>338</v>
      </c>
      <c r="AB1659" t="n">
        <v>2</v>
      </c>
      <c r="AC1659" t="n">
        <v>2</v>
      </c>
      <c r="AD1659" t="n">
        <v>27</v>
      </c>
      <c r="AE1659" t="n">
        <v>27</v>
      </c>
      <c r="AF1659" t="n">
        <v>8</v>
      </c>
      <c r="AG1659" t="n">
        <v>8</v>
      </c>
      <c r="AH1659" t="n">
        <v>8</v>
      </c>
      <c r="AI1659" t="n">
        <v>8</v>
      </c>
      <c r="AJ1659" t="n">
        <v>19</v>
      </c>
      <c r="AK1659" t="n">
        <v>19</v>
      </c>
      <c r="AL1659" t="n">
        <v>0</v>
      </c>
      <c r="AM1659" t="n">
        <v>0</v>
      </c>
      <c r="AN1659" t="n">
        <v>0</v>
      </c>
      <c r="AO1659" t="n">
        <v>0</v>
      </c>
      <c r="AP1659" t="inlineStr">
        <is>
          <t>No</t>
        </is>
      </c>
      <c r="AQ1659" t="inlineStr">
        <is>
          <t>No</t>
        </is>
      </c>
      <c r="AR1659">
        <f>HYPERLINK("http://catalog.hathitrust.org/Record/008870026","HathiTrust Record")</f>
        <v/>
      </c>
      <c r="AS1659">
        <f>HYPERLINK("https://creighton-primo.hosted.exlibrisgroup.com/primo-explore/search?tab=default_tab&amp;search_scope=EVERYTHING&amp;vid=01CRU&amp;lang=en_US&amp;offset=0&amp;query=any,contains,991003375149702656","Catalog Record")</f>
        <v/>
      </c>
      <c r="AT1659">
        <f>HYPERLINK("http://www.worldcat.org/oclc/912075","WorldCat Record")</f>
        <v/>
      </c>
      <c r="AU1659" t="inlineStr">
        <is>
          <t>199047441:eng</t>
        </is>
      </c>
      <c r="AV1659" t="inlineStr">
        <is>
          <t>912075</t>
        </is>
      </c>
      <c r="AW1659" t="inlineStr">
        <is>
          <t>991003375149702656</t>
        </is>
      </c>
      <c r="AX1659" t="inlineStr">
        <is>
          <t>991003375149702656</t>
        </is>
      </c>
      <c r="AY1659" t="inlineStr">
        <is>
          <t>2268430740002656</t>
        </is>
      </c>
      <c r="AZ1659" t="inlineStr">
        <is>
          <t>BOOK</t>
        </is>
      </c>
      <c r="BC1659" t="inlineStr">
        <is>
          <t>32285000774785</t>
        </is>
      </c>
      <c r="BD1659" t="inlineStr">
        <is>
          <t>893692674</t>
        </is>
      </c>
    </row>
    <row r="1660">
      <c r="A1660" t="inlineStr">
        <is>
          <t>No</t>
        </is>
      </c>
      <c r="B1660" t="inlineStr">
        <is>
          <t>DP255 .C35</t>
        </is>
      </c>
      <c r="C1660" t="inlineStr">
        <is>
          <t>0                      DP 0255000C  35</t>
        </is>
      </c>
      <c r="D1660" t="inlineStr">
        <is>
          <t>Carteles de la República y de la Guerra Civil / introducción ... por Jaume Miravitlles ; selección y comentarios por Josep Termes ; apéndice, El Sindicato de Dibujantes Profesionales, por Carles Fontseré ; diseño gráfico del libro, Salvador Saura y Ramón Torrente.</t>
        </is>
      </c>
      <c r="F1660" t="inlineStr">
        <is>
          <t>No</t>
        </is>
      </c>
      <c r="G1660" t="inlineStr">
        <is>
          <t>1</t>
        </is>
      </c>
      <c r="H1660" t="inlineStr">
        <is>
          <t>No</t>
        </is>
      </c>
      <c r="I1660" t="inlineStr">
        <is>
          <t>No</t>
        </is>
      </c>
      <c r="J1660" t="inlineStr">
        <is>
          <t>0</t>
        </is>
      </c>
      <c r="L1660" t="inlineStr">
        <is>
          <t>Barcelona : Centre d'Estudis d'Història Contemporània, [1978]</t>
        </is>
      </c>
      <c r="M1660" t="inlineStr">
        <is>
          <t>1978</t>
        </is>
      </c>
      <c r="O1660" t="inlineStr">
        <is>
          <t>spa</t>
        </is>
      </c>
      <c r="P1660" t="inlineStr">
        <is>
          <t xml:space="preserve">sp </t>
        </is>
      </c>
      <c r="R1660" t="inlineStr">
        <is>
          <t xml:space="preserve">DP </t>
        </is>
      </c>
      <c r="S1660" t="n">
        <v>7</v>
      </c>
      <c r="T1660" t="n">
        <v>7</v>
      </c>
      <c r="U1660" t="inlineStr">
        <is>
          <t>2008-04-20</t>
        </is>
      </c>
      <c r="V1660" t="inlineStr">
        <is>
          <t>2008-04-20</t>
        </is>
      </c>
      <c r="W1660" t="inlineStr">
        <is>
          <t>1991-10-10</t>
        </is>
      </c>
      <c r="X1660" t="inlineStr">
        <is>
          <t>1991-10-10</t>
        </is>
      </c>
      <c r="Y1660" t="n">
        <v>42</v>
      </c>
      <c r="Z1660" t="n">
        <v>26</v>
      </c>
      <c r="AA1660" t="n">
        <v>27</v>
      </c>
      <c r="AB1660" t="n">
        <v>1</v>
      </c>
      <c r="AC1660" t="n">
        <v>1</v>
      </c>
      <c r="AD1660" t="n">
        <v>0</v>
      </c>
      <c r="AE1660" t="n">
        <v>0</v>
      </c>
      <c r="AF1660" t="n">
        <v>0</v>
      </c>
      <c r="AG1660" t="n">
        <v>0</v>
      </c>
      <c r="AH1660" t="n">
        <v>0</v>
      </c>
      <c r="AI1660" t="n">
        <v>0</v>
      </c>
      <c r="AJ1660" t="n">
        <v>0</v>
      </c>
      <c r="AK1660" t="n">
        <v>0</v>
      </c>
      <c r="AL1660" t="n">
        <v>0</v>
      </c>
      <c r="AM1660" t="n">
        <v>0</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HYPERLINK("https://creighton-primo.hosted.exlibrisgroup.com/primo-explore/search?tab=default_tab&amp;search_scope=EVERYTHING&amp;vid=01CRU&amp;lang=en_US&amp;offset=0&amp;query=any,contains,991004789799702656","Catalog Record")</f>
        <v/>
      </c>
      <c r="AT1660">
        <f>HYPERLINK("http://www.worldcat.org/oclc/5170703","WorldCat Record")</f>
        <v/>
      </c>
      <c r="AU1660" t="inlineStr">
        <is>
          <t>365243630:spa</t>
        </is>
      </c>
      <c r="AV1660" t="inlineStr">
        <is>
          <t>5170703</t>
        </is>
      </c>
      <c r="AW1660" t="inlineStr">
        <is>
          <t>991004789799702656</t>
        </is>
      </c>
      <c r="AX1660" t="inlineStr">
        <is>
          <t>991004789799702656</t>
        </is>
      </c>
      <c r="AY1660" t="inlineStr">
        <is>
          <t>2256995150002656</t>
        </is>
      </c>
      <c r="AZ1660" t="inlineStr">
        <is>
          <t>BOOK</t>
        </is>
      </c>
      <c r="BB1660" t="inlineStr">
        <is>
          <t>9788470800337</t>
        </is>
      </c>
      <c r="BC1660" t="inlineStr">
        <is>
          <t>32285000653021</t>
        </is>
      </c>
      <c r="BD1660" t="inlineStr">
        <is>
          <t>893807481</t>
        </is>
      </c>
    </row>
    <row r="1661">
      <c r="A1661" t="inlineStr">
        <is>
          <t>No</t>
        </is>
      </c>
      <c r="B1661" t="inlineStr">
        <is>
          <t>DP255 .P73 1978</t>
        </is>
      </c>
      <c r="C1661" t="inlineStr">
        <is>
          <t>0                      DP 0255000P  73          1978</t>
        </is>
      </c>
      <c r="D1661" t="inlineStr">
        <is>
          <t>The coming of the Spanish Civil War : reform, reaction, and revolution in the Second Republic, 1931-1936 / Paul Preston.</t>
        </is>
      </c>
      <c r="F1661" t="inlineStr">
        <is>
          <t>No</t>
        </is>
      </c>
      <c r="G1661" t="inlineStr">
        <is>
          <t>1</t>
        </is>
      </c>
      <c r="H1661" t="inlineStr">
        <is>
          <t>No</t>
        </is>
      </c>
      <c r="I1661" t="inlineStr">
        <is>
          <t>No</t>
        </is>
      </c>
      <c r="J1661" t="inlineStr">
        <is>
          <t>0</t>
        </is>
      </c>
      <c r="K1661" t="inlineStr">
        <is>
          <t>Preston, Paul, 1946-</t>
        </is>
      </c>
      <c r="L1661" t="inlineStr">
        <is>
          <t>New York : Barnes &amp; Noble Books, 1978.</t>
        </is>
      </c>
      <c r="M1661" t="inlineStr">
        <is>
          <t>1978</t>
        </is>
      </c>
      <c r="O1661" t="inlineStr">
        <is>
          <t>eng</t>
        </is>
      </c>
      <c r="P1661" t="inlineStr">
        <is>
          <t>nyu</t>
        </is>
      </c>
      <c r="R1661" t="inlineStr">
        <is>
          <t xml:space="preserve">DP </t>
        </is>
      </c>
      <c r="S1661" t="n">
        <v>3</v>
      </c>
      <c r="T1661" t="n">
        <v>3</v>
      </c>
      <c r="U1661" t="inlineStr">
        <is>
          <t>2010-03-30</t>
        </is>
      </c>
      <c r="V1661" t="inlineStr">
        <is>
          <t>2010-03-30</t>
        </is>
      </c>
      <c r="W1661" t="inlineStr">
        <is>
          <t>1991-10-10</t>
        </is>
      </c>
      <c r="X1661" t="inlineStr">
        <is>
          <t>1991-10-10</t>
        </is>
      </c>
      <c r="Y1661" t="n">
        <v>345</v>
      </c>
      <c r="Z1661" t="n">
        <v>324</v>
      </c>
      <c r="AA1661" t="n">
        <v>382</v>
      </c>
      <c r="AB1661" t="n">
        <v>1</v>
      </c>
      <c r="AC1661" t="n">
        <v>3</v>
      </c>
      <c r="AD1661" t="n">
        <v>17</v>
      </c>
      <c r="AE1661" t="n">
        <v>21</v>
      </c>
      <c r="AF1661" t="n">
        <v>7</v>
      </c>
      <c r="AG1661" t="n">
        <v>8</v>
      </c>
      <c r="AH1661" t="n">
        <v>6</v>
      </c>
      <c r="AI1661" t="n">
        <v>6</v>
      </c>
      <c r="AJ1661" t="n">
        <v>9</v>
      </c>
      <c r="AK1661" t="n">
        <v>11</v>
      </c>
      <c r="AL1661" t="n">
        <v>0</v>
      </c>
      <c r="AM1661" t="n">
        <v>2</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HYPERLINK("https://creighton-primo.hosted.exlibrisgroup.com/primo-explore/search?tab=default_tab&amp;search_scope=EVERYTHING&amp;vid=01CRU&amp;lang=en_US&amp;offset=0&amp;query=any,contains,991004525809702656","Catalog Record")</f>
        <v/>
      </c>
      <c r="AT1661">
        <f>HYPERLINK("http://www.worldcat.org/oclc/3843471","WorldCat Record")</f>
        <v/>
      </c>
      <c r="AU1661" t="inlineStr">
        <is>
          <t>8926577512:eng</t>
        </is>
      </c>
      <c r="AV1661" t="inlineStr">
        <is>
          <t>3843471</t>
        </is>
      </c>
      <c r="AW1661" t="inlineStr">
        <is>
          <t>991004525809702656</t>
        </is>
      </c>
      <c r="AX1661" t="inlineStr">
        <is>
          <t>991004525809702656</t>
        </is>
      </c>
      <c r="AY1661" t="inlineStr">
        <is>
          <t>2266419850002656</t>
        </is>
      </c>
      <c r="AZ1661" t="inlineStr">
        <is>
          <t>BOOK</t>
        </is>
      </c>
      <c r="BB1661" t="inlineStr">
        <is>
          <t>9780064957120</t>
        </is>
      </c>
      <c r="BC1661" t="inlineStr">
        <is>
          <t>32285000653039</t>
        </is>
      </c>
      <c r="BD1661" t="inlineStr">
        <is>
          <t>893430171</t>
        </is>
      </c>
    </row>
    <row r="1662">
      <c r="A1662" t="inlineStr">
        <is>
          <t>No</t>
        </is>
      </c>
      <c r="B1662" t="inlineStr">
        <is>
          <t>DP257 .S29</t>
        </is>
      </c>
      <c r="C1662" t="inlineStr">
        <is>
          <t>0                      DP 0257000S  29</t>
        </is>
      </c>
      <c r="D1662" t="inlineStr">
        <is>
          <t>Reform and reaction : the politico-religious background of the Spanish Civil War.</t>
        </is>
      </c>
      <c r="F1662" t="inlineStr">
        <is>
          <t>No</t>
        </is>
      </c>
      <c r="G1662" t="inlineStr">
        <is>
          <t>1</t>
        </is>
      </c>
      <c r="H1662" t="inlineStr">
        <is>
          <t>No</t>
        </is>
      </c>
      <c r="I1662" t="inlineStr">
        <is>
          <t>No</t>
        </is>
      </c>
      <c r="J1662" t="inlineStr">
        <is>
          <t>0</t>
        </is>
      </c>
      <c r="K1662" t="inlineStr">
        <is>
          <t>Sánchez, José M. (José Mariano), 1932-</t>
        </is>
      </c>
      <c r="L1662" t="inlineStr">
        <is>
          <t>Chapel Hill : University of North Carolina Press, [1964]</t>
        </is>
      </c>
      <c r="M1662" t="inlineStr">
        <is>
          <t>1964</t>
        </is>
      </c>
      <c r="O1662" t="inlineStr">
        <is>
          <t>eng</t>
        </is>
      </c>
      <c r="P1662" t="inlineStr">
        <is>
          <t>ncu</t>
        </is>
      </c>
      <c r="R1662" t="inlineStr">
        <is>
          <t xml:space="preserve">DP </t>
        </is>
      </c>
      <c r="S1662" t="n">
        <v>2</v>
      </c>
      <c r="T1662" t="n">
        <v>2</v>
      </c>
      <c r="U1662" t="inlineStr">
        <is>
          <t>1997-07-24</t>
        </is>
      </c>
      <c r="V1662" t="inlineStr">
        <is>
          <t>1997-07-24</t>
        </is>
      </c>
      <c r="W1662" t="inlineStr">
        <is>
          <t>1991-10-17</t>
        </is>
      </c>
      <c r="X1662" t="inlineStr">
        <is>
          <t>1991-10-17</t>
        </is>
      </c>
      <c r="Y1662" t="n">
        <v>723</v>
      </c>
      <c r="Z1662" t="n">
        <v>614</v>
      </c>
      <c r="AA1662" t="n">
        <v>628</v>
      </c>
      <c r="AB1662" t="n">
        <v>4</v>
      </c>
      <c r="AC1662" t="n">
        <v>4</v>
      </c>
      <c r="AD1662" t="n">
        <v>34</v>
      </c>
      <c r="AE1662" t="n">
        <v>34</v>
      </c>
      <c r="AF1662" t="n">
        <v>14</v>
      </c>
      <c r="AG1662" t="n">
        <v>14</v>
      </c>
      <c r="AH1662" t="n">
        <v>8</v>
      </c>
      <c r="AI1662" t="n">
        <v>8</v>
      </c>
      <c r="AJ1662" t="n">
        <v>18</v>
      </c>
      <c r="AK1662" t="n">
        <v>18</v>
      </c>
      <c r="AL1662" t="n">
        <v>2</v>
      </c>
      <c r="AM1662" t="n">
        <v>2</v>
      </c>
      <c r="AN1662" t="n">
        <v>1</v>
      </c>
      <c r="AO1662" t="n">
        <v>1</v>
      </c>
      <c r="AP1662" t="inlineStr">
        <is>
          <t>No</t>
        </is>
      </c>
      <c r="AQ1662" t="inlineStr">
        <is>
          <t>Yes</t>
        </is>
      </c>
      <c r="AR1662">
        <f>HYPERLINK("http://catalog.hathitrust.org/Record/001237025","HathiTrust Record")</f>
        <v/>
      </c>
      <c r="AS1662">
        <f>HYPERLINK("https://creighton-primo.hosted.exlibrisgroup.com/primo-explore/search?tab=default_tab&amp;search_scope=EVERYTHING&amp;vid=01CRU&amp;lang=en_US&amp;offset=0&amp;query=any,contains,991002679089702656","Catalog Record")</f>
        <v/>
      </c>
      <c r="AT1662">
        <f>HYPERLINK("http://www.worldcat.org/oclc/397878","WorldCat Record")</f>
        <v/>
      </c>
      <c r="AU1662" t="inlineStr">
        <is>
          <t>1545399:eng</t>
        </is>
      </c>
      <c r="AV1662" t="inlineStr">
        <is>
          <t>397878</t>
        </is>
      </c>
      <c r="AW1662" t="inlineStr">
        <is>
          <t>991002679089702656</t>
        </is>
      </c>
      <c r="AX1662" t="inlineStr">
        <is>
          <t>991002679089702656</t>
        </is>
      </c>
      <c r="AY1662" t="inlineStr">
        <is>
          <t>2261738000002656</t>
        </is>
      </c>
      <c r="AZ1662" t="inlineStr">
        <is>
          <t>BOOK</t>
        </is>
      </c>
      <c r="BC1662" t="inlineStr">
        <is>
          <t>32285000774801</t>
        </is>
      </c>
      <c r="BD1662" t="inlineStr">
        <is>
          <t>893415509</t>
        </is>
      </c>
    </row>
    <row r="1663">
      <c r="A1663" t="inlineStr">
        <is>
          <t>No</t>
        </is>
      </c>
      <c r="B1663" t="inlineStr">
        <is>
          <t>DP264.D87 F4 1985</t>
        </is>
      </c>
      <c r="C1663" t="inlineStr">
        <is>
          <t>0                      DP 0264000D  87                 F  4           1985</t>
        </is>
      </c>
      <c r="D1663" t="inlineStr">
        <is>
          <t>Durruti, 1896-1936 / Rai Ferrer (Onomatopeya).</t>
        </is>
      </c>
      <c r="F1663" t="inlineStr">
        <is>
          <t>No</t>
        </is>
      </c>
      <c r="G1663" t="inlineStr">
        <is>
          <t>1</t>
        </is>
      </c>
      <c r="H1663" t="inlineStr">
        <is>
          <t>No</t>
        </is>
      </c>
      <c r="I1663" t="inlineStr">
        <is>
          <t>No</t>
        </is>
      </c>
      <c r="J1663" t="inlineStr">
        <is>
          <t>0</t>
        </is>
      </c>
      <c r="K1663" t="inlineStr">
        <is>
          <t>Ferrer, Rai, 1942-</t>
        </is>
      </c>
      <c r="L1663" t="inlineStr">
        <is>
          <t>Barcelona : Editorial Planeta, c1985.</t>
        </is>
      </c>
      <c r="M1663" t="inlineStr">
        <is>
          <t>1985</t>
        </is>
      </c>
      <c r="O1663" t="inlineStr">
        <is>
          <t>spa</t>
        </is>
      </c>
      <c r="P1663" t="inlineStr">
        <is>
          <t xml:space="preserve">sp </t>
        </is>
      </c>
      <c r="Q1663" t="inlineStr">
        <is>
          <t>Espejo de España ; 116</t>
        </is>
      </c>
      <c r="R1663" t="inlineStr">
        <is>
          <t xml:space="preserve">DP </t>
        </is>
      </c>
      <c r="S1663" t="n">
        <v>1</v>
      </c>
      <c r="T1663" t="n">
        <v>1</v>
      </c>
      <c r="U1663" t="inlineStr">
        <is>
          <t>1992-11-23</t>
        </is>
      </c>
      <c r="V1663" t="inlineStr">
        <is>
          <t>1992-11-23</t>
        </is>
      </c>
      <c r="W1663" t="inlineStr">
        <is>
          <t>1991-10-10</t>
        </is>
      </c>
      <c r="X1663" t="inlineStr">
        <is>
          <t>1991-10-10</t>
        </is>
      </c>
      <c r="Y1663" t="n">
        <v>48</v>
      </c>
      <c r="Z1663" t="n">
        <v>23</v>
      </c>
      <c r="AA1663" t="n">
        <v>27</v>
      </c>
      <c r="AB1663" t="n">
        <v>1</v>
      </c>
      <c r="AC1663" t="n">
        <v>1</v>
      </c>
      <c r="AD1663" t="n">
        <v>0</v>
      </c>
      <c r="AE1663" t="n">
        <v>0</v>
      </c>
      <c r="AF1663" t="n">
        <v>0</v>
      </c>
      <c r="AG1663" t="n">
        <v>0</v>
      </c>
      <c r="AH1663" t="n">
        <v>0</v>
      </c>
      <c r="AI1663" t="n">
        <v>0</v>
      </c>
      <c r="AJ1663" t="n">
        <v>0</v>
      </c>
      <c r="AK1663" t="n">
        <v>0</v>
      </c>
      <c r="AL1663" t="n">
        <v>0</v>
      </c>
      <c r="AM1663" t="n">
        <v>0</v>
      </c>
      <c r="AN1663" t="n">
        <v>0</v>
      </c>
      <c r="AO1663" t="n">
        <v>0</v>
      </c>
      <c r="AP1663" t="inlineStr">
        <is>
          <t>No</t>
        </is>
      </c>
      <c r="AQ1663" t="inlineStr">
        <is>
          <t>Yes</t>
        </is>
      </c>
      <c r="AR1663">
        <f>HYPERLINK("http://catalog.hathitrust.org/Record/000490512","HathiTrust Record")</f>
        <v/>
      </c>
      <c r="AS1663">
        <f>HYPERLINK("https://creighton-primo.hosted.exlibrisgroup.com/primo-explore/search?tab=default_tab&amp;search_scope=EVERYTHING&amp;vid=01CRU&amp;lang=en_US&amp;offset=0&amp;query=any,contains,991001025999702656","Catalog Record")</f>
        <v/>
      </c>
      <c r="AT1663">
        <f>HYPERLINK("http://www.worldcat.org/oclc/15482210","WorldCat Record")</f>
        <v/>
      </c>
      <c r="AU1663" t="inlineStr">
        <is>
          <t>10370131:spa</t>
        </is>
      </c>
      <c r="AV1663" t="inlineStr">
        <is>
          <t>15482210</t>
        </is>
      </c>
      <c r="AW1663" t="inlineStr">
        <is>
          <t>991001025999702656</t>
        </is>
      </c>
      <c r="AX1663" t="inlineStr">
        <is>
          <t>991001025999702656</t>
        </is>
      </c>
      <c r="AY1663" t="inlineStr">
        <is>
          <t>2267487440002656</t>
        </is>
      </c>
      <c r="AZ1663" t="inlineStr">
        <is>
          <t>BOOK</t>
        </is>
      </c>
      <c r="BB1663" t="inlineStr">
        <is>
          <t>9788432058462</t>
        </is>
      </c>
      <c r="BC1663" t="inlineStr">
        <is>
          <t>32285000653088</t>
        </is>
      </c>
      <c r="BD1663" t="inlineStr">
        <is>
          <t>893225548</t>
        </is>
      </c>
    </row>
    <row r="1664">
      <c r="A1664" t="inlineStr">
        <is>
          <t>No</t>
        </is>
      </c>
      <c r="B1664" t="inlineStr">
        <is>
          <t>DP264.F7 A95</t>
        </is>
      </c>
      <c r="C1664" t="inlineStr">
        <is>
          <t>0                      DP 0264000F  7                  A  95</t>
        </is>
      </c>
      <c r="D1664" t="inlineStr">
        <is>
          <t>Franco / Manuel Aznar.</t>
        </is>
      </c>
      <c r="F1664" t="inlineStr">
        <is>
          <t>No</t>
        </is>
      </c>
      <c r="G1664" t="inlineStr">
        <is>
          <t>1</t>
        </is>
      </c>
      <c r="H1664" t="inlineStr">
        <is>
          <t>No</t>
        </is>
      </c>
      <c r="I1664" t="inlineStr">
        <is>
          <t>No</t>
        </is>
      </c>
      <c r="J1664" t="inlineStr">
        <is>
          <t>0</t>
        </is>
      </c>
      <c r="K1664" t="inlineStr">
        <is>
          <t>Aznar López, Manuel.</t>
        </is>
      </c>
      <c r="L1664" t="inlineStr">
        <is>
          <t>Madrid : Prensa Española, 1975.</t>
        </is>
      </c>
      <c r="M1664" t="inlineStr">
        <is>
          <t>1975</t>
        </is>
      </c>
      <c r="O1664" t="inlineStr">
        <is>
          <t>spa</t>
        </is>
      </c>
      <c r="P1664" t="inlineStr">
        <is>
          <t xml:space="preserve">sp </t>
        </is>
      </c>
      <c r="R1664" t="inlineStr">
        <is>
          <t xml:space="preserve">DP </t>
        </is>
      </c>
      <c r="S1664" t="n">
        <v>1</v>
      </c>
      <c r="T1664" t="n">
        <v>1</v>
      </c>
      <c r="U1664" t="inlineStr">
        <is>
          <t>2007-03-21</t>
        </is>
      </c>
      <c r="V1664" t="inlineStr">
        <is>
          <t>2007-03-21</t>
        </is>
      </c>
      <c r="W1664" t="inlineStr">
        <is>
          <t>1997-02-14</t>
        </is>
      </c>
      <c r="X1664" t="inlineStr">
        <is>
          <t>1997-02-14</t>
        </is>
      </c>
      <c r="Y1664" t="n">
        <v>45</v>
      </c>
      <c r="Z1664" t="n">
        <v>31</v>
      </c>
      <c r="AA1664" t="n">
        <v>32</v>
      </c>
      <c r="AB1664" t="n">
        <v>1</v>
      </c>
      <c r="AC1664" t="n">
        <v>1</v>
      </c>
      <c r="AD1664" t="n">
        <v>0</v>
      </c>
      <c r="AE1664" t="n">
        <v>0</v>
      </c>
      <c r="AF1664" t="n">
        <v>0</v>
      </c>
      <c r="AG1664" t="n">
        <v>0</v>
      </c>
      <c r="AH1664" t="n">
        <v>0</v>
      </c>
      <c r="AI1664" t="n">
        <v>0</v>
      </c>
      <c r="AJ1664" t="n">
        <v>0</v>
      </c>
      <c r="AK1664" t="n">
        <v>0</v>
      </c>
      <c r="AL1664" t="n">
        <v>0</v>
      </c>
      <c r="AM1664" t="n">
        <v>0</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HYPERLINK("https://creighton-primo.hosted.exlibrisgroup.com/primo-explore/search?tab=default_tab&amp;search_scope=EVERYTHING&amp;vid=01CRU&amp;lang=en_US&amp;offset=0&amp;query=any,contains,991004012039702656","Catalog Record")</f>
        <v/>
      </c>
      <c r="AT1664">
        <f>HYPERLINK("http://www.worldcat.org/oclc/2092235","WorldCat Record")</f>
        <v/>
      </c>
      <c r="AU1664" t="inlineStr">
        <is>
          <t>318851998:spa</t>
        </is>
      </c>
      <c r="AV1664" t="inlineStr">
        <is>
          <t>2092235</t>
        </is>
      </c>
      <c r="AW1664" t="inlineStr">
        <is>
          <t>991004012039702656</t>
        </is>
      </c>
      <c r="AX1664" t="inlineStr">
        <is>
          <t>991004012039702656</t>
        </is>
      </c>
      <c r="AY1664" t="inlineStr">
        <is>
          <t>2269322100002656</t>
        </is>
      </c>
      <c r="AZ1664" t="inlineStr">
        <is>
          <t>BOOK</t>
        </is>
      </c>
      <c r="BB1664" t="inlineStr">
        <is>
          <t>9788428703710</t>
        </is>
      </c>
      <c r="BC1664" t="inlineStr">
        <is>
          <t>32285002438959</t>
        </is>
      </c>
      <c r="BD1664" t="inlineStr">
        <is>
          <t>893234946</t>
        </is>
      </c>
    </row>
    <row r="1665">
      <c r="A1665" t="inlineStr">
        <is>
          <t>No</t>
        </is>
      </c>
      <c r="B1665" t="inlineStr">
        <is>
          <t>DP264.F7 C6 1956</t>
        </is>
      </c>
      <c r="C1665" t="inlineStr">
        <is>
          <t>0                      DP 0264000F  7                  C  6           1956</t>
        </is>
      </c>
      <c r="D1665" t="inlineStr">
        <is>
          <t>Franco of Spain : a full-length biography / by S. F. A. Coles.</t>
        </is>
      </c>
      <c r="F1665" t="inlineStr">
        <is>
          <t>No</t>
        </is>
      </c>
      <c r="G1665" t="inlineStr">
        <is>
          <t>1</t>
        </is>
      </c>
      <c r="H1665" t="inlineStr">
        <is>
          <t>No</t>
        </is>
      </c>
      <c r="I1665" t="inlineStr">
        <is>
          <t>No</t>
        </is>
      </c>
      <c r="J1665" t="inlineStr">
        <is>
          <t>0</t>
        </is>
      </c>
      <c r="K1665" t="inlineStr">
        <is>
          <t>Coles, S. F. A. (Sydney Frederick Arthur), 1896-</t>
        </is>
      </c>
      <c r="L1665" t="inlineStr">
        <is>
          <t>[Westminster, Md.] : Newman Press, [1956]</t>
        </is>
      </c>
      <c r="M1665" t="inlineStr">
        <is>
          <t>1956</t>
        </is>
      </c>
      <c r="O1665" t="inlineStr">
        <is>
          <t>eng</t>
        </is>
      </c>
      <c r="P1665" t="inlineStr">
        <is>
          <t>mdu</t>
        </is>
      </c>
      <c r="R1665" t="inlineStr">
        <is>
          <t xml:space="preserve">DP </t>
        </is>
      </c>
      <c r="S1665" t="n">
        <v>3</v>
      </c>
      <c r="T1665" t="n">
        <v>3</v>
      </c>
      <c r="U1665" t="inlineStr">
        <is>
          <t>1995-11-29</t>
        </is>
      </c>
      <c r="V1665" t="inlineStr">
        <is>
          <t>1995-11-29</t>
        </is>
      </c>
      <c r="W1665" t="inlineStr">
        <is>
          <t>1991-10-17</t>
        </is>
      </c>
      <c r="X1665" t="inlineStr">
        <is>
          <t>1991-10-17</t>
        </is>
      </c>
      <c r="Y1665" t="n">
        <v>233</v>
      </c>
      <c r="Z1665" t="n">
        <v>217</v>
      </c>
      <c r="AA1665" t="n">
        <v>358</v>
      </c>
      <c r="AB1665" t="n">
        <v>3</v>
      </c>
      <c r="AC1665" t="n">
        <v>4</v>
      </c>
      <c r="AD1665" t="n">
        <v>18</v>
      </c>
      <c r="AE1665" t="n">
        <v>27</v>
      </c>
      <c r="AF1665" t="n">
        <v>4</v>
      </c>
      <c r="AG1665" t="n">
        <v>8</v>
      </c>
      <c r="AH1665" t="n">
        <v>5</v>
      </c>
      <c r="AI1665" t="n">
        <v>8</v>
      </c>
      <c r="AJ1665" t="n">
        <v>12</v>
      </c>
      <c r="AK1665" t="n">
        <v>16</v>
      </c>
      <c r="AL1665" t="n">
        <v>2</v>
      </c>
      <c r="AM1665" t="n">
        <v>2</v>
      </c>
      <c r="AN1665" t="n">
        <v>0</v>
      </c>
      <c r="AO1665" t="n">
        <v>0</v>
      </c>
      <c r="AP1665" t="inlineStr">
        <is>
          <t>No</t>
        </is>
      </c>
      <c r="AQ1665" t="inlineStr">
        <is>
          <t>Yes</t>
        </is>
      </c>
      <c r="AR1665">
        <f>HYPERLINK("http://catalog.hathitrust.org/Record/001237038","HathiTrust Record")</f>
        <v/>
      </c>
      <c r="AS1665">
        <f>HYPERLINK("https://creighton-primo.hosted.exlibrisgroup.com/primo-explore/search?tab=default_tab&amp;search_scope=EVERYTHING&amp;vid=01CRU&amp;lang=en_US&amp;offset=0&amp;query=any,contains,991004271649702656","Catalog Record")</f>
        <v/>
      </c>
      <c r="AT1665">
        <f>HYPERLINK("http://www.worldcat.org/oclc/2878657","WorldCat Record")</f>
        <v/>
      </c>
      <c r="AU1665" t="inlineStr">
        <is>
          <t>429245526:eng</t>
        </is>
      </c>
      <c r="AV1665" t="inlineStr">
        <is>
          <t>2878657</t>
        </is>
      </c>
      <c r="AW1665" t="inlineStr">
        <is>
          <t>991004271649702656</t>
        </is>
      </c>
      <c r="AX1665" t="inlineStr">
        <is>
          <t>991004271649702656</t>
        </is>
      </c>
      <c r="AY1665" t="inlineStr">
        <is>
          <t>2261527050002656</t>
        </is>
      </c>
      <c r="AZ1665" t="inlineStr">
        <is>
          <t>BOOK</t>
        </is>
      </c>
      <c r="BC1665" t="inlineStr">
        <is>
          <t>32285000774827</t>
        </is>
      </c>
      <c r="BD1665" t="inlineStr">
        <is>
          <t>893513034</t>
        </is>
      </c>
    </row>
    <row r="1666">
      <c r="A1666" t="inlineStr">
        <is>
          <t>No</t>
        </is>
      </c>
      <c r="B1666" t="inlineStr">
        <is>
          <t>DP264.F7 C75 1967</t>
        </is>
      </c>
      <c r="C1666" t="inlineStr">
        <is>
          <t>0                      DP 0264000F  7                  C  75          1967</t>
        </is>
      </c>
      <c r="D1666" t="inlineStr">
        <is>
          <t>Franco.</t>
        </is>
      </c>
      <c r="F1666" t="inlineStr">
        <is>
          <t>No</t>
        </is>
      </c>
      <c r="G1666" t="inlineStr">
        <is>
          <t>1</t>
        </is>
      </c>
      <c r="H1666" t="inlineStr">
        <is>
          <t>No</t>
        </is>
      </c>
      <c r="I1666" t="inlineStr">
        <is>
          <t>No</t>
        </is>
      </c>
      <c r="J1666" t="inlineStr">
        <is>
          <t>0</t>
        </is>
      </c>
      <c r="K1666" t="inlineStr">
        <is>
          <t>Crozier, Brian.</t>
        </is>
      </c>
      <c r="L1666" t="inlineStr">
        <is>
          <t>Boston : Little, Brown, [c1967]</t>
        </is>
      </c>
      <c r="M1666" t="inlineStr">
        <is>
          <t>1967</t>
        </is>
      </c>
      <c r="N1666" t="inlineStr">
        <is>
          <t>[1st American ed.]</t>
        </is>
      </c>
      <c r="O1666" t="inlineStr">
        <is>
          <t>eng</t>
        </is>
      </c>
      <c r="P1666" t="inlineStr">
        <is>
          <t>mau</t>
        </is>
      </c>
      <c r="R1666" t="inlineStr">
        <is>
          <t xml:space="preserve">DP </t>
        </is>
      </c>
      <c r="S1666" t="n">
        <v>3</v>
      </c>
      <c r="T1666" t="n">
        <v>3</v>
      </c>
      <c r="U1666" t="inlineStr">
        <is>
          <t>1995-11-29</t>
        </is>
      </c>
      <c r="V1666" t="inlineStr">
        <is>
          <t>1995-11-29</t>
        </is>
      </c>
      <c r="W1666" t="inlineStr">
        <is>
          <t>1991-10-17</t>
        </is>
      </c>
      <c r="X1666" t="inlineStr">
        <is>
          <t>1991-10-17</t>
        </is>
      </c>
      <c r="Y1666" t="n">
        <v>972</v>
      </c>
      <c r="Z1666" t="n">
        <v>943</v>
      </c>
      <c r="AA1666" t="n">
        <v>1066</v>
      </c>
      <c r="AB1666" t="n">
        <v>10</v>
      </c>
      <c r="AC1666" t="n">
        <v>11</v>
      </c>
      <c r="AD1666" t="n">
        <v>39</v>
      </c>
      <c r="AE1666" t="n">
        <v>43</v>
      </c>
      <c r="AF1666" t="n">
        <v>16</v>
      </c>
      <c r="AG1666" t="n">
        <v>16</v>
      </c>
      <c r="AH1666" t="n">
        <v>8</v>
      </c>
      <c r="AI1666" t="n">
        <v>10</v>
      </c>
      <c r="AJ1666" t="n">
        <v>17</v>
      </c>
      <c r="AK1666" t="n">
        <v>20</v>
      </c>
      <c r="AL1666" t="n">
        <v>6</v>
      </c>
      <c r="AM1666" t="n">
        <v>7</v>
      </c>
      <c r="AN1666" t="n">
        <v>0</v>
      </c>
      <c r="AO1666" t="n">
        <v>0</v>
      </c>
      <c r="AP1666" t="inlineStr">
        <is>
          <t>No</t>
        </is>
      </c>
      <c r="AQ1666" t="inlineStr">
        <is>
          <t>Yes</t>
        </is>
      </c>
      <c r="AR1666">
        <f>HYPERLINK("http://catalog.hathitrust.org/Record/001237040","HathiTrust Record")</f>
        <v/>
      </c>
      <c r="AS1666">
        <f>HYPERLINK("https://creighton-primo.hosted.exlibrisgroup.com/primo-explore/search?tab=default_tab&amp;search_scope=EVERYTHING&amp;vid=01CRU&amp;lang=en_US&amp;offset=0&amp;query=any,contains,991002774189702656","Catalog Record")</f>
        <v/>
      </c>
      <c r="AT1666">
        <f>HYPERLINK("http://www.worldcat.org/oclc/438076","WorldCat Record")</f>
        <v/>
      </c>
      <c r="AU1666" t="inlineStr">
        <is>
          <t>15182523:eng</t>
        </is>
      </c>
      <c r="AV1666" t="inlineStr">
        <is>
          <t>438076</t>
        </is>
      </c>
      <c r="AW1666" t="inlineStr">
        <is>
          <t>991002774189702656</t>
        </is>
      </c>
      <c r="AX1666" t="inlineStr">
        <is>
          <t>991002774189702656</t>
        </is>
      </c>
      <c r="AY1666" t="inlineStr">
        <is>
          <t>2265218520002656</t>
        </is>
      </c>
      <c r="AZ1666" t="inlineStr">
        <is>
          <t>BOOK</t>
        </is>
      </c>
      <c r="BC1666" t="inlineStr">
        <is>
          <t>32285000774835</t>
        </is>
      </c>
      <c r="BD1666" t="inlineStr">
        <is>
          <t>893434272</t>
        </is>
      </c>
    </row>
    <row r="1667">
      <c r="A1667" t="inlineStr">
        <is>
          <t>No</t>
        </is>
      </c>
      <c r="B1667" t="inlineStr">
        <is>
          <t>DP264.F7 E45 1994</t>
        </is>
      </c>
      <c r="C1667" t="inlineStr">
        <is>
          <t>0                      DP 0264000F  7                  E  45          1994</t>
        </is>
      </c>
      <c r="D1667" t="inlineStr">
        <is>
          <t>Franco / Sheelagh Ellwood.</t>
        </is>
      </c>
      <c r="F1667" t="inlineStr">
        <is>
          <t>No</t>
        </is>
      </c>
      <c r="G1667" t="inlineStr">
        <is>
          <t>1</t>
        </is>
      </c>
      <c r="H1667" t="inlineStr">
        <is>
          <t>No</t>
        </is>
      </c>
      <c r="I1667" t="inlineStr">
        <is>
          <t>Yes</t>
        </is>
      </c>
      <c r="J1667" t="inlineStr">
        <is>
          <t>0</t>
        </is>
      </c>
      <c r="K1667" t="inlineStr">
        <is>
          <t>Ellwood, Sheelagh M., 1949-</t>
        </is>
      </c>
      <c r="L1667" t="inlineStr">
        <is>
          <t>London ; New York : Longman, 1994.</t>
        </is>
      </c>
      <c r="M1667" t="inlineStr">
        <is>
          <t>1994</t>
        </is>
      </c>
      <c r="O1667" t="inlineStr">
        <is>
          <t>eng</t>
        </is>
      </c>
      <c r="P1667" t="inlineStr">
        <is>
          <t>enk</t>
        </is>
      </c>
      <c r="Q1667" t="inlineStr">
        <is>
          <t>Profiles in power</t>
        </is>
      </c>
      <c r="R1667" t="inlineStr">
        <is>
          <t xml:space="preserve">DP </t>
        </is>
      </c>
      <c r="S1667" t="n">
        <v>4</v>
      </c>
      <c r="T1667" t="n">
        <v>4</v>
      </c>
      <c r="U1667" t="inlineStr">
        <is>
          <t>2007-04-22</t>
        </is>
      </c>
      <c r="V1667" t="inlineStr">
        <is>
          <t>2007-04-22</t>
        </is>
      </c>
      <c r="W1667" t="inlineStr">
        <is>
          <t>2003-02-12</t>
        </is>
      </c>
      <c r="X1667" t="inlineStr">
        <is>
          <t>2003-02-12</t>
        </is>
      </c>
      <c r="Y1667" t="n">
        <v>359</v>
      </c>
      <c r="Z1667" t="n">
        <v>214</v>
      </c>
      <c r="AA1667" t="n">
        <v>304</v>
      </c>
      <c r="AB1667" t="n">
        <v>2</v>
      </c>
      <c r="AC1667" t="n">
        <v>2</v>
      </c>
      <c r="AD1667" t="n">
        <v>12</v>
      </c>
      <c r="AE1667" t="n">
        <v>15</v>
      </c>
      <c r="AF1667" t="n">
        <v>6</v>
      </c>
      <c r="AG1667" t="n">
        <v>7</v>
      </c>
      <c r="AH1667" t="n">
        <v>2</v>
      </c>
      <c r="AI1667" t="n">
        <v>4</v>
      </c>
      <c r="AJ1667" t="n">
        <v>8</v>
      </c>
      <c r="AK1667" t="n">
        <v>9</v>
      </c>
      <c r="AL1667" t="n">
        <v>1</v>
      </c>
      <c r="AM1667" t="n">
        <v>1</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HYPERLINK("https://creighton-primo.hosted.exlibrisgroup.com/primo-explore/search?tab=default_tab&amp;search_scope=EVERYTHING&amp;vid=01CRU&amp;lang=en_US&amp;offset=0&amp;query=any,contains,991003994209702656","Catalog Record")</f>
        <v/>
      </c>
      <c r="AT1667">
        <f>HYPERLINK("http://www.worldcat.org/oclc/27897742","WorldCat Record")</f>
        <v/>
      </c>
      <c r="AU1667" t="inlineStr">
        <is>
          <t>344688:eng</t>
        </is>
      </c>
      <c r="AV1667" t="inlineStr">
        <is>
          <t>27897742</t>
        </is>
      </c>
      <c r="AW1667" t="inlineStr">
        <is>
          <t>991003994209702656</t>
        </is>
      </c>
      <c r="AX1667" t="inlineStr">
        <is>
          <t>991003994209702656</t>
        </is>
      </c>
      <c r="AY1667" t="inlineStr">
        <is>
          <t>2260795230002656</t>
        </is>
      </c>
      <c r="AZ1667" t="inlineStr">
        <is>
          <t>BOOK</t>
        </is>
      </c>
      <c r="BB1667" t="inlineStr">
        <is>
          <t>9780582014671</t>
        </is>
      </c>
      <c r="BC1667" t="inlineStr">
        <is>
          <t>32285004698337</t>
        </is>
      </c>
      <c r="BD1667" t="inlineStr">
        <is>
          <t>893881919</t>
        </is>
      </c>
    </row>
    <row r="1668">
      <c r="A1668" t="inlineStr">
        <is>
          <t>No</t>
        </is>
      </c>
      <c r="B1668" t="inlineStr">
        <is>
          <t>DP264.F7 H54 1967b</t>
        </is>
      </c>
      <c r="C1668" t="inlineStr">
        <is>
          <t>0                      DP 0264000F  7                  H  54          1967b</t>
        </is>
      </c>
      <c r="D1668" t="inlineStr">
        <is>
          <t>Franco : the man and his nation.</t>
        </is>
      </c>
      <c r="F1668" t="inlineStr">
        <is>
          <t>No</t>
        </is>
      </c>
      <c r="G1668" t="inlineStr">
        <is>
          <t>1</t>
        </is>
      </c>
      <c r="H1668" t="inlineStr">
        <is>
          <t>No</t>
        </is>
      </c>
      <c r="I1668" t="inlineStr">
        <is>
          <t>No</t>
        </is>
      </c>
      <c r="J1668" t="inlineStr">
        <is>
          <t>0</t>
        </is>
      </c>
      <c r="K1668" t="inlineStr">
        <is>
          <t>Hills, George.</t>
        </is>
      </c>
      <c r="L1668" t="inlineStr">
        <is>
          <t>New York : Macmillan, [1967]</t>
        </is>
      </c>
      <c r="M1668" t="inlineStr">
        <is>
          <t>1967</t>
        </is>
      </c>
      <c r="N1668" t="inlineStr">
        <is>
          <t>[1st American ed.]</t>
        </is>
      </c>
      <c r="O1668" t="inlineStr">
        <is>
          <t>eng</t>
        </is>
      </c>
      <c r="P1668" t="inlineStr">
        <is>
          <t>nyu</t>
        </is>
      </c>
      <c r="R1668" t="inlineStr">
        <is>
          <t xml:space="preserve">DP </t>
        </is>
      </c>
      <c r="S1668" t="n">
        <v>3</v>
      </c>
      <c r="T1668" t="n">
        <v>3</v>
      </c>
      <c r="U1668" t="inlineStr">
        <is>
          <t>1995-11-29</t>
        </is>
      </c>
      <c r="V1668" t="inlineStr">
        <is>
          <t>1995-11-29</t>
        </is>
      </c>
      <c r="W1668" t="inlineStr">
        <is>
          <t>1991-10-17</t>
        </is>
      </c>
      <c r="X1668" t="inlineStr">
        <is>
          <t>1991-10-17</t>
        </is>
      </c>
      <c r="Y1668" t="n">
        <v>863</v>
      </c>
      <c r="Z1668" t="n">
        <v>825</v>
      </c>
      <c r="AA1668" t="n">
        <v>891</v>
      </c>
      <c r="AB1668" t="n">
        <v>8</v>
      </c>
      <c r="AC1668" t="n">
        <v>8</v>
      </c>
      <c r="AD1668" t="n">
        <v>36</v>
      </c>
      <c r="AE1668" t="n">
        <v>37</v>
      </c>
      <c r="AF1668" t="n">
        <v>14</v>
      </c>
      <c r="AG1668" t="n">
        <v>14</v>
      </c>
      <c r="AH1668" t="n">
        <v>8</v>
      </c>
      <c r="AI1668" t="n">
        <v>9</v>
      </c>
      <c r="AJ1668" t="n">
        <v>18</v>
      </c>
      <c r="AK1668" t="n">
        <v>19</v>
      </c>
      <c r="AL1668" t="n">
        <v>5</v>
      </c>
      <c r="AM1668" t="n">
        <v>5</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HYPERLINK("https://creighton-primo.hosted.exlibrisgroup.com/primo-explore/search?tab=default_tab&amp;search_scope=EVERYTHING&amp;vid=01CRU&amp;lang=en_US&amp;offset=0&amp;query=any,contains,991002444329702656","Catalog Record")</f>
        <v/>
      </c>
      <c r="AT1668">
        <f>HYPERLINK("http://www.worldcat.org/oclc/351073","WorldCat Record")</f>
        <v/>
      </c>
      <c r="AU1668" t="inlineStr">
        <is>
          <t>3749710119:eng</t>
        </is>
      </c>
      <c r="AV1668" t="inlineStr">
        <is>
          <t>351073</t>
        </is>
      </c>
      <c r="AW1668" t="inlineStr">
        <is>
          <t>991002444329702656</t>
        </is>
      </c>
      <c r="AX1668" t="inlineStr">
        <is>
          <t>991002444329702656</t>
        </is>
      </c>
      <c r="AY1668" t="inlineStr">
        <is>
          <t>2266617550002656</t>
        </is>
      </c>
      <c r="AZ1668" t="inlineStr">
        <is>
          <t>BOOK</t>
        </is>
      </c>
      <c r="BC1668" t="inlineStr">
        <is>
          <t>32285000774843</t>
        </is>
      </c>
      <c r="BD1668" t="inlineStr">
        <is>
          <t>893257299</t>
        </is>
      </c>
    </row>
    <row r="1669">
      <c r="A1669" t="inlineStr">
        <is>
          <t>No</t>
        </is>
      </c>
      <c r="B1669" t="inlineStr">
        <is>
          <t>DP264.F7 L55</t>
        </is>
      </c>
      <c r="C1669" t="inlineStr">
        <is>
          <t>0                      DP 0264000F  7                  L  55</t>
        </is>
      </c>
      <c r="D1669" t="inlineStr">
        <is>
          <t>Franco.</t>
        </is>
      </c>
      <c r="F1669" t="inlineStr">
        <is>
          <t>No</t>
        </is>
      </c>
      <c r="G1669" t="inlineStr">
        <is>
          <t>1</t>
        </is>
      </c>
      <c r="H1669" t="inlineStr">
        <is>
          <t>No</t>
        </is>
      </c>
      <c r="I1669" t="inlineStr">
        <is>
          <t>No</t>
        </is>
      </c>
      <c r="J1669" t="inlineStr">
        <is>
          <t>0</t>
        </is>
      </c>
      <c r="K1669" t="inlineStr">
        <is>
          <t>Lloyd, Alan, 1927-2018.</t>
        </is>
      </c>
      <c r="L1669" t="inlineStr">
        <is>
          <t>Garden City, N.Y. : Doubleday, 1969.</t>
        </is>
      </c>
      <c r="M1669" t="inlineStr">
        <is>
          <t>1969</t>
        </is>
      </c>
      <c r="N1669" t="inlineStr">
        <is>
          <t>[1st ed.]</t>
        </is>
      </c>
      <c r="O1669" t="inlineStr">
        <is>
          <t>eng</t>
        </is>
      </c>
      <c r="P1669" t="inlineStr">
        <is>
          <t>nyu</t>
        </is>
      </c>
      <c r="R1669" t="inlineStr">
        <is>
          <t xml:space="preserve">DP </t>
        </is>
      </c>
      <c r="S1669" t="n">
        <v>3</v>
      </c>
      <c r="T1669" t="n">
        <v>3</v>
      </c>
      <c r="U1669" t="inlineStr">
        <is>
          <t>1995-11-29</t>
        </is>
      </c>
      <c r="V1669" t="inlineStr">
        <is>
          <t>1995-11-29</t>
        </is>
      </c>
      <c r="W1669" t="inlineStr">
        <is>
          <t>1991-10-17</t>
        </is>
      </c>
      <c r="X1669" t="inlineStr">
        <is>
          <t>1991-10-17</t>
        </is>
      </c>
      <c r="Y1669" t="n">
        <v>628</v>
      </c>
      <c r="Z1669" t="n">
        <v>576</v>
      </c>
      <c r="AA1669" t="n">
        <v>595</v>
      </c>
      <c r="AB1669" t="n">
        <v>6</v>
      </c>
      <c r="AC1669" t="n">
        <v>6</v>
      </c>
      <c r="AD1669" t="n">
        <v>21</v>
      </c>
      <c r="AE1669" t="n">
        <v>23</v>
      </c>
      <c r="AF1669" t="n">
        <v>10</v>
      </c>
      <c r="AG1669" t="n">
        <v>10</v>
      </c>
      <c r="AH1669" t="n">
        <v>4</v>
      </c>
      <c r="AI1669" t="n">
        <v>4</v>
      </c>
      <c r="AJ1669" t="n">
        <v>10</v>
      </c>
      <c r="AK1669" t="n">
        <v>12</v>
      </c>
      <c r="AL1669" t="n">
        <v>3</v>
      </c>
      <c r="AM1669" t="n">
        <v>3</v>
      </c>
      <c r="AN1669" t="n">
        <v>0</v>
      </c>
      <c r="AO1669" t="n">
        <v>0</v>
      </c>
      <c r="AP1669" t="inlineStr">
        <is>
          <t>No</t>
        </is>
      </c>
      <c r="AQ1669" t="inlineStr">
        <is>
          <t>Yes</t>
        </is>
      </c>
      <c r="AR1669">
        <f>HYPERLINK("http://catalog.hathitrust.org/Record/001237043","HathiTrust Record")</f>
        <v/>
      </c>
      <c r="AS1669">
        <f>HYPERLINK("https://creighton-primo.hosted.exlibrisgroup.com/primo-explore/search?tab=default_tab&amp;search_scope=EVERYTHING&amp;vid=01CRU&amp;lang=en_US&amp;offset=0&amp;query=any,contains,991000057479702656","Catalog Record")</f>
        <v/>
      </c>
      <c r="AT1669">
        <f>HYPERLINK("http://www.worldcat.org/oclc/23749","WorldCat Record")</f>
        <v/>
      </c>
      <c r="AU1669" t="inlineStr">
        <is>
          <t>3768865561:eng</t>
        </is>
      </c>
      <c r="AV1669" t="inlineStr">
        <is>
          <t>23749</t>
        </is>
      </c>
      <c r="AW1669" t="inlineStr">
        <is>
          <t>991000057479702656</t>
        </is>
      </c>
      <c r="AX1669" t="inlineStr">
        <is>
          <t>991000057479702656</t>
        </is>
      </c>
      <c r="AY1669" t="inlineStr">
        <is>
          <t>2267753820002656</t>
        </is>
      </c>
      <c r="AZ1669" t="inlineStr">
        <is>
          <t>BOOK</t>
        </is>
      </c>
      <c r="BC1669" t="inlineStr">
        <is>
          <t>32285000774850</t>
        </is>
      </c>
      <c r="BD1669" t="inlineStr">
        <is>
          <t>893796364</t>
        </is>
      </c>
    </row>
    <row r="1670">
      <c r="A1670" t="inlineStr">
        <is>
          <t>No</t>
        </is>
      </c>
      <c r="B1670" t="inlineStr">
        <is>
          <t>DP264.F7 T78 1970</t>
        </is>
      </c>
      <c r="C1670" t="inlineStr">
        <is>
          <t>0                      DP 0264000F  7                  T  78          1970</t>
        </is>
      </c>
      <c r="D1670" t="inlineStr">
        <is>
          <t>El Caudillo : a political biography of Franco / by J. W. D. Trythall.</t>
        </is>
      </c>
      <c r="F1670" t="inlineStr">
        <is>
          <t>No</t>
        </is>
      </c>
      <c r="G1670" t="inlineStr">
        <is>
          <t>1</t>
        </is>
      </c>
      <c r="H1670" t="inlineStr">
        <is>
          <t>No</t>
        </is>
      </c>
      <c r="I1670" t="inlineStr">
        <is>
          <t>No</t>
        </is>
      </c>
      <c r="J1670" t="inlineStr">
        <is>
          <t>0</t>
        </is>
      </c>
      <c r="K1670" t="inlineStr">
        <is>
          <t>Trythall, J. W. D. (John William Donald), 1944-</t>
        </is>
      </c>
      <c r="L1670" t="inlineStr">
        <is>
          <t>New York : McGraw-Hill, [1970]</t>
        </is>
      </c>
      <c r="M1670" t="inlineStr">
        <is>
          <t>1970</t>
        </is>
      </c>
      <c r="O1670" t="inlineStr">
        <is>
          <t>eng</t>
        </is>
      </c>
      <c r="P1670" t="inlineStr">
        <is>
          <t>nyu</t>
        </is>
      </c>
      <c r="R1670" t="inlineStr">
        <is>
          <t xml:space="preserve">DP </t>
        </is>
      </c>
      <c r="S1670" t="n">
        <v>5</v>
      </c>
      <c r="T1670" t="n">
        <v>5</v>
      </c>
      <c r="U1670" t="inlineStr">
        <is>
          <t>1995-11-20</t>
        </is>
      </c>
      <c r="V1670" t="inlineStr">
        <is>
          <t>1995-11-20</t>
        </is>
      </c>
      <c r="W1670" t="inlineStr">
        <is>
          <t>1991-10-17</t>
        </is>
      </c>
      <c r="X1670" t="inlineStr">
        <is>
          <t>1991-10-17</t>
        </is>
      </c>
      <c r="Y1670" t="n">
        <v>545</v>
      </c>
      <c r="Z1670" t="n">
        <v>524</v>
      </c>
      <c r="AA1670" t="n">
        <v>527</v>
      </c>
      <c r="AB1670" t="n">
        <v>6</v>
      </c>
      <c r="AC1670" t="n">
        <v>6</v>
      </c>
      <c r="AD1670" t="n">
        <v>29</v>
      </c>
      <c r="AE1670" t="n">
        <v>29</v>
      </c>
      <c r="AF1670" t="n">
        <v>11</v>
      </c>
      <c r="AG1670" t="n">
        <v>11</v>
      </c>
      <c r="AH1670" t="n">
        <v>10</v>
      </c>
      <c r="AI1670" t="n">
        <v>10</v>
      </c>
      <c r="AJ1670" t="n">
        <v>13</v>
      </c>
      <c r="AK1670" t="n">
        <v>13</v>
      </c>
      <c r="AL1670" t="n">
        <v>4</v>
      </c>
      <c r="AM1670" t="n">
        <v>4</v>
      </c>
      <c r="AN1670" t="n">
        <v>0</v>
      </c>
      <c r="AO1670" t="n">
        <v>0</v>
      </c>
      <c r="AP1670" t="inlineStr">
        <is>
          <t>No</t>
        </is>
      </c>
      <c r="AQ1670" t="inlineStr">
        <is>
          <t>No</t>
        </is>
      </c>
      <c r="AS1670">
        <f>HYPERLINK("https://creighton-primo.hosted.exlibrisgroup.com/primo-explore/search?tab=default_tab&amp;search_scope=EVERYTHING&amp;vid=01CRU&amp;lang=en_US&amp;offset=0&amp;query=any,contains,991000546109702656","Catalog Record")</f>
        <v/>
      </c>
      <c r="AT1670">
        <f>HYPERLINK("http://www.worldcat.org/oclc/91464","WorldCat Record")</f>
        <v/>
      </c>
      <c r="AU1670" t="inlineStr">
        <is>
          <t>1302045:eng</t>
        </is>
      </c>
      <c r="AV1670" t="inlineStr">
        <is>
          <t>91464</t>
        </is>
      </c>
      <c r="AW1670" t="inlineStr">
        <is>
          <t>991000546109702656</t>
        </is>
      </c>
      <c r="AX1670" t="inlineStr">
        <is>
          <t>991000546109702656</t>
        </is>
      </c>
      <c r="AY1670" t="inlineStr">
        <is>
          <t>2264658650002656</t>
        </is>
      </c>
      <c r="AZ1670" t="inlineStr">
        <is>
          <t>BOOK</t>
        </is>
      </c>
      <c r="BC1670" t="inlineStr">
        <is>
          <t>32285000774868</t>
        </is>
      </c>
      <c r="BD1670" t="inlineStr">
        <is>
          <t>893438357</t>
        </is>
      </c>
    </row>
    <row r="1671">
      <c r="A1671" t="inlineStr">
        <is>
          <t>No</t>
        </is>
      </c>
      <c r="B1671" t="inlineStr">
        <is>
          <t>DP269 .A1425 1988</t>
        </is>
      </c>
      <c r="C1671" t="inlineStr">
        <is>
          <t>0                      DP 0269000A  1425        1988</t>
        </is>
      </c>
      <c r="D1671" t="inlineStr">
        <is>
          <t>Historia y memoria de la Guerra Civil : encuentro en Castilla y León : Salamanca, 24-27 de septiembre de 1986 / Julio Aróstegui (coordinador).</t>
        </is>
      </c>
      <c r="E1671" t="inlineStr">
        <is>
          <t>V.3</t>
        </is>
      </c>
      <c r="F1671" t="inlineStr">
        <is>
          <t>Yes</t>
        </is>
      </c>
      <c r="G1671" t="inlineStr">
        <is>
          <t>1</t>
        </is>
      </c>
      <c r="H1671" t="inlineStr">
        <is>
          <t>No</t>
        </is>
      </c>
      <c r="I1671" t="inlineStr">
        <is>
          <t>No</t>
        </is>
      </c>
      <c r="J1671" t="inlineStr">
        <is>
          <t>0</t>
        </is>
      </c>
      <c r="L1671" t="inlineStr">
        <is>
          <t>[Valladolid] : Junta de Castilla y León, Consejería de Cultura y Bienestar Social, 1988.</t>
        </is>
      </c>
      <c r="M1671" t="inlineStr">
        <is>
          <t>1988</t>
        </is>
      </c>
      <c r="O1671" t="inlineStr">
        <is>
          <t>spa</t>
        </is>
      </c>
      <c r="P1671" t="inlineStr">
        <is>
          <t xml:space="preserve">sp </t>
        </is>
      </c>
      <c r="R1671" t="inlineStr">
        <is>
          <t xml:space="preserve">DP </t>
        </is>
      </c>
      <c r="S1671" t="n">
        <v>0</v>
      </c>
      <c r="T1671" t="n">
        <v>0</v>
      </c>
      <c r="U1671" t="inlineStr">
        <is>
          <t>2002-02-21</t>
        </is>
      </c>
      <c r="V1671" t="inlineStr">
        <is>
          <t>2002-02-21</t>
        </is>
      </c>
      <c r="W1671" t="inlineStr">
        <is>
          <t>1990-08-27</t>
        </is>
      </c>
      <c r="X1671" t="inlineStr">
        <is>
          <t>1990-08-27</t>
        </is>
      </c>
      <c r="Y1671" t="n">
        <v>44</v>
      </c>
      <c r="Z1671" t="n">
        <v>32</v>
      </c>
      <c r="AA1671" t="n">
        <v>34</v>
      </c>
      <c r="AB1671" t="n">
        <v>1</v>
      </c>
      <c r="AC1671" t="n">
        <v>1</v>
      </c>
      <c r="AD1671" t="n">
        <v>0</v>
      </c>
      <c r="AE1671" t="n">
        <v>0</v>
      </c>
      <c r="AF1671" t="n">
        <v>0</v>
      </c>
      <c r="AG1671" t="n">
        <v>0</v>
      </c>
      <c r="AH1671" t="n">
        <v>0</v>
      </c>
      <c r="AI1671" t="n">
        <v>0</v>
      </c>
      <c r="AJ1671" t="n">
        <v>0</v>
      </c>
      <c r="AK1671" t="n">
        <v>0</v>
      </c>
      <c r="AL1671" t="n">
        <v>0</v>
      </c>
      <c r="AM1671" t="n">
        <v>0</v>
      </c>
      <c r="AN1671" t="n">
        <v>0</v>
      </c>
      <c r="AO1671" t="n">
        <v>0</v>
      </c>
      <c r="AP1671" t="inlineStr">
        <is>
          <t>No</t>
        </is>
      </c>
      <c r="AQ1671" t="inlineStr">
        <is>
          <t>Yes</t>
        </is>
      </c>
      <c r="AR1671">
        <f>HYPERLINK("http://catalog.hathitrust.org/Record/009847495","HathiTrust Record")</f>
        <v/>
      </c>
      <c r="AS1671">
        <f>HYPERLINK("https://creighton-primo.hosted.exlibrisgroup.com/primo-explore/search?tab=default_tab&amp;search_scope=EVERYTHING&amp;vid=01CRU&amp;lang=en_US&amp;offset=0&amp;query=any,contains,991001605549702656","Catalog Record")</f>
        <v/>
      </c>
      <c r="AT1671">
        <f>HYPERLINK("http://www.worldcat.org/oclc/20692144","WorldCat Record")</f>
        <v/>
      </c>
      <c r="AU1671" t="inlineStr">
        <is>
          <t>4494887796:spa</t>
        </is>
      </c>
      <c r="AV1671" t="inlineStr">
        <is>
          <t>20692144</t>
        </is>
      </c>
      <c r="AW1671" t="inlineStr">
        <is>
          <t>991001605549702656</t>
        </is>
      </c>
      <c r="AX1671" t="inlineStr">
        <is>
          <t>991001605549702656</t>
        </is>
      </c>
      <c r="AY1671" t="inlineStr">
        <is>
          <t>2255059150002656</t>
        </is>
      </c>
      <c r="AZ1671" t="inlineStr">
        <is>
          <t>BOOK</t>
        </is>
      </c>
      <c r="BB1671" t="inlineStr">
        <is>
          <t>9788450576962</t>
        </is>
      </c>
      <c r="BC1671" t="inlineStr">
        <is>
          <t>32285000244870</t>
        </is>
      </c>
      <c r="BD1671" t="inlineStr">
        <is>
          <t>893872623</t>
        </is>
      </c>
    </row>
    <row r="1672">
      <c r="A1672" t="inlineStr">
        <is>
          <t>No</t>
        </is>
      </c>
      <c r="B1672" t="inlineStr">
        <is>
          <t>DP269 .A1425 1988</t>
        </is>
      </c>
      <c r="C1672" t="inlineStr">
        <is>
          <t>0                      DP 0269000A  1425        1988</t>
        </is>
      </c>
      <c r="D1672" t="inlineStr">
        <is>
          <t>Historia y memoria de la Guerra Civil : encuentro en Castilla y León : Salamanca, 24-27 de septiembre de 1986 / Julio Aróstegui (coordinador).</t>
        </is>
      </c>
      <c r="E1672" t="inlineStr">
        <is>
          <t>V.2</t>
        </is>
      </c>
      <c r="F1672" t="inlineStr">
        <is>
          <t>Yes</t>
        </is>
      </c>
      <c r="G1672" t="inlineStr">
        <is>
          <t>1</t>
        </is>
      </c>
      <c r="H1672" t="inlineStr">
        <is>
          <t>No</t>
        </is>
      </c>
      <c r="I1672" t="inlineStr">
        <is>
          <t>No</t>
        </is>
      </c>
      <c r="J1672" t="inlineStr">
        <is>
          <t>0</t>
        </is>
      </c>
      <c r="L1672" t="inlineStr">
        <is>
          <t>[Valladolid] : Junta de Castilla y León, Consejería de Cultura y Bienestar Social, 1988.</t>
        </is>
      </c>
      <c r="M1672" t="inlineStr">
        <is>
          <t>1988</t>
        </is>
      </c>
      <c r="O1672" t="inlineStr">
        <is>
          <t>spa</t>
        </is>
      </c>
      <c r="P1672" t="inlineStr">
        <is>
          <t xml:space="preserve">sp </t>
        </is>
      </c>
      <c r="R1672" t="inlineStr">
        <is>
          <t xml:space="preserve">DP </t>
        </is>
      </c>
      <c r="S1672" t="n">
        <v>0</v>
      </c>
      <c r="T1672" t="n">
        <v>0</v>
      </c>
      <c r="U1672" t="inlineStr">
        <is>
          <t>2002-02-21</t>
        </is>
      </c>
      <c r="V1672" t="inlineStr">
        <is>
          <t>2002-02-21</t>
        </is>
      </c>
      <c r="W1672" t="inlineStr">
        <is>
          <t>1990-08-27</t>
        </is>
      </c>
      <c r="X1672" t="inlineStr">
        <is>
          <t>1990-08-27</t>
        </is>
      </c>
      <c r="Y1672" t="n">
        <v>44</v>
      </c>
      <c r="Z1672" t="n">
        <v>32</v>
      </c>
      <c r="AA1672" t="n">
        <v>34</v>
      </c>
      <c r="AB1672" t="n">
        <v>1</v>
      </c>
      <c r="AC1672" t="n">
        <v>1</v>
      </c>
      <c r="AD1672" t="n">
        <v>0</v>
      </c>
      <c r="AE1672" t="n">
        <v>0</v>
      </c>
      <c r="AF1672" t="n">
        <v>0</v>
      </c>
      <c r="AG1672" t="n">
        <v>0</v>
      </c>
      <c r="AH1672" t="n">
        <v>0</v>
      </c>
      <c r="AI1672" t="n">
        <v>0</v>
      </c>
      <c r="AJ1672" t="n">
        <v>0</v>
      </c>
      <c r="AK1672" t="n">
        <v>0</v>
      </c>
      <c r="AL1672" t="n">
        <v>0</v>
      </c>
      <c r="AM1672" t="n">
        <v>0</v>
      </c>
      <c r="AN1672" t="n">
        <v>0</v>
      </c>
      <c r="AO1672" t="n">
        <v>0</v>
      </c>
      <c r="AP1672" t="inlineStr">
        <is>
          <t>No</t>
        </is>
      </c>
      <c r="AQ1672" t="inlineStr">
        <is>
          <t>Yes</t>
        </is>
      </c>
      <c r="AR1672">
        <f>HYPERLINK("http://catalog.hathitrust.org/Record/009847495","HathiTrust Record")</f>
        <v/>
      </c>
      <c r="AS1672">
        <f>HYPERLINK("https://creighton-primo.hosted.exlibrisgroup.com/primo-explore/search?tab=default_tab&amp;search_scope=EVERYTHING&amp;vid=01CRU&amp;lang=en_US&amp;offset=0&amp;query=any,contains,991001605549702656","Catalog Record")</f>
        <v/>
      </c>
      <c r="AT1672">
        <f>HYPERLINK("http://www.worldcat.org/oclc/20692144","WorldCat Record")</f>
        <v/>
      </c>
      <c r="AU1672" t="inlineStr">
        <is>
          <t>4494887796:spa</t>
        </is>
      </c>
      <c r="AV1672" t="inlineStr">
        <is>
          <t>20692144</t>
        </is>
      </c>
      <c r="AW1672" t="inlineStr">
        <is>
          <t>991001605549702656</t>
        </is>
      </c>
      <c r="AX1672" t="inlineStr">
        <is>
          <t>991001605549702656</t>
        </is>
      </c>
      <c r="AY1672" t="inlineStr">
        <is>
          <t>2255059150002656</t>
        </is>
      </c>
      <c r="AZ1672" t="inlineStr">
        <is>
          <t>BOOK</t>
        </is>
      </c>
      <c r="BB1672" t="inlineStr">
        <is>
          <t>9788450576962</t>
        </is>
      </c>
      <c r="BC1672" t="inlineStr">
        <is>
          <t>32285000244862</t>
        </is>
      </c>
      <c r="BD1672" t="inlineStr">
        <is>
          <t>893885394</t>
        </is>
      </c>
    </row>
    <row r="1673">
      <c r="A1673" t="inlineStr">
        <is>
          <t>No</t>
        </is>
      </c>
      <c r="B1673" t="inlineStr">
        <is>
          <t>DP269 .A1425 1988</t>
        </is>
      </c>
      <c r="C1673" t="inlineStr">
        <is>
          <t>0                      DP 0269000A  1425        1988</t>
        </is>
      </c>
      <c r="D1673" t="inlineStr">
        <is>
          <t>Historia y memoria de la Guerra Civil : encuentro en Castilla y León : Salamanca, 24-27 de septiembre de 1986 / Julio Aróstegui (coordinador).</t>
        </is>
      </c>
      <c r="E1673" t="inlineStr">
        <is>
          <t>V.1</t>
        </is>
      </c>
      <c r="F1673" t="inlineStr">
        <is>
          <t>Yes</t>
        </is>
      </c>
      <c r="G1673" t="inlineStr">
        <is>
          <t>1</t>
        </is>
      </c>
      <c r="H1673" t="inlineStr">
        <is>
          <t>No</t>
        </is>
      </c>
      <c r="I1673" t="inlineStr">
        <is>
          <t>No</t>
        </is>
      </c>
      <c r="J1673" t="inlineStr">
        <is>
          <t>0</t>
        </is>
      </c>
      <c r="L1673" t="inlineStr">
        <is>
          <t>[Valladolid] : Junta de Castilla y León, Consejería de Cultura y Bienestar Social, 1988.</t>
        </is>
      </c>
      <c r="M1673" t="inlineStr">
        <is>
          <t>1988</t>
        </is>
      </c>
      <c r="O1673" t="inlineStr">
        <is>
          <t>spa</t>
        </is>
      </c>
      <c r="P1673" t="inlineStr">
        <is>
          <t xml:space="preserve">sp </t>
        </is>
      </c>
      <c r="R1673" t="inlineStr">
        <is>
          <t xml:space="preserve">DP </t>
        </is>
      </c>
      <c r="S1673" t="n">
        <v>0</v>
      </c>
      <c r="T1673" t="n">
        <v>0</v>
      </c>
      <c r="U1673" t="inlineStr">
        <is>
          <t>2002-02-21</t>
        </is>
      </c>
      <c r="V1673" t="inlineStr">
        <is>
          <t>2002-02-21</t>
        </is>
      </c>
      <c r="W1673" t="inlineStr">
        <is>
          <t>1990-08-27</t>
        </is>
      </c>
      <c r="X1673" t="inlineStr">
        <is>
          <t>1990-08-27</t>
        </is>
      </c>
      <c r="Y1673" t="n">
        <v>44</v>
      </c>
      <c r="Z1673" t="n">
        <v>32</v>
      </c>
      <c r="AA1673" t="n">
        <v>34</v>
      </c>
      <c r="AB1673" t="n">
        <v>1</v>
      </c>
      <c r="AC1673" t="n">
        <v>1</v>
      </c>
      <c r="AD1673" t="n">
        <v>0</v>
      </c>
      <c r="AE1673" t="n">
        <v>0</v>
      </c>
      <c r="AF1673" t="n">
        <v>0</v>
      </c>
      <c r="AG1673" t="n">
        <v>0</v>
      </c>
      <c r="AH1673" t="n">
        <v>0</v>
      </c>
      <c r="AI1673" t="n">
        <v>0</v>
      </c>
      <c r="AJ1673" t="n">
        <v>0</v>
      </c>
      <c r="AK1673" t="n">
        <v>0</v>
      </c>
      <c r="AL1673" t="n">
        <v>0</v>
      </c>
      <c r="AM1673" t="n">
        <v>0</v>
      </c>
      <c r="AN1673" t="n">
        <v>0</v>
      </c>
      <c r="AO1673" t="n">
        <v>0</v>
      </c>
      <c r="AP1673" t="inlineStr">
        <is>
          <t>No</t>
        </is>
      </c>
      <c r="AQ1673" t="inlineStr">
        <is>
          <t>Yes</t>
        </is>
      </c>
      <c r="AR1673">
        <f>HYPERLINK("http://catalog.hathitrust.org/Record/009847495","HathiTrust Record")</f>
        <v/>
      </c>
      <c r="AS1673">
        <f>HYPERLINK("https://creighton-primo.hosted.exlibrisgroup.com/primo-explore/search?tab=default_tab&amp;search_scope=EVERYTHING&amp;vid=01CRU&amp;lang=en_US&amp;offset=0&amp;query=any,contains,991001605549702656","Catalog Record")</f>
        <v/>
      </c>
      <c r="AT1673">
        <f>HYPERLINK("http://www.worldcat.org/oclc/20692144","WorldCat Record")</f>
        <v/>
      </c>
      <c r="AU1673" t="inlineStr">
        <is>
          <t>4494887796:spa</t>
        </is>
      </c>
      <c r="AV1673" t="inlineStr">
        <is>
          <t>20692144</t>
        </is>
      </c>
      <c r="AW1673" t="inlineStr">
        <is>
          <t>991001605549702656</t>
        </is>
      </c>
      <c r="AX1673" t="inlineStr">
        <is>
          <t>991001605549702656</t>
        </is>
      </c>
      <c r="AY1673" t="inlineStr">
        <is>
          <t>2255059150002656</t>
        </is>
      </c>
      <c r="AZ1673" t="inlineStr">
        <is>
          <t>BOOK</t>
        </is>
      </c>
      <c r="BB1673" t="inlineStr">
        <is>
          <t>9788450576962</t>
        </is>
      </c>
      <c r="BC1673" t="inlineStr">
        <is>
          <t>32285000244854</t>
        </is>
      </c>
      <c r="BD1673" t="inlineStr">
        <is>
          <t>893885397</t>
        </is>
      </c>
    </row>
    <row r="1674">
      <c r="A1674" t="inlineStr">
        <is>
          <t>No</t>
        </is>
      </c>
      <c r="B1674" t="inlineStr">
        <is>
          <t>DP269 .B374 2001</t>
        </is>
      </c>
      <c r="C1674" t="inlineStr">
        <is>
          <t>0                      DP 0269000B  374         2001</t>
        </is>
      </c>
      <c r="D1674" t="inlineStr">
        <is>
          <t>The Spanish Civil War / Antony Beevor.</t>
        </is>
      </c>
      <c r="F1674" t="inlineStr">
        <is>
          <t>No</t>
        </is>
      </c>
      <c r="G1674" t="inlineStr">
        <is>
          <t>1</t>
        </is>
      </c>
      <c r="H1674" t="inlineStr">
        <is>
          <t>No</t>
        </is>
      </c>
      <c r="I1674" t="inlineStr">
        <is>
          <t>No</t>
        </is>
      </c>
      <c r="J1674" t="inlineStr">
        <is>
          <t>0</t>
        </is>
      </c>
      <c r="K1674" t="inlineStr">
        <is>
          <t>Beevor, Antony, 1946-</t>
        </is>
      </c>
      <c r="L1674" t="inlineStr">
        <is>
          <t>New York : Penguin Books, 2001.</t>
        </is>
      </c>
      <c r="M1674" t="inlineStr">
        <is>
          <t>2001</t>
        </is>
      </c>
      <c r="O1674" t="inlineStr">
        <is>
          <t>eng</t>
        </is>
      </c>
      <c r="P1674" t="inlineStr">
        <is>
          <t>nyu</t>
        </is>
      </c>
      <c r="R1674" t="inlineStr">
        <is>
          <t xml:space="preserve">DP </t>
        </is>
      </c>
      <c r="S1674" t="n">
        <v>7</v>
      </c>
      <c r="T1674" t="n">
        <v>7</v>
      </c>
      <c r="U1674" t="inlineStr">
        <is>
          <t>2010-03-30</t>
        </is>
      </c>
      <c r="V1674" t="inlineStr">
        <is>
          <t>2010-03-30</t>
        </is>
      </c>
      <c r="W1674" t="inlineStr">
        <is>
          <t>2002-12-04</t>
        </is>
      </c>
      <c r="X1674" t="inlineStr">
        <is>
          <t>2002-12-04</t>
        </is>
      </c>
      <c r="Y1674" t="n">
        <v>224</v>
      </c>
      <c r="Z1674" t="n">
        <v>196</v>
      </c>
      <c r="AA1674" t="n">
        <v>756</v>
      </c>
      <c r="AB1674" t="n">
        <v>2</v>
      </c>
      <c r="AC1674" t="n">
        <v>5</v>
      </c>
      <c r="AD1674" t="n">
        <v>11</v>
      </c>
      <c r="AE1674" t="n">
        <v>29</v>
      </c>
      <c r="AF1674" t="n">
        <v>7</v>
      </c>
      <c r="AG1674" t="n">
        <v>16</v>
      </c>
      <c r="AH1674" t="n">
        <v>1</v>
      </c>
      <c r="AI1674" t="n">
        <v>6</v>
      </c>
      <c r="AJ1674" t="n">
        <v>5</v>
      </c>
      <c r="AK1674" t="n">
        <v>12</v>
      </c>
      <c r="AL1674" t="n">
        <v>1</v>
      </c>
      <c r="AM1674" t="n">
        <v>3</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HYPERLINK("https://creighton-primo.hosted.exlibrisgroup.com/primo-explore/search?tab=default_tab&amp;search_scope=EVERYTHING&amp;vid=01CRU&amp;lang=en_US&amp;offset=0&amp;query=any,contains,991003944279702656","Catalog Record")</f>
        <v/>
      </c>
      <c r="AT1674">
        <f>HYPERLINK("http://www.worldcat.org/oclc/46321088","WorldCat Record")</f>
        <v/>
      </c>
      <c r="AU1674" t="inlineStr">
        <is>
          <t>1151096463:eng</t>
        </is>
      </c>
      <c r="AV1674" t="inlineStr">
        <is>
          <t>46321088</t>
        </is>
      </c>
      <c r="AW1674" t="inlineStr">
        <is>
          <t>991003944279702656</t>
        </is>
      </c>
      <c r="AX1674" t="inlineStr">
        <is>
          <t>991003944279702656</t>
        </is>
      </c>
      <c r="AY1674" t="inlineStr">
        <is>
          <t>2256645770002656</t>
        </is>
      </c>
      <c r="AZ1674" t="inlineStr">
        <is>
          <t>BOOK</t>
        </is>
      </c>
      <c r="BB1674" t="inlineStr">
        <is>
          <t>9780141001487</t>
        </is>
      </c>
      <c r="BC1674" t="inlineStr">
        <is>
          <t>32285004667472</t>
        </is>
      </c>
      <c r="BD1674" t="inlineStr">
        <is>
          <t>893781666</t>
        </is>
      </c>
    </row>
    <row r="1675">
      <c r="A1675" t="inlineStr">
        <is>
          <t>No</t>
        </is>
      </c>
      <c r="B1675" t="inlineStr">
        <is>
          <t>DP269 .B66 1963</t>
        </is>
      </c>
      <c r="C1675" t="inlineStr">
        <is>
          <t>0                      DP 0269000B  66          1963</t>
        </is>
      </c>
      <c r="D1675" t="inlineStr">
        <is>
          <t>The Spanish cockpit; an eye-witness account of the political and social conflicts of the Spanish Civil War. Foreword by Gerald Brenan.</t>
        </is>
      </c>
      <c r="F1675" t="inlineStr">
        <is>
          <t>No</t>
        </is>
      </c>
      <c r="G1675" t="inlineStr">
        <is>
          <t>1</t>
        </is>
      </c>
      <c r="H1675" t="inlineStr">
        <is>
          <t>No</t>
        </is>
      </c>
      <c r="I1675" t="inlineStr">
        <is>
          <t>No</t>
        </is>
      </c>
      <c r="J1675" t="inlineStr">
        <is>
          <t>0</t>
        </is>
      </c>
      <c r="K1675" t="inlineStr">
        <is>
          <t>Borkenau, Franz, 1900-1957.</t>
        </is>
      </c>
      <c r="L1675" t="inlineStr">
        <is>
          <t>[Ann Arbor] University of Michigan Press [1963, c1937]</t>
        </is>
      </c>
      <c r="M1675" t="inlineStr">
        <is>
          <t>1963</t>
        </is>
      </c>
      <c r="O1675" t="inlineStr">
        <is>
          <t>eng</t>
        </is>
      </c>
      <c r="P1675" t="inlineStr">
        <is>
          <t>miu</t>
        </is>
      </c>
      <c r="Q1675" t="inlineStr">
        <is>
          <t>Ann Arbor paperbacks</t>
        </is>
      </c>
      <c r="R1675" t="inlineStr">
        <is>
          <t xml:space="preserve">DP </t>
        </is>
      </c>
      <c r="S1675" t="n">
        <v>1</v>
      </c>
      <c r="T1675" t="n">
        <v>1</v>
      </c>
      <c r="U1675" t="inlineStr">
        <is>
          <t>2007-10-01</t>
        </is>
      </c>
      <c r="V1675" t="inlineStr">
        <is>
          <t>2007-10-01</t>
        </is>
      </c>
      <c r="W1675" t="inlineStr">
        <is>
          <t>1997-02-14</t>
        </is>
      </c>
      <c r="X1675" t="inlineStr">
        <is>
          <t>1997-02-14</t>
        </is>
      </c>
      <c r="Y1675" t="n">
        <v>574</v>
      </c>
      <c r="Z1675" t="n">
        <v>490</v>
      </c>
      <c r="AA1675" t="n">
        <v>577</v>
      </c>
      <c r="AB1675" t="n">
        <v>8</v>
      </c>
      <c r="AC1675" t="n">
        <v>8</v>
      </c>
      <c r="AD1675" t="n">
        <v>28</v>
      </c>
      <c r="AE1675" t="n">
        <v>32</v>
      </c>
      <c r="AF1675" t="n">
        <v>11</v>
      </c>
      <c r="AG1675" t="n">
        <v>11</v>
      </c>
      <c r="AH1675" t="n">
        <v>5</v>
      </c>
      <c r="AI1675" t="n">
        <v>6</v>
      </c>
      <c r="AJ1675" t="n">
        <v>11</v>
      </c>
      <c r="AK1675" t="n">
        <v>14</v>
      </c>
      <c r="AL1675" t="n">
        <v>7</v>
      </c>
      <c r="AM1675" t="n">
        <v>7</v>
      </c>
      <c r="AN1675" t="n">
        <v>0</v>
      </c>
      <c r="AO1675" t="n">
        <v>0</v>
      </c>
      <c r="AP1675" t="inlineStr">
        <is>
          <t>No</t>
        </is>
      </c>
      <c r="AQ1675" t="inlineStr">
        <is>
          <t>No</t>
        </is>
      </c>
      <c r="AR1675">
        <f>HYPERLINK("http://catalog.hathitrust.org/Record/001237075","HathiTrust Record")</f>
        <v/>
      </c>
      <c r="AS1675">
        <f>HYPERLINK("https://creighton-primo.hosted.exlibrisgroup.com/primo-explore/search?tab=default_tab&amp;search_scope=EVERYTHING&amp;vid=01CRU&amp;lang=en_US&amp;offset=0&amp;query=any,contains,991002672929702656","Catalog Record")</f>
        <v/>
      </c>
      <c r="AT1675">
        <f>HYPERLINK("http://www.worldcat.org/oclc/396010","WorldCat Record")</f>
        <v/>
      </c>
      <c r="AU1675" t="inlineStr">
        <is>
          <t>1540232:eng</t>
        </is>
      </c>
      <c r="AV1675" t="inlineStr">
        <is>
          <t>396010</t>
        </is>
      </c>
      <c r="AW1675" t="inlineStr">
        <is>
          <t>991002672929702656</t>
        </is>
      </c>
      <c r="AX1675" t="inlineStr">
        <is>
          <t>991002672929702656</t>
        </is>
      </c>
      <c r="AY1675" t="inlineStr">
        <is>
          <t>2261132540002656</t>
        </is>
      </c>
      <c r="AZ1675" t="inlineStr">
        <is>
          <t>BOOK</t>
        </is>
      </c>
      <c r="BC1675" t="inlineStr">
        <is>
          <t>32285002439023</t>
        </is>
      </c>
      <c r="BD1675" t="inlineStr">
        <is>
          <t>893517581</t>
        </is>
      </c>
    </row>
    <row r="1676">
      <c r="A1676" t="inlineStr">
        <is>
          <t>No</t>
        </is>
      </c>
      <c r="B1676" t="inlineStr">
        <is>
          <t>DP269 .E74 1995</t>
        </is>
      </c>
      <c r="C1676" t="inlineStr">
        <is>
          <t>0                      DP 0269000E  74          1995</t>
        </is>
      </c>
      <c r="D1676" t="inlineStr">
        <is>
          <t>Spain at war : the Spanish Civil War in context, 1931-1939 / George Esenwein and Adrian Shubert.</t>
        </is>
      </c>
      <c r="F1676" t="inlineStr">
        <is>
          <t>No</t>
        </is>
      </c>
      <c r="G1676" t="inlineStr">
        <is>
          <t>1</t>
        </is>
      </c>
      <c r="H1676" t="inlineStr">
        <is>
          <t>No</t>
        </is>
      </c>
      <c r="I1676" t="inlineStr">
        <is>
          <t>No</t>
        </is>
      </c>
      <c r="J1676" t="inlineStr">
        <is>
          <t>0</t>
        </is>
      </c>
      <c r="K1676" t="inlineStr">
        <is>
          <t>Esenwein, George Richard.</t>
        </is>
      </c>
      <c r="L1676" t="inlineStr">
        <is>
          <t>London ; New York : Longman, 1995.</t>
        </is>
      </c>
      <c r="M1676" t="inlineStr">
        <is>
          <t>1995</t>
        </is>
      </c>
      <c r="O1676" t="inlineStr">
        <is>
          <t>eng</t>
        </is>
      </c>
      <c r="P1676" t="inlineStr">
        <is>
          <t>enk</t>
        </is>
      </c>
      <c r="R1676" t="inlineStr">
        <is>
          <t xml:space="preserve">DP </t>
        </is>
      </c>
      <c r="S1676" t="n">
        <v>3</v>
      </c>
      <c r="T1676" t="n">
        <v>3</v>
      </c>
      <c r="U1676" t="inlineStr">
        <is>
          <t>2010-03-30</t>
        </is>
      </c>
      <c r="V1676" t="inlineStr">
        <is>
          <t>2010-03-30</t>
        </is>
      </c>
      <c r="W1676" t="inlineStr">
        <is>
          <t>2009-04-16</t>
        </is>
      </c>
      <c r="X1676" t="inlineStr">
        <is>
          <t>2009-04-16</t>
        </is>
      </c>
      <c r="Y1676" t="n">
        <v>383</v>
      </c>
      <c r="Z1676" t="n">
        <v>238</v>
      </c>
      <c r="AA1676" t="n">
        <v>246</v>
      </c>
      <c r="AB1676" t="n">
        <v>2</v>
      </c>
      <c r="AC1676" t="n">
        <v>2</v>
      </c>
      <c r="AD1676" t="n">
        <v>10</v>
      </c>
      <c r="AE1676" t="n">
        <v>10</v>
      </c>
      <c r="AF1676" t="n">
        <v>4</v>
      </c>
      <c r="AG1676" t="n">
        <v>4</v>
      </c>
      <c r="AH1676" t="n">
        <v>3</v>
      </c>
      <c r="AI1676" t="n">
        <v>3</v>
      </c>
      <c r="AJ1676" t="n">
        <v>7</v>
      </c>
      <c r="AK1676" t="n">
        <v>7</v>
      </c>
      <c r="AL1676" t="n">
        <v>1</v>
      </c>
      <c r="AM1676" t="n">
        <v>1</v>
      </c>
      <c r="AN1676" t="n">
        <v>0</v>
      </c>
      <c r="AO1676" t="n">
        <v>0</v>
      </c>
      <c r="AP1676" t="inlineStr">
        <is>
          <t>No</t>
        </is>
      </c>
      <c r="AQ1676" t="inlineStr">
        <is>
          <t>Yes</t>
        </is>
      </c>
      <c r="AR1676">
        <f>HYPERLINK("http://catalog.hathitrust.org/Record/002961382","HathiTrust Record")</f>
        <v/>
      </c>
      <c r="AS1676">
        <f>HYPERLINK("https://creighton-primo.hosted.exlibrisgroup.com/primo-explore/search?tab=default_tab&amp;search_scope=EVERYTHING&amp;vid=01CRU&amp;lang=en_US&amp;offset=0&amp;query=any,contains,991005306419702656","Catalog Record")</f>
        <v/>
      </c>
      <c r="AT1676">
        <f>HYPERLINK("http://www.worldcat.org/oclc/30666135","WorldCat Record")</f>
        <v/>
      </c>
      <c r="AU1676" t="inlineStr">
        <is>
          <t>836885552:eng</t>
        </is>
      </c>
      <c r="AV1676" t="inlineStr">
        <is>
          <t>30666135</t>
        </is>
      </c>
      <c r="AW1676" t="inlineStr">
        <is>
          <t>991005306419702656</t>
        </is>
      </c>
      <c r="AX1676" t="inlineStr">
        <is>
          <t>991005306419702656</t>
        </is>
      </c>
      <c r="AY1676" t="inlineStr">
        <is>
          <t>2267742340002656</t>
        </is>
      </c>
      <c r="AZ1676" t="inlineStr">
        <is>
          <t>BOOK</t>
        </is>
      </c>
      <c r="BB1676" t="inlineStr">
        <is>
          <t>9780582259430</t>
        </is>
      </c>
      <c r="BC1676" t="inlineStr">
        <is>
          <t>32285005516165</t>
        </is>
      </c>
      <c r="BD1676" t="inlineStr">
        <is>
          <t>893351076</t>
        </is>
      </c>
    </row>
    <row r="1677">
      <c r="A1677" t="inlineStr">
        <is>
          <t>No</t>
        </is>
      </c>
      <c r="B1677" t="inlineStr">
        <is>
          <t>DP269 .F73 1979</t>
        </is>
      </c>
      <c r="C1677" t="inlineStr">
        <is>
          <t>0                      DP 0269000F  73          1979</t>
        </is>
      </c>
      <c r="D1677" t="inlineStr">
        <is>
          <t>Blood of Spain : an oral history of the Spanish Civil War / Ronald Fraser.</t>
        </is>
      </c>
      <c r="F1677" t="inlineStr">
        <is>
          <t>No</t>
        </is>
      </c>
      <c r="G1677" t="inlineStr">
        <is>
          <t>1</t>
        </is>
      </c>
      <c r="H1677" t="inlineStr">
        <is>
          <t>No</t>
        </is>
      </c>
      <c r="I1677" t="inlineStr">
        <is>
          <t>No</t>
        </is>
      </c>
      <c r="J1677" t="inlineStr">
        <is>
          <t>0</t>
        </is>
      </c>
      <c r="K1677" t="inlineStr">
        <is>
          <t>Fraser, Ronald, 1930-2012.</t>
        </is>
      </c>
      <c r="L1677" t="inlineStr">
        <is>
          <t>New York : Pantheon Books, c1979.</t>
        </is>
      </c>
      <c r="M1677" t="inlineStr">
        <is>
          <t>1979</t>
        </is>
      </c>
      <c r="N1677" t="inlineStr">
        <is>
          <t>1st American ed.</t>
        </is>
      </c>
      <c r="O1677" t="inlineStr">
        <is>
          <t>eng</t>
        </is>
      </c>
      <c r="P1677" t="inlineStr">
        <is>
          <t>nyu</t>
        </is>
      </c>
      <c r="R1677" t="inlineStr">
        <is>
          <t xml:space="preserve">DP </t>
        </is>
      </c>
      <c r="S1677" t="n">
        <v>12</v>
      </c>
      <c r="T1677" t="n">
        <v>12</v>
      </c>
      <c r="U1677" t="inlineStr">
        <is>
          <t>2007-11-14</t>
        </is>
      </c>
      <c r="V1677" t="inlineStr">
        <is>
          <t>2007-11-14</t>
        </is>
      </c>
      <c r="W1677" t="inlineStr">
        <is>
          <t>1991-10-10</t>
        </is>
      </c>
      <c r="X1677" t="inlineStr">
        <is>
          <t>1991-10-10</t>
        </is>
      </c>
      <c r="Y1677" t="n">
        <v>1154</v>
      </c>
      <c r="Z1677" t="n">
        <v>1066</v>
      </c>
      <c r="AA1677" t="n">
        <v>1159</v>
      </c>
      <c r="AB1677" t="n">
        <v>8</v>
      </c>
      <c r="AC1677" t="n">
        <v>9</v>
      </c>
      <c r="AD1677" t="n">
        <v>37</v>
      </c>
      <c r="AE1677" t="n">
        <v>41</v>
      </c>
      <c r="AF1677" t="n">
        <v>13</v>
      </c>
      <c r="AG1677" t="n">
        <v>14</v>
      </c>
      <c r="AH1677" t="n">
        <v>8</v>
      </c>
      <c r="AI1677" t="n">
        <v>8</v>
      </c>
      <c r="AJ1677" t="n">
        <v>18</v>
      </c>
      <c r="AK1677" t="n">
        <v>20</v>
      </c>
      <c r="AL1677" t="n">
        <v>5</v>
      </c>
      <c r="AM1677" t="n">
        <v>6</v>
      </c>
      <c r="AN1677" t="n">
        <v>0</v>
      </c>
      <c r="AO1677" t="n">
        <v>0</v>
      </c>
      <c r="AP1677" t="inlineStr">
        <is>
          <t>No</t>
        </is>
      </c>
      <c r="AQ1677" t="inlineStr">
        <is>
          <t>Yes</t>
        </is>
      </c>
      <c r="AR1677">
        <f>HYPERLINK("http://catalog.hathitrust.org/Record/004409303","HathiTrust Record")</f>
        <v/>
      </c>
      <c r="AS1677">
        <f>HYPERLINK("https://creighton-primo.hosted.exlibrisgroup.com/primo-explore/search?tab=default_tab&amp;search_scope=EVERYTHING&amp;vid=01CRU&amp;lang=en_US&amp;offset=0&amp;query=any,contains,991004731749702656","Catalog Record")</f>
        <v/>
      </c>
      <c r="AT1677">
        <f>HYPERLINK("http://www.worldcat.org/oclc/4835193","WorldCat Record")</f>
        <v/>
      </c>
      <c r="AU1677" t="inlineStr">
        <is>
          <t>3768462417:eng</t>
        </is>
      </c>
      <c r="AV1677" t="inlineStr">
        <is>
          <t>4835193</t>
        </is>
      </c>
      <c r="AW1677" t="inlineStr">
        <is>
          <t>991004731749702656</t>
        </is>
      </c>
      <c r="AX1677" t="inlineStr">
        <is>
          <t>991004731749702656</t>
        </is>
      </c>
      <c r="AY1677" t="inlineStr">
        <is>
          <t>2265246690002656</t>
        </is>
      </c>
      <c r="AZ1677" t="inlineStr">
        <is>
          <t>BOOK</t>
        </is>
      </c>
      <c r="BB1677" t="inlineStr">
        <is>
          <t>9780394489827</t>
        </is>
      </c>
      <c r="BC1677" t="inlineStr">
        <is>
          <t>32285000653153</t>
        </is>
      </c>
      <c r="BD1677" t="inlineStr">
        <is>
          <t>893612703</t>
        </is>
      </c>
    </row>
    <row r="1678">
      <c r="A1678" t="inlineStr">
        <is>
          <t>No</t>
        </is>
      </c>
      <c r="B1678" t="inlineStr">
        <is>
          <t>DP269 .J4 1969</t>
        </is>
      </c>
      <c r="C1678" t="inlineStr">
        <is>
          <t>0                      DP 0269000J  4           1969</t>
        </is>
      </c>
      <c r="D1678" t="inlineStr">
        <is>
          <t>The Civil War in Spain.</t>
        </is>
      </c>
      <c r="F1678" t="inlineStr">
        <is>
          <t>No</t>
        </is>
      </c>
      <c r="G1678" t="inlineStr">
        <is>
          <t>1</t>
        </is>
      </c>
      <c r="H1678" t="inlineStr">
        <is>
          <t>No</t>
        </is>
      </c>
      <c r="I1678" t="inlineStr">
        <is>
          <t>No</t>
        </is>
      </c>
      <c r="J1678" t="inlineStr">
        <is>
          <t>0</t>
        </is>
      </c>
      <c r="K1678" t="inlineStr">
        <is>
          <t>Jellinek, Frank, 1908-1975.</t>
        </is>
      </c>
      <c r="L1678" t="inlineStr">
        <is>
          <t>New York : H. Fertig, 1969.</t>
        </is>
      </c>
      <c r="M1678" t="inlineStr">
        <is>
          <t>1969</t>
        </is>
      </c>
      <c r="N1678" t="inlineStr">
        <is>
          <t>[1st American ed.]</t>
        </is>
      </c>
      <c r="O1678" t="inlineStr">
        <is>
          <t>eng</t>
        </is>
      </c>
      <c r="P1678" t="inlineStr">
        <is>
          <t>nyu</t>
        </is>
      </c>
      <c r="R1678" t="inlineStr">
        <is>
          <t xml:space="preserve">DP </t>
        </is>
      </c>
      <c r="S1678" t="n">
        <v>2</v>
      </c>
      <c r="T1678" t="n">
        <v>2</v>
      </c>
      <c r="U1678" t="inlineStr">
        <is>
          <t>2005-11-15</t>
        </is>
      </c>
      <c r="V1678" t="inlineStr">
        <is>
          <t>2005-11-15</t>
        </is>
      </c>
      <c r="W1678" t="inlineStr">
        <is>
          <t>1991-10-17</t>
        </is>
      </c>
      <c r="X1678" t="inlineStr">
        <is>
          <t>1991-10-17</t>
        </is>
      </c>
      <c r="Y1678" t="n">
        <v>483</v>
      </c>
      <c r="Z1678" t="n">
        <v>439</v>
      </c>
      <c r="AA1678" t="n">
        <v>533</v>
      </c>
      <c r="AB1678" t="n">
        <v>6</v>
      </c>
      <c r="AC1678" t="n">
        <v>6</v>
      </c>
      <c r="AD1678" t="n">
        <v>23</v>
      </c>
      <c r="AE1678" t="n">
        <v>26</v>
      </c>
      <c r="AF1678" t="n">
        <v>9</v>
      </c>
      <c r="AG1678" t="n">
        <v>10</v>
      </c>
      <c r="AH1678" t="n">
        <v>2</v>
      </c>
      <c r="AI1678" t="n">
        <v>3</v>
      </c>
      <c r="AJ1678" t="n">
        <v>12</v>
      </c>
      <c r="AK1678" t="n">
        <v>13</v>
      </c>
      <c r="AL1678" t="n">
        <v>5</v>
      </c>
      <c r="AM1678" t="n">
        <v>5</v>
      </c>
      <c r="AN1678" t="n">
        <v>0</v>
      </c>
      <c r="AO1678" t="n">
        <v>0</v>
      </c>
      <c r="AP1678" t="inlineStr">
        <is>
          <t>No</t>
        </is>
      </c>
      <c r="AQ1678" t="inlineStr">
        <is>
          <t>Yes</t>
        </is>
      </c>
      <c r="AR1678">
        <f>HYPERLINK("http://catalog.hathitrust.org/Record/001859197","HathiTrust Record")</f>
        <v/>
      </c>
      <c r="AS1678">
        <f>HYPERLINK("https://creighton-primo.hosted.exlibrisgroup.com/primo-explore/search?tab=default_tab&amp;search_scope=EVERYTHING&amp;vid=01CRU&amp;lang=en_US&amp;offset=0&amp;query=any,contains,991000099809702656","Catalog Record")</f>
        <v/>
      </c>
      <c r="AT1678">
        <f>HYPERLINK("http://www.worldcat.org/oclc/44368","WorldCat Record")</f>
        <v/>
      </c>
      <c r="AU1678" t="inlineStr">
        <is>
          <t>1213729:eng</t>
        </is>
      </c>
      <c r="AV1678" t="inlineStr">
        <is>
          <t>44368</t>
        </is>
      </c>
      <c r="AW1678" t="inlineStr">
        <is>
          <t>991000099809702656</t>
        </is>
      </c>
      <c r="AX1678" t="inlineStr">
        <is>
          <t>991000099809702656</t>
        </is>
      </c>
      <c r="AY1678" t="inlineStr">
        <is>
          <t>2260999820002656</t>
        </is>
      </c>
      <c r="AZ1678" t="inlineStr">
        <is>
          <t>BOOK</t>
        </is>
      </c>
      <c r="BC1678" t="inlineStr">
        <is>
          <t>32285000774918</t>
        </is>
      </c>
      <c r="BD1678" t="inlineStr">
        <is>
          <t>893419199</t>
        </is>
      </c>
    </row>
    <row r="1679">
      <c r="A1679" t="inlineStr">
        <is>
          <t>No</t>
        </is>
      </c>
      <c r="B1679" t="inlineStr">
        <is>
          <t>DP269 .P4</t>
        </is>
      </c>
      <c r="C1679" t="inlineStr">
        <is>
          <t>0                      DP 0269000P  4</t>
        </is>
      </c>
      <c r="D1679" t="inlineStr">
        <is>
          <t>The Spanish tragedy, 1930-1936; dictatorship, republic, chaos, by E. Allison Peers.</t>
        </is>
      </c>
      <c r="F1679" t="inlineStr">
        <is>
          <t>No</t>
        </is>
      </c>
      <c r="G1679" t="inlineStr">
        <is>
          <t>1</t>
        </is>
      </c>
      <c r="H1679" t="inlineStr">
        <is>
          <t>No</t>
        </is>
      </c>
      <c r="I1679" t="inlineStr">
        <is>
          <t>No</t>
        </is>
      </c>
      <c r="J1679" t="inlineStr">
        <is>
          <t>0</t>
        </is>
      </c>
      <c r="K1679" t="inlineStr">
        <is>
          <t>Peers, E. Allison (Edgar Allison), 1891-1952.</t>
        </is>
      </c>
      <c r="L1679" t="inlineStr">
        <is>
          <t>New York, Oxford University Press, 1936.</t>
        </is>
      </c>
      <c r="M1679" t="inlineStr">
        <is>
          <t>1936</t>
        </is>
      </c>
      <c r="O1679" t="inlineStr">
        <is>
          <t>eng</t>
        </is>
      </c>
      <c r="P1679" t="inlineStr">
        <is>
          <t xml:space="preserve">xx </t>
        </is>
      </c>
      <c r="R1679" t="inlineStr">
        <is>
          <t xml:space="preserve">DP </t>
        </is>
      </c>
      <c r="S1679" t="n">
        <v>3</v>
      </c>
      <c r="T1679" t="n">
        <v>3</v>
      </c>
      <c r="U1679" t="inlineStr">
        <is>
          <t>2007-10-01</t>
        </is>
      </c>
      <c r="V1679" t="inlineStr">
        <is>
          <t>2007-10-01</t>
        </is>
      </c>
      <c r="W1679" t="inlineStr">
        <is>
          <t>1997-02-14</t>
        </is>
      </c>
      <c r="X1679" t="inlineStr">
        <is>
          <t>1997-02-14</t>
        </is>
      </c>
      <c r="Y1679" t="n">
        <v>641</v>
      </c>
      <c r="Z1679" t="n">
        <v>595</v>
      </c>
      <c r="AA1679" t="n">
        <v>791</v>
      </c>
      <c r="AB1679" t="n">
        <v>11</v>
      </c>
      <c r="AC1679" t="n">
        <v>12</v>
      </c>
      <c r="AD1679" t="n">
        <v>35</v>
      </c>
      <c r="AE1679" t="n">
        <v>47</v>
      </c>
      <c r="AF1679" t="n">
        <v>12</v>
      </c>
      <c r="AG1679" t="n">
        <v>17</v>
      </c>
      <c r="AH1679" t="n">
        <v>5</v>
      </c>
      <c r="AI1679" t="n">
        <v>8</v>
      </c>
      <c r="AJ1679" t="n">
        <v>17</v>
      </c>
      <c r="AK1679" t="n">
        <v>21</v>
      </c>
      <c r="AL1679" t="n">
        <v>8</v>
      </c>
      <c r="AM1679" t="n">
        <v>8</v>
      </c>
      <c r="AN1679" t="n">
        <v>0</v>
      </c>
      <c r="AO1679" t="n">
        <v>5</v>
      </c>
      <c r="AP1679" t="inlineStr">
        <is>
          <t>Yes</t>
        </is>
      </c>
      <c r="AQ1679" t="inlineStr">
        <is>
          <t>Yes</t>
        </is>
      </c>
      <c r="AR1679">
        <f>HYPERLINK("http://catalog.hathitrust.org/Record/001237120","HathiTrust Record")</f>
        <v/>
      </c>
      <c r="AS1679">
        <f>HYPERLINK("https://creighton-primo.hosted.exlibrisgroup.com/primo-explore/search?tab=default_tab&amp;search_scope=EVERYTHING&amp;vid=01CRU&amp;lang=en_US&amp;offset=0&amp;query=any,contains,991003218079702656","Catalog Record")</f>
        <v/>
      </c>
      <c r="AT1679">
        <f>HYPERLINK("http://www.worldcat.org/oclc/743922","WorldCat Record")</f>
        <v/>
      </c>
      <c r="AU1679" t="inlineStr">
        <is>
          <t>501260:eng</t>
        </is>
      </c>
      <c r="AV1679" t="inlineStr">
        <is>
          <t>743922</t>
        </is>
      </c>
      <c r="AW1679" t="inlineStr">
        <is>
          <t>991003218079702656</t>
        </is>
      </c>
      <c r="AX1679" t="inlineStr">
        <is>
          <t>991003218079702656</t>
        </is>
      </c>
      <c r="AY1679" t="inlineStr">
        <is>
          <t>2269380980002656</t>
        </is>
      </c>
      <c r="AZ1679" t="inlineStr">
        <is>
          <t>BOOK</t>
        </is>
      </c>
      <c r="BC1679" t="inlineStr">
        <is>
          <t>32285002439080</t>
        </is>
      </c>
      <c r="BD1679" t="inlineStr">
        <is>
          <t>893511695</t>
        </is>
      </c>
    </row>
    <row r="1680">
      <c r="A1680" t="inlineStr">
        <is>
          <t>No</t>
        </is>
      </c>
      <c r="B1680" t="inlineStr">
        <is>
          <t>DP269 .R617 1971</t>
        </is>
      </c>
      <c r="C1680" t="inlineStr">
        <is>
          <t>0                      DP 0269000R  617         1971</t>
        </is>
      </c>
      <c r="D1680" t="inlineStr">
        <is>
          <t>Por qué perdimos la guerra / Carlos Rojas.</t>
        </is>
      </c>
      <c r="F1680" t="inlineStr">
        <is>
          <t>No</t>
        </is>
      </c>
      <c r="G1680" t="inlineStr">
        <is>
          <t>1</t>
        </is>
      </c>
      <c r="H1680" t="inlineStr">
        <is>
          <t>No</t>
        </is>
      </c>
      <c r="I1680" t="inlineStr">
        <is>
          <t>No</t>
        </is>
      </c>
      <c r="J1680" t="inlineStr">
        <is>
          <t>0</t>
        </is>
      </c>
      <c r="K1680" t="inlineStr">
        <is>
          <t>Rojas, Carlos, 1928- compiler.</t>
        </is>
      </c>
      <c r="L1680" t="inlineStr">
        <is>
          <t>Barcelona : Ediciones Nauta, 1971.</t>
        </is>
      </c>
      <c r="M1680" t="inlineStr">
        <is>
          <t>1971</t>
        </is>
      </c>
      <c r="N1680" t="inlineStr">
        <is>
          <t>2. ed.</t>
        </is>
      </c>
      <c r="O1680" t="inlineStr">
        <is>
          <t>spa</t>
        </is>
      </c>
      <c r="P1680" t="inlineStr">
        <is>
          <t xml:space="preserve">sp </t>
        </is>
      </c>
      <c r="Q1680" t="inlineStr">
        <is>
          <t>Los Libros de la veleta ; 10</t>
        </is>
      </c>
      <c r="R1680" t="inlineStr">
        <is>
          <t xml:space="preserve">DP </t>
        </is>
      </c>
      <c r="S1680" t="n">
        <v>2</v>
      </c>
      <c r="T1680" t="n">
        <v>2</v>
      </c>
      <c r="U1680" t="inlineStr">
        <is>
          <t>2005-03-02</t>
        </is>
      </c>
      <c r="V1680" t="inlineStr">
        <is>
          <t>2005-03-02</t>
        </is>
      </c>
      <c r="W1680" t="inlineStr">
        <is>
          <t>2005-03-02</t>
        </is>
      </c>
      <c r="X1680" t="inlineStr">
        <is>
          <t>2005-03-02</t>
        </is>
      </c>
      <c r="Y1680" t="n">
        <v>15</v>
      </c>
      <c r="Z1680" t="n">
        <v>12</v>
      </c>
      <c r="AA1680" t="n">
        <v>73</v>
      </c>
      <c r="AB1680" t="n">
        <v>1</v>
      </c>
      <c r="AC1680" t="n">
        <v>1</v>
      </c>
      <c r="AD1680" t="n">
        <v>0</v>
      </c>
      <c r="AE1680" t="n">
        <v>3</v>
      </c>
      <c r="AF1680" t="n">
        <v>0</v>
      </c>
      <c r="AG1680" t="n">
        <v>2</v>
      </c>
      <c r="AH1680" t="n">
        <v>0</v>
      </c>
      <c r="AI1680" t="n">
        <v>1</v>
      </c>
      <c r="AJ1680" t="n">
        <v>0</v>
      </c>
      <c r="AK1680" t="n">
        <v>0</v>
      </c>
      <c r="AL1680" t="n">
        <v>0</v>
      </c>
      <c r="AM1680" t="n">
        <v>0</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HYPERLINK("https://creighton-primo.hosted.exlibrisgroup.com/primo-explore/search?tab=default_tab&amp;search_scope=EVERYTHING&amp;vid=01CRU&amp;lang=en_US&amp;offset=0&amp;query=any,contains,991004489679702656","Catalog Record")</f>
        <v/>
      </c>
      <c r="AT1680">
        <f>HYPERLINK("http://www.worldcat.org/oclc/4286695","WorldCat Record")</f>
        <v/>
      </c>
      <c r="AU1680" t="inlineStr">
        <is>
          <t>9846766416:spa</t>
        </is>
      </c>
      <c r="AV1680" t="inlineStr">
        <is>
          <t>4286695</t>
        </is>
      </c>
      <c r="AW1680" t="inlineStr">
        <is>
          <t>991004489679702656</t>
        </is>
      </c>
      <c r="AX1680" t="inlineStr">
        <is>
          <t>991004489679702656</t>
        </is>
      </c>
      <c r="AY1680" t="inlineStr">
        <is>
          <t>2256690630002656</t>
        </is>
      </c>
      <c r="AZ1680" t="inlineStr">
        <is>
          <t>BOOK</t>
        </is>
      </c>
      <c r="BC1680" t="inlineStr">
        <is>
          <t>32285005028617</t>
        </is>
      </c>
      <c r="BD1680" t="inlineStr">
        <is>
          <t>893343891</t>
        </is>
      </c>
    </row>
    <row r="1681">
      <c r="A1681" t="inlineStr">
        <is>
          <t>No</t>
        </is>
      </c>
      <c r="B1681" t="inlineStr">
        <is>
          <t>DP269 .T5 1986</t>
        </is>
      </c>
      <c r="C1681" t="inlineStr">
        <is>
          <t>0                      DP 0269000T  5           1986</t>
        </is>
      </c>
      <c r="D1681" t="inlineStr">
        <is>
          <t>The Spanish Civil War / Hugh Thomas.</t>
        </is>
      </c>
      <c r="F1681" t="inlineStr">
        <is>
          <t>No</t>
        </is>
      </c>
      <c r="G1681" t="inlineStr">
        <is>
          <t>1</t>
        </is>
      </c>
      <c r="H1681" t="inlineStr">
        <is>
          <t>No</t>
        </is>
      </c>
      <c r="I1681" t="inlineStr">
        <is>
          <t>No</t>
        </is>
      </c>
      <c r="J1681" t="inlineStr">
        <is>
          <t>0</t>
        </is>
      </c>
      <c r="K1681" t="inlineStr">
        <is>
          <t>Thomas, Hugh, 1931-2017.</t>
        </is>
      </c>
      <c r="L1681" t="inlineStr">
        <is>
          <t>London : Hamish Hamilton, 1986, c1977.</t>
        </is>
      </c>
      <c r="M1681" t="inlineStr">
        <is>
          <t>1986</t>
        </is>
      </c>
      <c r="N1681" t="inlineStr">
        <is>
          <t>3d ed., new preface by the author.</t>
        </is>
      </c>
      <c r="O1681" t="inlineStr">
        <is>
          <t>eng</t>
        </is>
      </c>
      <c r="P1681" t="inlineStr">
        <is>
          <t>enk</t>
        </is>
      </c>
      <c r="R1681" t="inlineStr">
        <is>
          <t xml:space="preserve">DP </t>
        </is>
      </c>
      <c r="S1681" t="n">
        <v>8</v>
      </c>
      <c r="T1681" t="n">
        <v>8</v>
      </c>
      <c r="U1681" t="inlineStr">
        <is>
          <t>2008-04-19</t>
        </is>
      </c>
      <c r="V1681" t="inlineStr">
        <is>
          <t>2008-04-19</t>
        </is>
      </c>
      <c r="W1681" t="inlineStr">
        <is>
          <t>1991-10-10</t>
        </is>
      </c>
      <c r="X1681" t="inlineStr">
        <is>
          <t>1991-10-10</t>
        </is>
      </c>
      <c r="Y1681" t="n">
        <v>15</v>
      </c>
      <c r="Z1681" t="n">
        <v>11</v>
      </c>
      <c r="AA1681" t="n">
        <v>2464</v>
      </c>
      <c r="AB1681" t="n">
        <v>1</v>
      </c>
      <c r="AC1681" t="n">
        <v>21</v>
      </c>
      <c r="AD1681" t="n">
        <v>0</v>
      </c>
      <c r="AE1681" t="n">
        <v>64</v>
      </c>
      <c r="AF1681" t="n">
        <v>0</v>
      </c>
      <c r="AG1681" t="n">
        <v>27</v>
      </c>
      <c r="AH1681" t="n">
        <v>0</v>
      </c>
      <c r="AI1681" t="n">
        <v>10</v>
      </c>
      <c r="AJ1681" t="n">
        <v>0</v>
      </c>
      <c r="AK1681" t="n">
        <v>27</v>
      </c>
      <c r="AL1681" t="n">
        <v>0</v>
      </c>
      <c r="AM1681" t="n">
        <v>13</v>
      </c>
      <c r="AN1681" t="n">
        <v>0</v>
      </c>
      <c r="AO1681" t="n">
        <v>1</v>
      </c>
      <c r="AP1681" t="inlineStr">
        <is>
          <t>No</t>
        </is>
      </c>
      <c r="AQ1681" t="inlineStr">
        <is>
          <t>No</t>
        </is>
      </c>
      <c r="AS1681">
        <f>HYPERLINK("https://creighton-primo.hosted.exlibrisgroup.com/primo-explore/search?tab=default_tab&amp;search_scope=EVERYTHING&amp;vid=01CRU&amp;lang=en_US&amp;offset=0&amp;query=any,contains,991000971359702656","Catalog Record")</f>
        <v/>
      </c>
      <c r="AT1681">
        <f>HYPERLINK("http://www.worldcat.org/oclc/14963349","WorldCat Record")</f>
        <v/>
      </c>
      <c r="AU1681" t="inlineStr">
        <is>
          <t>4820508715:eng</t>
        </is>
      </c>
      <c r="AV1681" t="inlineStr">
        <is>
          <t>14963349</t>
        </is>
      </c>
      <c r="AW1681" t="inlineStr">
        <is>
          <t>991000971359702656</t>
        </is>
      </c>
      <c r="AX1681" t="inlineStr">
        <is>
          <t>991000971359702656</t>
        </is>
      </c>
      <c r="AY1681" t="inlineStr">
        <is>
          <t>2265290020002656</t>
        </is>
      </c>
      <c r="AZ1681" t="inlineStr">
        <is>
          <t>BOOK</t>
        </is>
      </c>
      <c r="BB1681" t="inlineStr">
        <is>
          <t>9780241894507</t>
        </is>
      </c>
      <c r="BC1681" t="inlineStr">
        <is>
          <t>32285000653187</t>
        </is>
      </c>
      <c r="BD1681" t="inlineStr">
        <is>
          <t>893797180</t>
        </is>
      </c>
    </row>
    <row r="1682">
      <c r="A1682" t="inlineStr">
        <is>
          <t>No</t>
        </is>
      </c>
      <c r="B1682" t="inlineStr">
        <is>
          <t>DP269 .V7</t>
        </is>
      </c>
      <c r="C1682" t="inlineStr">
        <is>
          <t>0                      DP 0269000V  7</t>
        </is>
      </c>
      <c r="D1682" t="inlineStr">
        <is>
          <t>España 1937 : [i.e. mil novecientos treinta y siete] ; memorias / [por] Lini M. de Vries. Traducción de Carlo Antonio Castro.</t>
        </is>
      </c>
      <c r="F1682" t="inlineStr">
        <is>
          <t>No</t>
        </is>
      </c>
      <c r="G1682" t="inlineStr">
        <is>
          <t>1</t>
        </is>
      </c>
      <c r="H1682" t="inlineStr">
        <is>
          <t>No</t>
        </is>
      </c>
      <c r="I1682" t="inlineStr">
        <is>
          <t>No</t>
        </is>
      </c>
      <c r="J1682" t="inlineStr">
        <is>
          <t>0</t>
        </is>
      </c>
      <c r="K1682" t="inlineStr">
        <is>
          <t>De Vries, Lini M.</t>
        </is>
      </c>
      <c r="M1682" t="inlineStr">
        <is>
          <t>1965</t>
        </is>
      </c>
      <c r="O1682" t="inlineStr">
        <is>
          <t>spa</t>
        </is>
      </c>
      <c r="P1682" t="inlineStr">
        <is>
          <t xml:space="preserve">mx </t>
        </is>
      </c>
      <c r="Q1682" t="inlineStr">
        <is>
          <t>Universidad Veracruzana. Ficción, 66</t>
        </is>
      </c>
      <c r="R1682" t="inlineStr">
        <is>
          <t xml:space="preserve">DP </t>
        </is>
      </c>
      <c r="S1682" t="n">
        <v>1</v>
      </c>
      <c r="T1682" t="n">
        <v>1</v>
      </c>
      <c r="U1682" t="inlineStr">
        <is>
          <t>2006-09-25</t>
        </is>
      </c>
      <c r="V1682" t="inlineStr">
        <is>
          <t>2006-09-25</t>
        </is>
      </c>
      <c r="W1682" t="inlineStr">
        <is>
          <t>1996-08-01</t>
        </is>
      </c>
      <c r="X1682" t="inlineStr">
        <is>
          <t>1996-08-01</t>
        </is>
      </c>
      <c r="Y1682" t="n">
        <v>54</v>
      </c>
      <c r="Z1682" t="n">
        <v>45</v>
      </c>
      <c r="AA1682" t="n">
        <v>48</v>
      </c>
      <c r="AB1682" t="n">
        <v>1</v>
      </c>
      <c r="AC1682" t="n">
        <v>1</v>
      </c>
      <c r="AD1682" t="n">
        <v>0</v>
      </c>
      <c r="AE1682" t="n">
        <v>0</v>
      </c>
      <c r="AF1682" t="n">
        <v>0</v>
      </c>
      <c r="AG1682" t="n">
        <v>0</v>
      </c>
      <c r="AH1682" t="n">
        <v>0</v>
      </c>
      <c r="AI1682" t="n">
        <v>0</v>
      </c>
      <c r="AJ1682" t="n">
        <v>0</v>
      </c>
      <c r="AK1682" t="n">
        <v>0</v>
      </c>
      <c r="AL1682" t="n">
        <v>0</v>
      </c>
      <c r="AM1682" t="n">
        <v>0</v>
      </c>
      <c r="AN1682" t="n">
        <v>0</v>
      </c>
      <c r="AO1682" t="n">
        <v>0</v>
      </c>
      <c r="AP1682" t="inlineStr">
        <is>
          <t>No</t>
        </is>
      </c>
      <c r="AQ1682" t="inlineStr">
        <is>
          <t>Yes</t>
        </is>
      </c>
      <c r="AR1682">
        <f>HYPERLINK("http://catalog.hathitrust.org/Record/006086953","HathiTrust Record")</f>
        <v/>
      </c>
      <c r="AS1682">
        <f>HYPERLINK("https://creighton-primo.hosted.exlibrisgroup.com/primo-explore/search?tab=default_tab&amp;search_scope=EVERYTHING&amp;vid=01CRU&amp;lang=en_US&amp;offset=0&amp;query=any,contains,991004623429702656","Catalog Record")</f>
        <v/>
      </c>
      <c r="AT1682">
        <f>HYPERLINK("http://www.worldcat.org/oclc/4317930","WorldCat Record")</f>
        <v/>
      </c>
      <c r="AU1682" t="inlineStr">
        <is>
          <t>198082846:spa</t>
        </is>
      </c>
      <c r="AV1682" t="inlineStr">
        <is>
          <t>4317930</t>
        </is>
      </c>
      <c r="AW1682" t="inlineStr">
        <is>
          <t>991004623429702656</t>
        </is>
      </c>
      <c r="AX1682" t="inlineStr">
        <is>
          <t>991004623429702656</t>
        </is>
      </c>
      <c r="AY1682" t="inlineStr">
        <is>
          <t>2269768910002656</t>
        </is>
      </c>
      <c r="AZ1682" t="inlineStr">
        <is>
          <t>BOOK</t>
        </is>
      </c>
      <c r="BC1682" t="inlineStr">
        <is>
          <t>32285002209137</t>
        </is>
      </c>
      <c r="BD1682" t="inlineStr">
        <is>
          <t>893776216</t>
        </is>
      </c>
    </row>
    <row r="1683">
      <c r="A1683" t="inlineStr">
        <is>
          <t>No</t>
        </is>
      </c>
      <c r="B1683" t="inlineStr">
        <is>
          <t>DP269.2.A4 E2</t>
        </is>
      </c>
      <c r="C1683" t="inlineStr">
        <is>
          <t>0                      DP 0269200A  4                  E  2</t>
        </is>
      </c>
      <c r="D1683" t="inlineStr">
        <is>
          <t>The siege of the Alcázar [by] Cecil D. Eby.</t>
        </is>
      </c>
      <c r="F1683" t="inlineStr">
        <is>
          <t>No</t>
        </is>
      </c>
      <c r="G1683" t="inlineStr">
        <is>
          <t>1</t>
        </is>
      </c>
      <c r="H1683" t="inlineStr">
        <is>
          <t>No</t>
        </is>
      </c>
      <c r="I1683" t="inlineStr">
        <is>
          <t>No</t>
        </is>
      </c>
      <c r="J1683" t="inlineStr">
        <is>
          <t>0</t>
        </is>
      </c>
      <c r="K1683" t="inlineStr">
        <is>
          <t>Eby, Cecil D.</t>
        </is>
      </c>
      <c r="L1683" t="inlineStr">
        <is>
          <t>New York, Random House [1965]</t>
        </is>
      </c>
      <c r="M1683" t="inlineStr">
        <is>
          <t>1965</t>
        </is>
      </c>
      <c r="O1683" t="inlineStr">
        <is>
          <t>eng</t>
        </is>
      </c>
      <c r="P1683" t="inlineStr">
        <is>
          <t>nyu</t>
        </is>
      </c>
      <c r="R1683" t="inlineStr">
        <is>
          <t xml:space="preserve">DP </t>
        </is>
      </c>
      <c r="S1683" t="n">
        <v>3</v>
      </c>
      <c r="T1683" t="n">
        <v>3</v>
      </c>
      <c r="U1683" t="inlineStr">
        <is>
          <t>1998-12-09</t>
        </is>
      </c>
      <c r="V1683" t="inlineStr">
        <is>
          <t>1998-12-09</t>
        </is>
      </c>
      <c r="W1683" t="inlineStr">
        <is>
          <t>1997-02-14</t>
        </is>
      </c>
      <c r="X1683" t="inlineStr">
        <is>
          <t>1997-02-14</t>
        </is>
      </c>
      <c r="Y1683" t="n">
        <v>576</v>
      </c>
      <c r="Z1683" t="n">
        <v>540</v>
      </c>
      <c r="AA1683" t="n">
        <v>584</v>
      </c>
      <c r="AB1683" t="n">
        <v>4</v>
      </c>
      <c r="AC1683" t="n">
        <v>4</v>
      </c>
      <c r="AD1683" t="n">
        <v>23</v>
      </c>
      <c r="AE1683" t="n">
        <v>24</v>
      </c>
      <c r="AF1683" t="n">
        <v>7</v>
      </c>
      <c r="AG1683" t="n">
        <v>7</v>
      </c>
      <c r="AH1683" t="n">
        <v>7</v>
      </c>
      <c r="AI1683" t="n">
        <v>8</v>
      </c>
      <c r="AJ1683" t="n">
        <v>13</v>
      </c>
      <c r="AK1683" t="n">
        <v>13</v>
      </c>
      <c r="AL1683" t="n">
        <v>3</v>
      </c>
      <c r="AM1683" t="n">
        <v>3</v>
      </c>
      <c r="AN1683" t="n">
        <v>0</v>
      </c>
      <c r="AO1683" t="n">
        <v>0</v>
      </c>
      <c r="AP1683" t="inlineStr">
        <is>
          <t>No</t>
        </is>
      </c>
      <c r="AQ1683" t="inlineStr">
        <is>
          <t>Yes</t>
        </is>
      </c>
      <c r="AR1683">
        <f>HYPERLINK("http://catalog.hathitrust.org/Record/001237149","HathiTrust Record")</f>
        <v/>
      </c>
      <c r="AS1683">
        <f>HYPERLINK("https://creighton-primo.hosted.exlibrisgroup.com/primo-explore/search?tab=default_tab&amp;search_scope=EVERYTHING&amp;vid=01CRU&amp;lang=en_US&amp;offset=0&amp;query=any,contains,991002672639702656","Catalog Record")</f>
        <v/>
      </c>
      <c r="AT1683">
        <f>HYPERLINK("http://www.worldcat.org/oclc/395851","WorldCat Record")</f>
        <v/>
      </c>
      <c r="AU1683" t="inlineStr">
        <is>
          <t>1539821:eng</t>
        </is>
      </c>
      <c r="AV1683" t="inlineStr">
        <is>
          <t>395851</t>
        </is>
      </c>
      <c r="AW1683" t="inlineStr">
        <is>
          <t>991002672639702656</t>
        </is>
      </c>
      <c r="AX1683" t="inlineStr">
        <is>
          <t>991002672639702656</t>
        </is>
      </c>
      <c r="AY1683" t="inlineStr">
        <is>
          <t>2260689140002656</t>
        </is>
      </c>
      <c r="AZ1683" t="inlineStr">
        <is>
          <t>BOOK</t>
        </is>
      </c>
      <c r="BC1683" t="inlineStr">
        <is>
          <t>32285002439114</t>
        </is>
      </c>
      <c r="BD1683" t="inlineStr">
        <is>
          <t>893886567</t>
        </is>
      </c>
    </row>
    <row r="1684">
      <c r="A1684" t="inlineStr">
        <is>
          <t>No</t>
        </is>
      </c>
      <c r="B1684" t="inlineStr">
        <is>
          <t>DP269.27.G8 S69</t>
        </is>
      </c>
      <c r="C1684" t="inlineStr">
        <is>
          <t>0                      DP 0269270G  8                  S  69</t>
        </is>
      </c>
      <c r="D1684" t="inlineStr">
        <is>
          <t>Guernica! Guernica! : A study of journalism, diplomacy, propaganda, and history / Herbert Rutledge Southworth.</t>
        </is>
      </c>
      <c r="F1684" t="inlineStr">
        <is>
          <t>No</t>
        </is>
      </c>
      <c r="G1684" t="inlineStr">
        <is>
          <t>1</t>
        </is>
      </c>
      <c r="H1684" t="inlineStr">
        <is>
          <t>No</t>
        </is>
      </c>
      <c r="I1684" t="inlineStr">
        <is>
          <t>No</t>
        </is>
      </c>
      <c r="J1684" t="inlineStr">
        <is>
          <t>0</t>
        </is>
      </c>
      <c r="K1684" t="inlineStr">
        <is>
          <t>Southworth, Herbert Rutledge.</t>
        </is>
      </c>
      <c r="L1684" t="inlineStr">
        <is>
          <t>Berkeley : University of California Press, c1977.</t>
        </is>
      </c>
      <c r="M1684" t="inlineStr">
        <is>
          <t>1977</t>
        </is>
      </c>
      <c r="O1684" t="inlineStr">
        <is>
          <t>eng</t>
        </is>
      </c>
      <c r="P1684" t="inlineStr">
        <is>
          <t>cau</t>
        </is>
      </c>
      <c r="R1684" t="inlineStr">
        <is>
          <t xml:space="preserve">DP </t>
        </is>
      </c>
      <c r="S1684" t="n">
        <v>1</v>
      </c>
      <c r="T1684" t="n">
        <v>1</v>
      </c>
      <c r="U1684" t="inlineStr">
        <is>
          <t>2007-04-29</t>
        </is>
      </c>
      <c r="V1684" t="inlineStr">
        <is>
          <t>2007-04-29</t>
        </is>
      </c>
      <c r="W1684" t="inlineStr">
        <is>
          <t>1997-02-14</t>
        </is>
      </c>
      <c r="X1684" t="inlineStr">
        <is>
          <t>1997-02-14</t>
        </is>
      </c>
      <c r="Y1684" t="n">
        <v>851</v>
      </c>
      <c r="Z1684" t="n">
        <v>690</v>
      </c>
      <c r="AA1684" t="n">
        <v>690</v>
      </c>
      <c r="AB1684" t="n">
        <v>4</v>
      </c>
      <c r="AC1684" t="n">
        <v>4</v>
      </c>
      <c r="AD1684" t="n">
        <v>33</v>
      </c>
      <c r="AE1684" t="n">
        <v>33</v>
      </c>
      <c r="AF1684" t="n">
        <v>13</v>
      </c>
      <c r="AG1684" t="n">
        <v>13</v>
      </c>
      <c r="AH1684" t="n">
        <v>9</v>
      </c>
      <c r="AI1684" t="n">
        <v>9</v>
      </c>
      <c r="AJ1684" t="n">
        <v>16</v>
      </c>
      <c r="AK1684" t="n">
        <v>16</v>
      </c>
      <c r="AL1684" t="n">
        <v>3</v>
      </c>
      <c r="AM1684" t="n">
        <v>3</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HYPERLINK("https://creighton-primo.hosted.exlibrisgroup.com/primo-explore/search?tab=default_tab&amp;search_scope=EVERYTHING&amp;vid=01CRU&amp;lang=en_US&amp;offset=0&amp;query=any,contains,991004371249702656","Catalog Record")</f>
        <v/>
      </c>
      <c r="AT1684">
        <f>HYPERLINK("http://www.worldcat.org/oclc/3191667","WorldCat Record")</f>
        <v/>
      </c>
      <c r="AU1684" t="inlineStr">
        <is>
          <t>501056:eng</t>
        </is>
      </c>
      <c r="AV1684" t="inlineStr">
        <is>
          <t>3191667</t>
        </is>
      </c>
      <c r="AW1684" t="inlineStr">
        <is>
          <t>991004371249702656</t>
        </is>
      </c>
      <c r="AX1684" t="inlineStr">
        <is>
          <t>991004371249702656</t>
        </is>
      </c>
      <c r="AY1684" t="inlineStr">
        <is>
          <t>2254811450002656</t>
        </is>
      </c>
      <c r="AZ1684" t="inlineStr">
        <is>
          <t>BOOK</t>
        </is>
      </c>
      <c r="BB1684" t="inlineStr">
        <is>
          <t>9780520028302</t>
        </is>
      </c>
      <c r="BC1684" t="inlineStr">
        <is>
          <t>32285002439130</t>
        </is>
      </c>
      <c r="BD1684" t="inlineStr">
        <is>
          <t>893235408</t>
        </is>
      </c>
    </row>
    <row r="1685">
      <c r="A1685" t="inlineStr">
        <is>
          <t>No</t>
        </is>
      </c>
      <c r="B1685" t="inlineStr">
        <is>
          <t>DP269.27.M3 K87 1980</t>
        </is>
      </c>
      <c r="C1685" t="inlineStr">
        <is>
          <t>0                      DP 0269270M  3                  K  87          1980</t>
        </is>
      </c>
      <c r="D1685" t="inlineStr">
        <is>
          <t>Miracle of November : Madrid's epic stand, 1936 / Dan Kurzman.</t>
        </is>
      </c>
      <c r="F1685" t="inlineStr">
        <is>
          <t>No</t>
        </is>
      </c>
      <c r="G1685" t="inlineStr">
        <is>
          <t>1</t>
        </is>
      </c>
      <c r="H1685" t="inlineStr">
        <is>
          <t>No</t>
        </is>
      </c>
      <c r="I1685" t="inlineStr">
        <is>
          <t>No</t>
        </is>
      </c>
      <c r="J1685" t="inlineStr">
        <is>
          <t>0</t>
        </is>
      </c>
      <c r="K1685" t="inlineStr">
        <is>
          <t>Kurzman, Dan.</t>
        </is>
      </c>
      <c r="L1685" t="inlineStr">
        <is>
          <t>New York : Putnam, c1980.</t>
        </is>
      </c>
      <c r="M1685" t="inlineStr">
        <is>
          <t>1980</t>
        </is>
      </c>
      <c r="O1685" t="inlineStr">
        <is>
          <t>eng</t>
        </is>
      </c>
      <c r="P1685" t="inlineStr">
        <is>
          <t>nyu</t>
        </is>
      </c>
      <c r="R1685" t="inlineStr">
        <is>
          <t xml:space="preserve">DP </t>
        </is>
      </c>
      <c r="S1685" t="n">
        <v>3</v>
      </c>
      <c r="T1685" t="n">
        <v>3</v>
      </c>
      <c r="U1685" t="inlineStr">
        <is>
          <t>1998-05-23</t>
        </is>
      </c>
      <c r="V1685" t="inlineStr">
        <is>
          <t>1998-05-23</t>
        </is>
      </c>
      <c r="W1685" t="inlineStr">
        <is>
          <t>1991-10-10</t>
        </is>
      </c>
      <c r="X1685" t="inlineStr">
        <is>
          <t>1991-10-10</t>
        </is>
      </c>
      <c r="Y1685" t="n">
        <v>479</v>
      </c>
      <c r="Z1685" t="n">
        <v>453</v>
      </c>
      <c r="AA1685" t="n">
        <v>461</v>
      </c>
      <c r="AB1685" t="n">
        <v>1</v>
      </c>
      <c r="AC1685" t="n">
        <v>1</v>
      </c>
      <c r="AD1685" t="n">
        <v>8</v>
      </c>
      <c r="AE1685" t="n">
        <v>8</v>
      </c>
      <c r="AF1685" t="n">
        <v>1</v>
      </c>
      <c r="AG1685" t="n">
        <v>1</v>
      </c>
      <c r="AH1685" t="n">
        <v>4</v>
      </c>
      <c r="AI1685" t="n">
        <v>4</v>
      </c>
      <c r="AJ1685" t="n">
        <v>5</v>
      </c>
      <c r="AK1685" t="n">
        <v>5</v>
      </c>
      <c r="AL1685" t="n">
        <v>0</v>
      </c>
      <c r="AM1685" t="n">
        <v>0</v>
      </c>
      <c r="AN1685" t="n">
        <v>0</v>
      </c>
      <c r="AO1685" t="n">
        <v>0</v>
      </c>
      <c r="AP1685" t="inlineStr">
        <is>
          <t>No</t>
        </is>
      </c>
      <c r="AQ1685" t="inlineStr">
        <is>
          <t>Yes</t>
        </is>
      </c>
      <c r="AR1685">
        <f>HYPERLINK("http://catalog.hathitrust.org/Record/000301245","HathiTrust Record")</f>
        <v/>
      </c>
      <c r="AS1685">
        <f>HYPERLINK("https://creighton-primo.hosted.exlibrisgroup.com/primo-explore/search?tab=default_tab&amp;search_scope=EVERYTHING&amp;vid=01CRU&amp;lang=en_US&amp;offset=0&amp;query=any,contains,991004754939702656","Catalog Record")</f>
        <v/>
      </c>
      <c r="AT1685">
        <f>HYPERLINK("http://www.worldcat.org/oclc/4957308","WorldCat Record")</f>
        <v/>
      </c>
      <c r="AU1685" t="inlineStr">
        <is>
          <t>197631445:eng</t>
        </is>
      </c>
      <c r="AV1685" t="inlineStr">
        <is>
          <t>4957308</t>
        </is>
      </c>
      <c r="AW1685" t="inlineStr">
        <is>
          <t>991004754939702656</t>
        </is>
      </c>
      <c r="AX1685" t="inlineStr">
        <is>
          <t>991004754939702656</t>
        </is>
      </c>
      <c r="AY1685" t="inlineStr">
        <is>
          <t>2270642900002656</t>
        </is>
      </c>
      <c r="AZ1685" t="inlineStr">
        <is>
          <t>BOOK</t>
        </is>
      </c>
      <c r="BB1685" t="inlineStr">
        <is>
          <t>9780399122712</t>
        </is>
      </c>
      <c r="BC1685" t="inlineStr">
        <is>
          <t>32285000653237</t>
        </is>
      </c>
      <c r="BD1685" t="inlineStr">
        <is>
          <t>893507196</t>
        </is>
      </c>
    </row>
    <row r="1686">
      <c r="A1686" t="inlineStr">
        <is>
          <t>No</t>
        </is>
      </c>
      <c r="B1686" t="inlineStr">
        <is>
          <t>DP269.45 .P8 1962</t>
        </is>
      </c>
      <c r="C1686" t="inlineStr">
        <is>
          <t>0                      DP 0269450P  8           1962</t>
        </is>
      </c>
      <c r="D1686" t="inlineStr">
        <is>
          <t>Spain and the great powers, 1936-1941.</t>
        </is>
      </c>
      <c r="F1686" t="inlineStr">
        <is>
          <t>No</t>
        </is>
      </c>
      <c r="G1686" t="inlineStr">
        <is>
          <t>1</t>
        </is>
      </c>
      <c r="H1686" t="inlineStr">
        <is>
          <t>No</t>
        </is>
      </c>
      <c r="I1686" t="inlineStr">
        <is>
          <t>No</t>
        </is>
      </c>
      <c r="J1686" t="inlineStr">
        <is>
          <t>0</t>
        </is>
      </c>
      <c r="K1686" t="inlineStr">
        <is>
          <t>Puzzo, Dante Anthony, 1918-</t>
        </is>
      </c>
      <c r="L1686" t="inlineStr">
        <is>
          <t>New York, Columbia University Press, 1962.</t>
        </is>
      </c>
      <c r="M1686" t="inlineStr">
        <is>
          <t>1962</t>
        </is>
      </c>
      <c r="O1686" t="inlineStr">
        <is>
          <t>eng</t>
        </is>
      </c>
      <c r="P1686" t="inlineStr">
        <is>
          <t>nyu</t>
        </is>
      </c>
      <c r="R1686" t="inlineStr">
        <is>
          <t xml:space="preserve">DP </t>
        </is>
      </c>
      <c r="S1686" t="n">
        <v>1</v>
      </c>
      <c r="T1686" t="n">
        <v>1</v>
      </c>
      <c r="U1686" t="inlineStr">
        <is>
          <t>2004-04-26</t>
        </is>
      </c>
      <c r="V1686" t="inlineStr">
        <is>
          <t>2004-04-26</t>
        </is>
      </c>
      <c r="W1686" t="inlineStr">
        <is>
          <t>1997-02-14</t>
        </is>
      </c>
      <c r="X1686" t="inlineStr">
        <is>
          <t>1997-02-14</t>
        </is>
      </c>
      <c r="Y1686" t="n">
        <v>660</v>
      </c>
      <c r="Z1686" t="n">
        <v>557</v>
      </c>
      <c r="AA1686" t="n">
        <v>612</v>
      </c>
      <c r="AB1686" t="n">
        <v>5</v>
      </c>
      <c r="AC1686" t="n">
        <v>6</v>
      </c>
      <c r="AD1686" t="n">
        <v>30</v>
      </c>
      <c r="AE1686" t="n">
        <v>34</v>
      </c>
      <c r="AF1686" t="n">
        <v>12</v>
      </c>
      <c r="AG1686" t="n">
        <v>13</v>
      </c>
      <c r="AH1686" t="n">
        <v>7</v>
      </c>
      <c r="AI1686" t="n">
        <v>8</v>
      </c>
      <c r="AJ1686" t="n">
        <v>16</v>
      </c>
      <c r="AK1686" t="n">
        <v>17</v>
      </c>
      <c r="AL1686" t="n">
        <v>4</v>
      </c>
      <c r="AM1686" t="n">
        <v>5</v>
      </c>
      <c r="AN1686" t="n">
        <v>0</v>
      </c>
      <c r="AO1686" t="n">
        <v>0</v>
      </c>
      <c r="AP1686" t="inlineStr">
        <is>
          <t>No</t>
        </is>
      </c>
      <c r="AQ1686" t="inlineStr">
        <is>
          <t>Yes</t>
        </is>
      </c>
      <c r="AR1686">
        <f>HYPERLINK("http://catalog.hathitrust.org/Record/001237171","HathiTrust Record")</f>
        <v/>
      </c>
      <c r="AS1686">
        <f>HYPERLINK("https://creighton-primo.hosted.exlibrisgroup.com/primo-explore/search?tab=default_tab&amp;search_scope=EVERYTHING&amp;vid=01CRU&amp;lang=en_US&amp;offset=0&amp;query=any,contains,991002674639702656","Catalog Record")</f>
        <v/>
      </c>
      <c r="AT1686">
        <f>HYPERLINK("http://www.worldcat.org/oclc/396488","WorldCat Record")</f>
        <v/>
      </c>
      <c r="AU1686" t="inlineStr">
        <is>
          <t>1364774:eng</t>
        </is>
      </c>
      <c r="AV1686" t="inlineStr">
        <is>
          <t>396488</t>
        </is>
      </c>
      <c r="AW1686" t="inlineStr">
        <is>
          <t>991002674639702656</t>
        </is>
      </c>
      <c r="AX1686" t="inlineStr">
        <is>
          <t>991002674639702656</t>
        </is>
      </c>
      <c r="AY1686" t="inlineStr">
        <is>
          <t>2261154870002656</t>
        </is>
      </c>
      <c r="AZ1686" t="inlineStr">
        <is>
          <t>BOOK</t>
        </is>
      </c>
      <c r="BC1686" t="inlineStr">
        <is>
          <t>32285002439171</t>
        </is>
      </c>
      <c r="BD1686" t="inlineStr">
        <is>
          <t>893511047</t>
        </is>
      </c>
    </row>
    <row r="1687">
      <c r="A1687" t="inlineStr">
        <is>
          <t>No</t>
        </is>
      </c>
      <c r="B1687" t="inlineStr">
        <is>
          <t>DP269.47.A45 A38 1992</t>
        </is>
      </c>
      <c r="C1687" t="inlineStr">
        <is>
          <t>0                      DP 0269470A  45                 A  38          1992</t>
        </is>
      </c>
      <c r="D1687" t="inlineStr">
        <is>
          <t>African Americans in the Spanish Civil War : "This ain't Ethiopia, but it'll do" / Danny Duncan Collum, editor ; Victor A. Berch, chief researcher.</t>
        </is>
      </c>
      <c r="F1687" t="inlineStr">
        <is>
          <t>No</t>
        </is>
      </c>
      <c r="G1687" t="inlineStr">
        <is>
          <t>1</t>
        </is>
      </c>
      <c r="H1687" t="inlineStr">
        <is>
          <t>No</t>
        </is>
      </c>
      <c r="I1687" t="inlineStr">
        <is>
          <t>No</t>
        </is>
      </c>
      <c r="J1687" t="inlineStr">
        <is>
          <t>0</t>
        </is>
      </c>
      <c r="L1687" t="inlineStr">
        <is>
          <t>New York : G.K. Hall, c1992.</t>
        </is>
      </c>
      <c r="M1687" t="inlineStr">
        <is>
          <t>1992</t>
        </is>
      </c>
      <c r="O1687" t="inlineStr">
        <is>
          <t>eng</t>
        </is>
      </c>
      <c r="P1687" t="inlineStr">
        <is>
          <t>nyu</t>
        </is>
      </c>
      <c r="R1687" t="inlineStr">
        <is>
          <t xml:space="preserve">DP </t>
        </is>
      </c>
      <c r="S1687" t="n">
        <v>1</v>
      </c>
      <c r="T1687" t="n">
        <v>1</v>
      </c>
      <c r="U1687" t="inlineStr">
        <is>
          <t>1992-11-17</t>
        </is>
      </c>
      <c r="V1687" t="inlineStr">
        <is>
          <t>1992-11-17</t>
        </is>
      </c>
      <c r="W1687" t="inlineStr">
        <is>
          <t>1992-10-08</t>
        </is>
      </c>
      <c r="X1687" t="inlineStr">
        <is>
          <t>1992-10-08</t>
        </is>
      </c>
      <c r="Y1687" t="n">
        <v>417</v>
      </c>
      <c r="Z1687" t="n">
        <v>394</v>
      </c>
      <c r="AA1687" t="n">
        <v>396</v>
      </c>
      <c r="AB1687" t="n">
        <v>4</v>
      </c>
      <c r="AC1687" t="n">
        <v>4</v>
      </c>
      <c r="AD1687" t="n">
        <v>16</v>
      </c>
      <c r="AE1687" t="n">
        <v>16</v>
      </c>
      <c r="AF1687" t="n">
        <v>3</v>
      </c>
      <c r="AG1687" t="n">
        <v>3</v>
      </c>
      <c r="AH1687" t="n">
        <v>5</v>
      </c>
      <c r="AI1687" t="n">
        <v>5</v>
      </c>
      <c r="AJ1687" t="n">
        <v>8</v>
      </c>
      <c r="AK1687" t="n">
        <v>8</v>
      </c>
      <c r="AL1687" t="n">
        <v>3</v>
      </c>
      <c r="AM1687" t="n">
        <v>3</v>
      </c>
      <c r="AN1687" t="n">
        <v>0</v>
      </c>
      <c r="AO1687" t="n">
        <v>0</v>
      </c>
      <c r="AP1687" t="inlineStr">
        <is>
          <t>No</t>
        </is>
      </c>
      <c r="AQ1687" t="inlineStr">
        <is>
          <t>Yes</t>
        </is>
      </c>
      <c r="AR1687">
        <f>HYPERLINK("http://catalog.hathitrust.org/Record/002617298","HathiTrust Record")</f>
        <v/>
      </c>
      <c r="AS1687">
        <f>HYPERLINK("https://creighton-primo.hosted.exlibrisgroup.com/primo-explore/search?tab=default_tab&amp;search_scope=EVERYTHING&amp;vid=01CRU&amp;lang=en_US&amp;offset=0&amp;query=any,contains,991001940299702656","Catalog Record")</f>
        <v/>
      </c>
      <c r="AT1687">
        <f>HYPERLINK("http://www.worldcat.org/oclc/24504265","WorldCat Record")</f>
        <v/>
      </c>
      <c r="AU1687" t="inlineStr">
        <is>
          <t>900453209:eng</t>
        </is>
      </c>
      <c r="AV1687" t="inlineStr">
        <is>
          <t>24504265</t>
        </is>
      </c>
      <c r="AW1687" t="inlineStr">
        <is>
          <t>991001940299702656</t>
        </is>
      </c>
      <c r="AX1687" t="inlineStr">
        <is>
          <t>991001940299702656</t>
        </is>
      </c>
      <c r="AY1687" t="inlineStr">
        <is>
          <t>2261121130002656</t>
        </is>
      </c>
      <c r="AZ1687" t="inlineStr">
        <is>
          <t>BOOK</t>
        </is>
      </c>
      <c r="BB1687" t="inlineStr">
        <is>
          <t>9780816173785</t>
        </is>
      </c>
      <c r="BC1687" t="inlineStr">
        <is>
          <t>32285001316677</t>
        </is>
      </c>
      <c r="BD1687" t="inlineStr">
        <is>
          <t>893691054</t>
        </is>
      </c>
    </row>
    <row r="1688">
      <c r="A1688" t="inlineStr">
        <is>
          <t>No</t>
        </is>
      </c>
      <c r="B1688" t="inlineStr">
        <is>
          <t>DP269.47.R8 C33</t>
        </is>
      </c>
      <c r="C1688" t="inlineStr">
        <is>
          <t>0                      DP 0269470R  8                  C  33</t>
        </is>
      </c>
      <c r="D1688" t="inlineStr">
        <is>
          <t>Soviet diplomacy and the Spanish Civil War.</t>
        </is>
      </c>
      <c r="F1688" t="inlineStr">
        <is>
          <t>No</t>
        </is>
      </c>
      <c r="G1688" t="inlineStr">
        <is>
          <t>1</t>
        </is>
      </c>
      <c r="H1688" t="inlineStr">
        <is>
          <t>No</t>
        </is>
      </c>
      <c r="I1688" t="inlineStr">
        <is>
          <t>No</t>
        </is>
      </c>
      <c r="J1688" t="inlineStr">
        <is>
          <t>0</t>
        </is>
      </c>
      <c r="K1688" t="inlineStr">
        <is>
          <t>Cattell, David Tredwell, 1923-</t>
        </is>
      </c>
      <c r="L1688" t="inlineStr">
        <is>
          <t>Berkeley, University of California Press, 1957.</t>
        </is>
      </c>
      <c r="M1688" t="inlineStr">
        <is>
          <t>1957</t>
        </is>
      </c>
      <c r="O1688" t="inlineStr">
        <is>
          <t>eng</t>
        </is>
      </c>
      <c r="P1688" t="inlineStr">
        <is>
          <t>cau</t>
        </is>
      </c>
      <c r="Q1688" t="inlineStr">
        <is>
          <t>University of California publications in international relations ; v. 5</t>
        </is>
      </c>
      <c r="R1688" t="inlineStr">
        <is>
          <t xml:space="preserve">DP </t>
        </is>
      </c>
      <c r="S1688" t="n">
        <v>1</v>
      </c>
      <c r="T1688" t="n">
        <v>1</v>
      </c>
      <c r="U1688" t="inlineStr">
        <is>
          <t>2002-04-05</t>
        </is>
      </c>
      <c r="V1688" t="inlineStr">
        <is>
          <t>2002-04-05</t>
        </is>
      </c>
      <c r="W1688" t="inlineStr">
        <is>
          <t>1997-02-14</t>
        </is>
      </c>
      <c r="X1688" t="inlineStr">
        <is>
          <t>1997-02-14</t>
        </is>
      </c>
      <c r="Y1688" t="n">
        <v>511</v>
      </c>
      <c r="Z1688" t="n">
        <v>417</v>
      </c>
      <c r="AA1688" t="n">
        <v>475</v>
      </c>
      <c r="AB1688" t="n">
        <v>3</v>
      </c>
      <c r="AC1688" t="n">
        <v>4</v>
      </c>
      <c r="AD1688" t="n">
        <v>28</v>
      </c>
      <c r="AE1688" t="n">
        <v>32</v>
      </c>
      <c r="AF1688" t="n">
        <v>10</v>
      </c>
      <c r="AG1688" t="n">
        <v>12</v>
      </c>
      <c r="AH1688" t="n">
        <v>7</v>
      </c>
      <c r="AI1688" t="n">
        <v>8</v>
      </c>
      <c r="AJ1688" t="n">
        <v>16</v>
      </c>
      <c r="AK1688" t="n">
        <v>17</v>
      </c>
      <c r="AL1688" t="n">
        <v>2</v>
      </c>
      <c r="AM1688" t="n">
        <v>3</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HYPERLINK("https://creighton-primo.hosted.exlibrisgroup.com/primo-explore/search?tab=default_tab&amp;search_scope=EVERYTHING&amp;vid=01CRU&amp;lang=en_US&amp;offset=0&amp;query=any,contains,991002697779702656","Catalog Record")</f>
        <v/>
      </c>
      <c r="AT1688">
        <f>HYPERLINK("http://www.worldcat.org/oclc/404259","WorldCat Record")</f>
        <v/>
      </c>
      <c r="AU1688" t="inlineStr">
        <is>
          <t>1426122:eng</t>
        </is>
      </c>
      <c r="AV1688" t="inlineStr">
        <is>
          <t>404259</t>
        </is>
      </c>
      <c r="AW1688" t="inlineStr">
        <is>
          <t>991002697779702656</t>
        </is>
      </c>
      <c r="AX1688" t="inlineStr">
        <is>
          <t>991002697779702656</t>
        </is>
      </c>
      <c r="AY1688" t="inlineStr">
        <is>
          <t>2259926970002656</t>
        </is>
      </c>
      <c r="AZ1688" t="inlineStr">
        <is>
          <t>BOOK</t>
        </is>
      </c>
      <c r="BC1688" t="inlineStr">
        <is>
          <t>32285002439239</t>
        </is>
      </c>
      <c r="BD1688" t="inlineStr">
        <is>
          <t>893892867</t>
        </is>
      </c>
    </row>
    <row r="1689">
      <c r="A1689" t="inlineStr">
        <is>
          <t>No</t>
        </is>
      </c>
      <c r="B1689" t="inlineStr">
        <is>
          <t>DP269.47.R8 C8</t>
        </is>
      </c>
      <c r="C1689" t="inlineStr">
        <is>
          <t>0                      DP 0269470R  8                  C  8</t>
        </is>
      </c>
      <c r="D1689" t="inlineStr">
        <is>
          <t>Communism and the Spanish Civil War.</t>
        </is>
      </c>
      <c r="F1689" t="inlineStr">
        <is>
          <t>No</t>
        </is>
      </c>
      <c r="G1689" t="inlineStr">
        <is>
          <t>1</t>
        </is>
      </c>
      <c r="H1689" t="inlineStr">
        <is>
          <t>No</t>
        </is>
      </c>
      <c r="I1689" t="inlineStr">
        <is>
          <t>No</t>
        </is>
      </c>
      <c r="J1689" t="inlineStr">
        <is>
          <t>0</t>
        </is>
      </c>
      <c r="K1689" t="inlineStr">
        <is>
          <t>Cattell, David Tredwell, 1923-</t>
        </is>
      </c>
      <c r="L1689" t="inlineStr">
        <is>
          <t>Berkeley, University of California Press, 1955.</t>
        </is>
      </c>
      <c r="M1689" t="inlineStr">
        <is>
          <t>1955</t>
        </is>
      </c>
      <c r="O1689" t="inlineStr">
        <is>
          <t>eng</t>
        </is>
      </c>
      <c r="P1689" t="inlineStr">
        <is>
          <t>cau</t>
        </is>
      </c>
      <c r="Q1689" t="inlineStr">
        <is>
          <t>University of California publication in international relations, v.4</t>
        </is>
      </c>
      <c r="R1689" t="inlineStr">
        <is>
          <t xml:space="preserve">DP </t>
        </is>
      </c>
      <c r="S1689" t="n">
        <v>5</v>
      </c>
      <c r="T1689" t="n">
        <v>5</v>
      </c>
      <c r="U1689" t="inlineStr">
        <is>
          <t>2007-04-29</t>
        </is>
      </c>
      <c r="V1689" t="inlineStr">
        <is>
          <t>2007-04-29</t>
        </is>
      </c>
      <c r="W1689" t="inlineStr">
        <is>
          <t>1996-08-01</t>
        </is>
      </c>
      <c r="X1689" t="inlineStr">
        <is>
          <t>1996-08-01</t>
        </is>
      </c>
      <c r="Y1689" t="n">
        <v>381</v>
      </c>
      <c r="Z1689" t="n">
        <v>336</v>
      </c>
      <c r="AA1689" t="n">
        <v>687</v>
      </c>
      <c r="AB1689" t="n">
        <v>4</v>
      </c>
      <c r="AC1689" t="n">
        <v>5</v>
      </c>
      <c r="AD1689" t="n">
        <v>27</v>
      </c>
      <c r="AE1689" t="n">
        <v>40</v>
      </c>
      <c r="AF1689" t="n">
        <v>11</v>
      </c>
      <c r="AG1689" t="n">
        <v>19</v>
      </c>
      <c r="AH1689" t="n">
        <v>4</v>
      </c>
      <c r="AI1689" t="n">
        <v>8</v>
      </c>
      <c r="AJ1689" t="n">
        <v>15</v>
      </c>
      <c r="AK1689" t="n">
        <v>18</v>
      </c>
      <c r="AL1689" t="n">
        <v>3</v>
      </c>
      <c r="AM1689" t="n">
        <v>4</v>
      </c>
      <c r="AN1689" t="n">
        <v>0</v>
      </c>
      <c r="AO1689" t="n">
        <v>0</v>
      </c>
      <c r="AP1689" t="inlineStr">
        <is>
          <t>No</t>
        </is>
      </c>
      <c r="AQ1689" t="inlineStr">
        <is>
          <t>Yes</t>
        </is>
      </c>
      <c r="AR1689">
        <f>HYPERLINK("http://catalog.hathitrust.org/Record/001637753","HathiTrust Record")</f>
        <v/>
      </c>
      <c r="AS1689">
        <f>HYPERLINK("https://creighton-primo.hosted.exlibrisgroup.com/primo-explore/search?tab=default_tab&amp;search_scope=EVERYTHING&amp;vid=01CRU&amp;lang=en_US&amp;offset=0&amp;query=any,contains,991003885809702656","Catalog Record")</f>
        <v/>
      </c>
      <c r="AT1689">
        <f>HYPERLINK("http://www.worldcat.org/oclc/1736362","WorldCat Record")</f>
        <v/>
      </c>
      <c r="AU1689" t="inlineStr">
        <is>
          <t>4916098800:eng</t>
        </is>
      </c>
      <c r="AV1689" t="inlineStr">
        <is>
          <t>1736362</t>
        </is>
      </c>
      <c r="AW1689" t="inlineStr">
        <is>
          <t>991003885809702656</t>
        </is>
      </c>
      <c r="AX1689" t="inlineStr">
        <is>
          <t>991003885809702656</t>
        </is>
      </c>
      <c r="AY1689" t="inlineStr">
        <is>
          <t>2271971780002656</t>
        </is>
      </c>
      <c r="AZ1689" t="inlineStr">
        <is>
          <t>BOOK</t>
        </is>
      </c>
      <c r="BC1689" t="inlineStr">
        <is>
          <t>32285002209129</t>
        </is>
      </c>
      <c r="BD1689" t="inlineStr">
        <is>
          <t>893343169</t>
        </is>
      </c>
    </row>
    <row r="1690">
      <c r="A1690" t="inlineStr">
        <is>
          <t>No</t>
        </is>
      </c>
      <c r="B1690" t="inlineStr">
        <is>
          <t>DP269.47.R8 S63 2001</t>
        </is>
      </c>
      <c r="C1690" t="inlineStr">
        <is>
          <t>0                      DP 0269470R  8                  S  63          2001</t>
        </is>
      </c>
      <c r="D1690" t="inlineStr">
        <is>
          <t>Spain betrayed : the Soviet Union in the Spanish Civil War / edited by Ronald Radosh, Mary R. Habeck, and Grigory Sevostianov.</t>
        </is>
      </c>
      <c r="F1690" t="inlineStr">
        <is>
          <t>No</t>
        </is>
      </c>
      <c r="G1690" t="inlineStr">
        <is>
          <t>1</t>
        </is>
      </c>
      <c r="H1690" t="inlineStr">
        <is>
          <t>No</t>
        </is>
      </c>
      <c r="I1690" t="inlineStr">
        <is>
          <t>No</t>
        </is>
      </c>
      <c r="J1690" t="inlineStr">
        <is>
          <t>0</t>
        </is>
      </c>
      <c r="L1690" t="inlineStr">
        <is>
          <t>New Haven [Conn.] : Yale University Press, c2001.</t>
        </is>
      </c>
      <c r="M1690" t="inlineStr">
        <is>
          <t>2001</t>
        </is>
      </c>
      <c r="O1690" t="inlineStr">
        <is>
          <t>eng</t>
        </is>
      </c>
      <c r="P1690" t="inlineStr">
        <is>
          <t>ctu</t>
        </is>
      </c>
      <c r="Q1690" t="inlineStr">
        <is>
          <t>Annals of Communism</t>
        </is>
      </c>
      <c r="R1690" t="inlineStr">
        <is>
          <t xml:space="preserve">DP </t>
        </is>
      </c>
      <c r="S1690" t="n">
        <v>3</v>
      </c>
      <c r="T1690" t="n">
        <v>3</v>
      </c>
      <c r="U1690" t="inlineStr">
        <is>
          <t>2004-04-26</t>
        </is>
      </c>
      <c r="V1690" t="inlineStr">
        <is>
          <t>2004-04-26</t>
        </is>
      </c>
      <c r="W1690" t="inlineStr">
        <is>
          <t>2003-01-28</t>
        </is>
      </c>
      <c r="X1690" t="inlineStr">
        <is>
          <t>2003-01-28</t>
        </is>
      </c>
      <c r="Y1690" t="n">
        <v>821</v>
      </c>
      <c r="Z1690" t="n">
        <v>674</v>
      </c>
      <c r="AA1690" t="n">
        <v>811</v>
      </c>
      <c r="AB1690" t="n">
        <v>5</v>
      </c>
      <c r="AC1690" t="n">
        <v>5</v>
      </c>
      <c r="AD1690" t="n">
        <v>35</v>
      </c>
      <c r="AE1690" t="n">
        <v>40</v>
      </c>
      <c r="AF1690" t="n">
        <v>17</v>
      </c>
      <c r="AG1690" t="n">
        <v>21</v>
      </c>
      <c r="AH1690" t="n">
        <v>8</v>
      </c>
      <c r="AI1690" t="n">
        <v>9</v>
      </c>
      <c r="AJ1690" t="n">
        <v>18</v>
      </c>
      <c r="AK1690" t="n">
        <v>20</v>
      </c>
      <c r="AL1690" t="n">
        <v>3</v>
      </c>
      <c r="AM1690" t="n">
        <v>3</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HYPERLINK("https://creighton-primo.hosted.exlibrisgroup.com/primo-explore/search?tab=default_tab&amp;search_scope=EVERYTHING&amp;vid=01CRU&amp;lang=en_US&amp;offset=0&amp;query=any,contains,991003966819702656","Catalog Record")</f>
        <v/>
      </c>
      <c r="AT1690">
        <f>HYPERLINK("http://www.worldcat.org/oclc/45668868","WorldCat Record")</f>
        <v/>
      </c>
      <c r="AU1690" t="inlineStr">
        <is>
          <t>795340645:eng</t>
        </is>
      </c>
      <c r="AV1690" t="inlineStr">
        <is>
          <t>45668868</t>
        </is>
      </c>
      <c r="AW1690" t="inlineStr">
        <is>
          <t>991003966819702656</t>
        </is>
      </c>
      <c r="AX1690" t="inlineStr">
        <is>
          <t>991003966819702656</t>
        </is>
      </c>
      <c r="AY1690" t="inlineStr">
        <is>
          <t>2271646660002656</t>
        </is>
      </c>
      <c r="AZ1690" t="inlineStr">
        <is>
          <t>BOOK</t>
        </is>
      </c>
      <c r="BB1690" t="inlineStr">
        <is>
          <t>9780300089813</t>
        </is>
      </c>
      <c r="BC1690" t="inlineStr">
        <is>
          <t>32285004695788</t>
        </is>
      </c>
      <c r="BD1690" t="inlineStr">
        <is>
          <t>893512620</t>
        </is>
      </c>
    </row>
    <row r="1691">
      <c r="A1691" t="inlineStr">
        <is>
          <t>No</t>
        </is>
      </c>
      <c r="B1691" t="inlineStr">
        <is>
          <t>DP269.8.L5 M8</t>
        </is>
      </c>
      <c r="C1691" t="inlineStr">
        <is>
          <t>0                      DP 0269800L  5                  M  8</t>
        </is>
      </c>
      <c r="D1691" t="inlineStr">
        <is>
          <t>Say that we saw Spain die; literary consequences of the Spanish Civil War [by] John M. Muste.</t>
        </is>
      </c>
      <c r="F1691" t="inlineStr">
        <is>
          <t>No</t>
        </is>
      </c>
      <c r="G1691" t="inlineStr">
        <is>
          <t>1</t>
        </is>
      </c>
      <c r="H1691" t="inlineStr">
        <is>
          <t>No</t>
        </is>
      </c>
      <c r="I1691" t="inlineStr">
        <is>
          <t>No</t>
        </is>
      </c>
      <c r="J1691" t="inlineStr">
        <is>
          <t>0</t>
        </is>
      </c>
      <c r="K1691" t="inlineStr">
        <is>
          <t>Muste, John M., 1927-</t>
        </is>
      </c>
      <c r="L1691" t="inlineStr">
        <is>
          <t>Seattle, University of Washington Press [1966]</t>
        </is>
      </c>
      <c r="M1691" t="inlineStr">
        <is>
          <t>1966</t>
        </is>
      </c>
      <c r="O1691" t="inlineStr">
        <is>
          <t>eng</t>
        </is>
      </c>
      <c r="P1691" t="inlineStr">
        <is>
          <t>wau</t>
        </is>
      </c>
      <c r="R1691" t="inlineStr">
        <is>
          <t xml:space="preserve">DP </t>
        </is>
      </c>
      <c r="S1691" t="n">
        <v>2</v>
      </c>
      <c r="T1691" t="n">
        <v>2</v>
      </c>
      <c r="U1691" t="inlineStr">
        <is>
          <t>2002-04-05</t>
        </is>
      </c>
      <c r="V1691" t="inlineStr">
        <is>
          <t>2002-04-05</t>
        </is>
      </c>
      <c r="W1691" t="inlineStr">
        <is>
          <t>1997-02-14</t>
        </is>
      </c>
      <c r="X1691" t="inlineStr">
        <is>
          <t>1997-02-14</t>
        </is>
      </c>
      <c r="Y1691" t="n">
        <v>824</v>
      </c>
      <c r="Z1691" t="n">
        <v>718</v>
      </c>
      <c r="AA1691" t="n">
        <v>724</v>
      </c>
      <c r="AB1691" t="n">
        <v>7</v>
      </c>
      <c r="AC1691" t="n">
        <v>7</v>
      </c>
      <c r="AD1691" t="n">
        <v>35</v>
      </c>
      <c r="AE1691" t="n">
        <v>35</v>
      </c>
      <c r="AF1691" t="n">
        <v>12</v>
      </c>
      <c r="AG1691" t="n">
        <v>12</v>
      </c>
      <c r="AH1691" t="n">
        <v>8</v>
      </c>
      <c r="AI1691" t="n">
        <v>8</v>
      </c>
      <c r="AJ1691" t="n">
        <v>16</v>
      </c>
      <c r="AK1691" t="n">
        <v>16</v>
      </c>
      <c r="AL1691" t="n">
        <v>6</v>
      </c>
      <c r="AM1691" t="n">
        <v>6</v>
      </c>
      <c r="AN1691" t="n">
        <v>0</v>
      </c>
      <c r="AO1691" t="n">
        <v>0</v>
      </c>
      <c r="AP1691" t="inlineStr">
        <is>
          <t>No</t>
        </is>
      </c>
      <c r="AQ1691" t="inlineStr">
        <is>
          <t>No</t>
        </is>
      </c>
      <c r="AS1691">
        <f>HYPERLINK("https://creighton-primo.hosted.exlibrisgroup.com/primo-explore/search?tab=default_tab&amp;search_scope=EVERYTHING&amp;vid=01CRU&amp;lang=en_US&amp;offset=0&amp;query=any,contains,991002673039702656","Catalog Record")</f>
        <v/>
      </c>
      <c r="AT1691">
        <f>HYPERLINK("http://www.worldcat.org/oclc/396059","WorldCat Record")</f>
        <v/>
      </c>
      <c r="AU1691" t="inlineStr">
        <is>
          <t>869078104:eng</t>
        </is>
      </c>
      <c r="AV1691" t="inlineStr">
        <is>
          <t>396059</t>
        </is>
      </c>
      <c r="AW1691" t="inlineStr">
        <is>
          <t>991002673039702656</t>
        </is>
      </c>
      <c r="AX1691" t="inlineStr">
        <is>
          <t>991002673039702656</t>
        </is>
      </c>
      <c r="AY1691" t="inlineStr">
        <is>
          <t>2261164030002656</t>
        </is>
      </c>
      <c r="AZ1691" t="inlineStr">
        <is>
          <t>BOOK</t>
        </is>
      </c>
      <c r="BC1691" t="inlineStr">
        <is>
          <t>32285002439270</t>
        </is>
      </c>
      <c r="BD1691" t="inlineStr">
        <is>
          <t>893603859</t>
        </is>
      </c>
    </row>
    <row r="1692">
      <c r="A1692" t="inlineStr">
        <is>
          <t>No</t>
        </is>
      </c>
      <c r="B1692" t="inlineStr">
        <is>
          <t>DP269.9 .L4</t>
        </is>
      </c>
      <c r="C1692" t="inlineStr">
        <is>
          <t>0                      DP 0269900L  4</t>
        </is>
      </c>
      <c r="D1692" t="inlineStr">
        <is>
          <t>Combat over Spain : memoirs of a nationalist fighter pilot, 1936-1939 / by José Larios, Marquis of Larios, Duke of Lerma.</t>
        </is>
      </c>
      <c r="F1692" t="inlineStr">
        <is>
          <t>No</t>
        </is>
      </c>
      <c r="G1692" t="inlineStr">
        <is>
          <t>1</t>
        </is>
      </c>
      <c r="H1692" t="inlineStr">
        <is>
          <t>No</t>
        </is>
      </c>
      <c r="I1692" t="inlineStr">
        <is>
          <t>No</t>
        </is>
      </c>
      <c r="J1692" t="inlineStr">
        <is>
          <t>0</t>
        </is>
      </c>
      <c r="K1692" t="inlineStr">
        <is>
          <t>Lerma, José Larios y Fernández de Villavicencio, Duque de.</t>
        </is>
      </c>
      <c r="L1692" t="inlineStr">
        <is>
          <t>New York, Macmillan [1966]</t>
        </is>
      </c>
      <c r="M1692" t="inlineStr">
        <is>
          <t>1966</t>
        </is>
      </c>
      <c r="O1692" t="inlineStr">
        <is>
          <t>eng</t>
        </is>
      </c>
      <c r="P1692" t="inlineStr">
        <is>
          <t>nyu</t>
        </is>
      </c>
      <c r="R1692" t="inlineStr">
        <is>
          <t xml:space="preserve">DP </t>
        </is>
      </c>
      <c r="S1692" t="n">
        <v>0</v>
      </c>
      <c r="T1692" t="n">
        <v>0</v>
      </c>
      <c r="U1692" t="inlineStr">
        <is>
          <t>2005-06-22</t>
        </is>
      </c>
      <c r="V1692" t="inlineStr">
        <is>
          <t>2005-06-22</t>
        </is>
      </c>
      <c r="W1692" t="inlineStr">
        <is>
          <t>1997-02-20</t>
        </is>
      </c>
      <c r="X1692" t="inlineStr">
        <is>
          <t>1997-02-20</t>
        </is>
      </c>
      <c r="Y1692" t="n">
        <v>355</v>
      </c>
      <c r="Z1692" t="n">
        <v>328</v>
      </c>
      <c r="AA1692" t="n">
        <v>351</v>
      </c>
      <c r="AB1692" t="n">
        <v>4</v>
      </c>
      <c r="AC1692" t="n">
        <v>4</v>
      </c>
      <c r="AD1692" t="n">
        <v>15</v>
      </c>
      <c r="AE1692" t="n">
        <v>15</v>
      </c>
      <c r="AF1692" t="n">
        <v>3</v>
      </c>
      <c r="AG1692" t="n">
        <v>3</v>
      </c>
      <c r="AH1692" t="n">
        <v>3</v>
      </c>
      <c r="AI1692" t="n">
        <v>3</v>
      </c>
      <c r="AJ1692" t="n">
        <v>9</v>
      </c>
      <c r="AK1692" t="n">
        <v>9</v>
      </c>
      <c r="AL1692" t="n">
        <v>2</v>
      </c>
      <c r="AM1692" t="n">
        <v>2</v>
      </c>
      <c r="AN1692" t="n">
        <v>0</v>
      </c>
      <c r="AO1692" t="n">
        <v>0</v>
      </c>
      <c r="AP1692" t="inlineStr">
        <is>
          <t>No</t>
        </is>
      </c>
      <c r="AQ1692" t="inlineStr">
        <is>
          <t>Yes</t>
        </is>
      </c>
      <c r="AR1692">
        <f>HYPERLINK("http://catalog.hathitrust.org/Record/001237232","HathiTrust Record")</f>
        <v/>
      </c>
      <c r="AS1692">
        <f>HYPERLINK("https://creighton-primo.hosted.exlibrisgroup.com/primo-explore/search?tab=default_tab&amp;search_scope=EVERYTHING&amp;vid=01CRU&amp;lang=en_US&amp;offset=0&amp;query=any,contains,991004733409702656","Catalog Record")</f>
        <v/>
      </c>
      <c r="AT1692">
        <f>HYPERLINK("http://www.worldcat.org/oclc/4841472","WorldCat Record")</f>
        <v/>
      </c>
      <c r="AU1692" t="inlineStr">
        <is>
          <t>318615981:eng</t>
        </is>
      </c>
      <c r="AV1692" t="inlineStr">
        <is>
          <t>4841472</t>
        </is>
      </c>
      <c r="AW1692" t="inlineStr">
        <is>
          <t>991004733409702656</t>
        </is>
      </c>
      <c r="AX1692" t="inlineStr">
        <is>
          <t>991004733409702656</t>
        </is>
      </c>
      <c r="AY1692" t="inlineStr">
        <is>
          <t>2269048120002656</t>
        </is>
      </c>
      <c r="AZ1692" t="inlineStr">
        <is>
          <t>BOOK</t>
        </is>
      </c>
      <c r="BC1692" t="inlineStr">
        <is>
          <t>32285002439304</t>
        </is>
      </c>
      <c r="BD1692" t="inlineStr">
        <is>
          <t>893889195</t>
        </is>
      </c>
    </row>
    <row r="1693">
      <c r="A1693" t="inlineStr">
        <is>
          <t>No</t>
        </is>
      </c>
      <c r="B1693" t="inlineStr">
        <is>
          <t>DP270 .C34</t>
        </is>
      </c>
      <c r="C1693" t="inlineStr">
        <is>
          <t>0                      DP 0270000C  34</t>
        </is>
      </c>
      <c r="D1693" t="inlineStr">
        <is>
          <t>Generaciones castradas, 1939-1975 / F. Caudet.</t>
        </is>
      </c>
      <c r="F1693" t="inlineStr">
        <is>
          <t>No</t>
        </is>
      </c>
      <c r="G1693" t="inlineStr">
        <is>
          <t>1</t>
        </is>
      </c>
      <c r="H1693" t="inlineStr">
        <is>
          <t>No</t>
        </is>
      </c>
      <c r="I1693" t="inlineStr">
        <is>
          <t>No</t>
        </is>
      </c>
      <c r="J1693" t="inlineStr">
        <is>
          <t>0</t>
        </is>
      </c>
      <c r="K1693" t="inlineStr">
        <is>
          <t>Caudet, Francisco, 1942-</t>
        </is>
      </c>
      <c r="L1693" t="inlineStr">
        <is>
          <t>Barcelona : Ediciones Petronio, c1978.</t>
        </is>
      </c>
      <c r="M1693" t="inlineStr">
        <is>
          <t>1978</t>
        </is>
      </c>
      <c r="O1693" t="inlineStr">
        <is>
          <t>spa</t>
        </is>
      </c>
      <c r="P1693" t="inlineStr">
        <is>
          <t xml:space="preserve">sp </t>
        </is>
      </c>
      <c r="Q1693" t="inlineStr">
        <is>
          <t>Colección Nuevos tiempos</t>
        </is>
      </c>
      <c r="R1693" t="inlineStr">
        <is>
          <t xml:space="preserve">DP </t>
        </is>
      </c>
      <c r="S1693" t="n">
        <v>1</v>
      </c>
      <c r="T1693" t="n">
        <v>1</v>
      </c>
      <c r="U1693" t="inlineStr">
        <is>
          <t>2008-04-20</t>
        </is>
      </c>
      <c r="V1693" t="inlineStr">
        <is>
          <t>2008-04-20</t>
        </is>
      </c>
      <c r="W1693" t="inlineStr">
        <is>
          <t>1991-10-22</t>
        </is>
      </c>
      <c r="X1693" t="inlineStr">
        <is>
          <t>1991-10-22</t>
        </is>
      </c>
      <c r="Y1693" t="n">
        <v>8</v>
      </c>
      <c r="Z1693" t="n">
        <v>6</v>
      </c>
      <c r="AA1693" t="n">
        <v>6</v>
      </c>
      <c r="AB1693" t="n">
        <v>1</v>
      </c>
      <c r="AC1693" t="n">
        <v>1</v>
      </c>
      <c r="AD1693" t="n">
        <v>0</v>
      </c>
      <c r="AE1693" t="n">
        <v>0</v>
      </c>
      <c r="AF1693" t="n">
        <v>0</v>
      </c>
      <c r="AG1693" t="n">
        <v>0</v>
      </c>
      <c r="AH1693" t="n">
        <v>0</v>
      </c>
      <c r="AI1693" t="n">
        <v>0</v>
      </c>
      <c r="AJ1693" t="n">
        <v>0</v>
      </c>
      <c r="AK1693" t="n">
        <v>0</v>
      </c>
      <c r="AL1693" t="n">
        <v>0</v>
      </c>
      <c r="AM1693" t="n">
        <v>0</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HYPERLINK("https://creighton-primo.hosted.exlibrisgroup.com/primo-explore/search?tab=default_tab&amp;search_scope=EVERYTHING&amp;vid=01CRU&amp;lang=en_US&amp;offset=0&amp;query=any,contains,991004685599702656","Catalog Record")</f>
        <v/>
      </c>
      <c r="AT1693">
        <f>HYPERLINK("http://www.worldcat.org/oclc/4592024","WorldCat Record")</f>
        <v/>
      </c>
      <c r="AU1693" t="inlineStr">
        <is>
          <t>14921771:spa</t>
        </is>
      </c>
      <c r="AV1693" t="inlineStr">
        <is>
          <t>4592024</t>
        </is>
      </c>
      <c r="AW1693" t="inlineStr">
        <is>
          <t>991004685599702656</t>
        </is>
      </c>
      <c r="AX1693" t="inlineStr">
        <is>
          <t>991004685599702656</t>
        </is>
      </c>
      <c r="AY1693" t="inlineStr">
        <is>
          <t>2272321600002656</t>
        </is>
      </c>
      <c r="AZ1693" t="inlineStr">
        <is>
          <t>BOOK</t>
        </is>
      </c>
      <c r="BB1693" t="inlineStr">
        <is>
          <t>9788472505865</t>
        </is>
      </c>
      <c r="BC1693" t="inlineStr">
        <is>
          <t>32285000653336</t>
        </is>
      </c>
      <c r="BD1693" t="inlineStr">
        <is>
          <t>893688022</t>
        </is>
      </c>
    </row>
    <row r="1694">
      <c r="A1694" t="inlineStr">
        <is>
          <t>No</t>
        </is>
      </c>
      <c r="B1694" t="inlineStr">
        <is>
          <t>DP270 .C537 1985</t>
        </is>
      </c>
      <c r="C1694" t="inlineStr">
        <is>
          <t>0                      DP 0270000C  537         1985</t>
        </is>
      </c>
      <c r="D1694" t="inlineStr">
        <is>
          <t>Pro y contra Franco : franquismo y antifranquismo / Ricardo de la Cierva, Sergio Vilar.</t>
        </is>
      </c>
      <c r="F1694" t="inlineStr">
        <is>
          <t>No</t>
        </is>
      </c>
      <c r="G1694" t="inlineStr">
        <is>
          <t>1</t>
        </is>
      </c>
      <c r="H1694" t="inlineStr">
        <is>
          <t>No</t>
        </is>
      </c>
      <c r="I1694" t="inlineStr">
        <is>
          <t>No</t>
        </is>
      </c>
      <c r="J1694" t="inlineStr">
        <is>
          <t>0</t>
        </is>
      </c>
      <c r="K1694" t="inlineStr">
        <is>
          <t>Cierva, Ricardo de la, 1926-2015.</t>
        </is>
      </c>
      <c r="L1694" t="inlineStr">
        <is>
          <t>Barcelona : Editorial Planeta, 1985.</t>
        </is>
      </c>
      <c r="M1694" t="inlineStr">
        <is>
          <t>1985</t>
        </is>
      </c>
      <c r="N1694" t="inlineStr">
        <is>
          <t>1a ed.</t>
        </is>
      </c>
      <c r="O1694" t="inlineStr">
        <is>
          <t>spa</t>
        </is>
      </c>
      <c r="P1694" t="inlineStr">
        <is>
          <t xml:space="preserve">sp </t>
        </is>
      </c>
      <c r="Q1694" t="inlineStr">
        <is>
          <t>Serie La Historia viva</t>
        </is>
      </c>
      <c r="R1694" t="inlineStr">
        <is>
          <t xml:space="preserve">DP </t>
        </is>
      </c>
      <c r="S1694" t="n">
        <v>0</v>
      </c>
      <c r="T1694" t="n">
        <v>0</v>
      </c>
      <c r="U1694" t="inlineStr">
        <is>
          <t>2007-02-20</t>
        </is>
      </c>
      <c r="V1694" t="inlineStr">
        <is>
          <t>2007-02-20</t>
        </is>
      </c>
      <c r="W1694" t="inlineStr">
        <is>
          <t>1991-10-22</t>
        </is>
      </c>
      <c r="X1694" t="inlineStr">
        <is>
          <t>1991-10-22</t>
        </is>
      </c>
      <c r="Y1694" t="n">
        <v>74</v>
      </c>
      <c r="Z1694" t="n">
        <v>44</v>
      </c>
      <c r="AA1694" t="n">
        <v>45</v>
      </c>
      <c r="AB1694" t="n">
        <v>1</v>
      </c>
      <c r="AC1694" t="n">
        <v>1</v>
      </c>
      <c r="AD1694" t="n">
        <v>1</v>
      </c>
      <c r="AE1694" t="n">
        <v>1</v>
      </c>
      <c r="AF1694" t="n">
        <v>0</v>
      </c>
      <c r="AG1694" t="n">
        <v>0</v>
      </c>
      <c r="AH1694" t="n">
        <v>0</v>
      </c>
      <c r="AI1694" t="n">
        <v>0</v>
      </c>
      <c r="AJ1694" t="n">
        <v>1</v>
      </c>
      <c r="AK1694" t="n">
        <v>1</v>
      </c>
      <c r="AL1694" t="n">
        <v>0</v>
      </c>
      <c r="AM1694" t="n">
        <v>0</v>
      </c>
      <c r="AN1694" t="n">
        <v>0</v>
      </c>
      <c r="AO1694" t="n">
        <v>0</v>
      </c>
      <c r="AP1694" t="inlineStr">
        <is>
          <t>No</t>
        </is>
      </c>
      <c r="AQ1694" t="inlineStr">
        <is>
          <t>Yes</t>
        </is>
      </c>
      <c r="AR1694">
        <f>HYPERLINK("http://catalog.hathitrust.org/Record/000401946","HathiTrust Record")</f>
        <v/>
      </c>
      <c r="AS1694">
        <f>HYPERLINK("https://creighton-primo.hosted.exlibrisgroup.com/primo-explore/search?tab=default_tab&amp;search_scope=EVERYTHING&amp;vid=01CRU&amp;lang=en_US&amp;offset=0&amp;query=any,contains,991000814429702656","Catalog Record")</f>
        <v/>
      </c>
      <c r="AT1694">
        <f>HYPERLINK("http://www.worldcat.org/oclc/14099776","WorldCat Record")</f>
        <v/>
      </c>
      <c r="AU1694" t="inlineStr">
        <is>
          <t>320615608:spa</t>
        </is>
      </c>
      <c r="AV1694" t="inlineStr">
        <is>
          <t>14099776</t>
        </is>
      </c>
      <c r="AW1694" t="inlineStr">
        <is>
          <t>991000814429702656</t>
        </is>
      </c>
      <c r="AX1694" t="inlineStr">
        <is>
          <t>991000814429702656</t>
        </is>
      </c>
      <c r="AY1694" t="inlineStr">
        <is>
          <t>2260687840002656</t>
        </is>
      </c>
      <c r="AZ1694" t="inlineStr">
        <is>
          <t>BOOK</t>
        </is>
      </c>
      <c r="BB1694" t="inlineStr">
        <is>
          <t>9788432058448</t>
        </is>
      </c>
      <c r="BC1694" t="inlineStr">
        <is>
          <t>32285000653344</t>
        </is>
      </c>
      <c r="BD1694" t="inlineStr">
        <is>
          <t>893249697</t>
        </is>
      </c>
    </row>
    <row r="1695">
      <c r="A1695" t="inlineStr">
        <is>
          <t>No</t>
        </is>
      </c>
      <c r="B1695" t="inlineStr">
        <is>
          <t>DP270 .G67 1984</t>
        </is>
      </c>
      <c r="C1695" t="inlineStr">
        <is>
          <t>0                      DP 0270000G  67          1984</t>
        </is>
      </c>
      <c r="D1695" t="inlineStr">
        <is>
          <t>Spain : a nation comes of age / Robert Graham.</t>
        </is>
      </c>
      <c r="F1695" t="inlineStr">
        <is>
          <t>No</t>
        </is>
      </c>
      <c r="G1695" t="inlineStr">
        <is>
          <t>1</t>
        </is>
      </c>
      <c r="H1695" t="inlineStr">
        <is>
          <t>No</t>
        </is>
      </c>
      <c r="I1695" t="inlineStr">
        <is>
          <t>No</t>
        </is>
      </c>
      <c r="J1695" t="inlineStr">
        <is>
          <t>0</t>
        </is>
      </c>
      <c r="K1695" t="inlineStr">
        <is>
          <t>Graham, Robert, 1942 August 21-</t>
        </is>
      </c>
      <c r="L1695" t="inlineStr">
        <is>
          <t>New York : St. Martin's Press, c1984.</t>
        </is>
      </c>
      <c r="M1695" t="inlineStr">
        <is>
          <t>1984</t>
        </is>
      </c>
      <c r="N1695" t="inlineStr">
        <is>
          <t>1st U.S. ed.</t>
        </is>
      </c>
      <c r="O1695" t="inlineStr">
        <is>
          <t>eng</t>
        </is>
      </c>
      <c r="P1695" t="inlineStr">
        <is>
          <t>nyu</t>
        </is>
      </c>
      <c r="R1695" t="inlineStr">
        <is>
          <t xml:space="preserve">DP </t>
        </is>
      </c>
      <c r="S1695" t="n">
        <v>1</v>
      </c>
      <c r="T1695" t="n">
        <v>1</v>
      </c>
      <c r="U1695" t="inlineStr">
        <is>
          <t>1994-07-23</t>
        </is>
      </c>
      <c r="V1695" t="inlineStr">
        <is>
          <t>1994-07-23</t>
        </is>
      </c>
      <c r="W1695" t="inlineStr">
        <is>
          <t>1990-06-18</t>
        </is>
      </c>
      <c r="X1695" t="inlineStr">
        <is>
          <t>1990-06-18</t>
        </is>
      </c>
      <c r="Y1695" t="n">
        <v>638</v>
      </c>
      <c r="Z1695" t="n">
        <v>606</v>
      </c>
      <c r="AA1695" t="n">
        <v>606</v>
      </c>
      <c r="AB1695" t="n">
        <v>1</v>
      </c>
      <c r="AC1695" t="n">
        <v>1</v>
      </c>
      <c r="AD1695" t="n">
        <v>13</v>
      </c>
      <c r="AE1695" t="n">
        <v>13</v>
      </c>
      <c r="AF1695" t="n">
        <v>3</v>
      </c>
      <c r="AG1695" t="n">
        <v>3</v>
      </c>
      <c r="AH1695" t="n">
        <v>4</v>
      </c>
      <c r="AI1695" t="n">
        <v>4</v>
      </c>
      <c r="AJ1695" t="n">
        <v>9</v>
      </c>
      <c r="AK1695" t="n">
        <v>9</v>
      </c>
      <c r="AL1695" t="n">
        <v>0</v>
      </c>
      <c r="AM1695" t="n">
        <v>0</v>
      </c>
      <c r="AN1695" t="n">
        <v>0</v>
      </c>
      <c r="AO1695" t="n">
        <v>0</v>
      </c>
      <c r="AP1695" t="inlineStr">
        <is>
          <t>No</t>
        </is>
      </c>
      <c r="AQ1695" t="inlineStr">
        <is>
          <t>No</t>
        </is>
      </c>
      <c r="AS1695">
        <f>HYPERLINK("https://creighton-primo.hosted.exlibrisgroup.com/primo-explore/search?tab=default_tab&amp;search_scope=EVERYTHING&amp;vid=01CRU&amp;lang=en_US&amp;offset=0&amp;query=any,contains,991000513749702656","Catalog Record")</f>
        <v/>
      </c>
      <c r="AT1695">
        <f>HYPERLINK("http://www.worldcat.org/oclc/11261927","WorldCat Record")</f>
        <v/>
      </c>
      <c r="AU1695" t="inlineStr">
        <is>
          <t>3768366475:eng</t>
        </is>
      </c>
      <c r="AV1695" t="inlineStr">
        <is>
          <t>11261927</t>
        </is>
      </c>
      <c r="AW1695" t="inlineStr">
        <is>
          <t>991000513749702656</t>
        </is>
      </c>
      <c r="AX1695" t="inlineStr">
        <is>
          <t>991000513749702656</t>
        </is>
      </c>
      <c r="AY1695" t="inlineStr">
        <is>
          <t>2263038130002656</t>
        </is>
      </c>
      <c r="AZ1695" t="inlineStr">
        <is>
          <t>BOOK</t>
        </is>
      </c>
      <c r="BB1695" t="inlineStr">
        <is>
          <t>9780312749583</t>
        </is>
      </c>
      <c r="BC1695" t="inlineStr">
        <is>
          <t>32285000198183</t>
        </is>
      </c>
      <c r="BD1695" t="inlineStr">
        <is>
          <t>893871738</t>
        </is>
      </c>
    </row>
    <row r="1696">
      <c r="A1696" t="inlineStr">
        <is>
          <t>No</t>
        </is>
      </c>
      <c r="B1696" t="inlineStr">
        <is>
          <t>DP270 .H54 1999</t>
        </is>
      </c>
      <c r="C1696" t="inlineStr">
        <is>
          <t>0                      DP 0270000H  54          1999</t>
        </is>
      </c>
      <c r="D1696" t="inlineStr">
        <is>
          <t>Historia de España siglo XX, 1939-1996 / Jesús A. Martínez, coord. ; Julio Aróstegui ... [et al.].</t>
        </is>
      </c>
      <c r="F1696" t="inlineStr">
        <is>
          <t>No</t>
        </is>
      </c>
      <c r="G1696" t="inlineStr">
        <is>
          <t>1</t>
        </is>
      </c>
      <c r="H1696" t="inlineStr">
        <is>
          <t>No</t>
        </is>
      </c>
      <c r="I1696" t="inlineStr">
        <is>
          <t>No</t>
        </is>
      </c>
      <c r="J1696" t="inlineStr">
        <is>
          <t>0</t>
        </is>
      </c>
      <c r="L1696" t="inlineStr">
        <is>
          <t>Madrid : Cátedra, c1999.</t>
        </is>
      </c>
      <c r="M1696" t="inlineStr">
        <is>
          <t>1999</t>
        </is>
      </c>
      <c r="O1696" t="inlineStr">
        <is>
          <t>spa</t>
        </is>
      </c>
      <c r="P1696" t="inlineStr">
        <is>
          <t xml:space="preserve">sp </t>
        </is>
      </c>
      <c r="Q1696" t="inlineStr">
        <is>
          <t>Historia. Serie Mayor</t>
        </is>
      </c>
      <c r="R1696" t="inlineStr">
        <is>
          <t xml:space="preserve">DP </t>
        </is>
      </c>
      <c r="S1696" t="n">
        <v>4</v>
      </c>
      <c r="T1696" t="n">
        <v>4</v>
      </c>
      <c r="U1696" t="inlineStr">
        <is>
          <t>2009-02-23</t>
        </is>
      </c>
      <c r="V1696" t="inlineStr">
        <is>
          <t>2009-02-23</t>
        </is>
      </c>
      <c r="W1696" t="inlineStr">
        <is>
          <t>2002-04-30</t>
        </is>
      </c>
      <c r="X1696" t="inlineStr">
        <is>
          <t>2002-04-30</t>
        </is>
      </c>
      <c r="Y1696" t="n">
        <v>71</v>
      </c>
      <c r="Z1696" t="n">
        <v>44</v>
      </c>
      <c r="AA1696" t="n">
        <v>46</v>
      </c>
      <c r="AB1696" t="n">
        <v>1</v>
      </c>
      <c r="AC1696" t="n">
        <v>1</v>
      </c>
      <c r="AD1696" t="n">
        <v>1</v>
      </c>
      <c r="AE1696" t="n">
        <v>1</v>
      </c>
      <c r="AF1696" t="n">
        <v>0</v>
      </c>
      <c r="AG1696" t="n">
        <v>0</v>
      </c>
      <c r="AH1696" t="n">
        <v>0</v>
      </c>
      <c r="AI1696" t="n">
        <v>0</v>
      </c>
      <c r="AJ1696" t="n">
        <v>1</v>
      </c>
      <c r="AK1696" t="n">
        <v>1</v>
      </c>
      <c r="AL1696" t="n">
        <v>0</v>
      </c>
      <c r="AM1696" t="n">
        <v>0</v>
      </c>
      <c r="AN1696" t="n">
        <v>0</v>
      </c>
      <c r="AO1696" t="n">
        <v>0</v>
      </c>
      <c r="AP1696" t="inlineStr">
        <is>
          <t>No</t>
        </is>
      </c>
      <c r="AQ1696" t="inlineStr">
        <is>
          <t>Yes</t>
        </is>
      </c>
      <c r="AR1696">
        <f>HYPERLINK("http://catalog.hathitrust.org/Record/004057033","HathiTrust Record")</f>
        <v/>
      </c>
      <c r="AS1696">
        <f>HYPERLINK("https://creighton-primo.hosted.exlibrisgroup.com/primo-explore/search?tab=default_tab&amp;search_scope=EVERYTHING&amp;vid=01CRU&amp;lang=en_US&amp;offset=0&amp;query=any,contains,991003772179702656","Catalog Record")</f>
        <v/>
      </c>
      <c r="AT1696">
        <f>HYPERLINK("http://www.worldcat.org/oclc/42437294","WorldCat Record")</f>
        <v/>
      </c>
      <c r="AU1696" t="inlineStr">
        <is>
          <t>4923811703:spa</t>
        </is>
      </c>
      <c r="AV1696" t="inlineStr">
        <is>
          <t>42437294</t>
        </is>
      </c>
      <c r="AW1696" t="inlineStr">
        <is>
          <t>991003772179702656</t>
        </is>
      </c>
      <c r="AX1696" t="inlineStr">
        <is>
          <t>991003772179702656</t>
        </is>
      </c>
      <c r="AY1696" t="inlineStr">
        <is>
          <t>2267241140002656</t>
        </is>
      </c>
      <c r="AZ1696" t="inlineStr">
        <is>
          <t>BOOK</t>
        </is>
      </c>
      <c r="BB1696" t="inlineStr">
        <is>
          <t>9788437617039</t>
        </is>
      </c>
      <c r="BC1696" t="inlineStr">
        <is>
          <t>32285004484860</t>
        </is>
      </c>
      <c r="BD1696" t="inlineStr">
        <is>
          <t>893711766</t>
        </is>
      </c>
    </row>
    <row r="1697">
      <c r="A1697" t="inlineStr">
        <is>
          <t>No</t>
        </is>
      </c>
      <c r="B1697" t="inlineStr">
        <is>
          <t>DP271.G5 A3 1981</t>
        </is>
      </c>
      <c r="C1697" t="inlineStr">
        <is>
          <t>0                      DP 0271000G  5                  A  3           1981</t>
        </is>
      </c>
      <c r="D1697" t="inlineStr">
        <is>
          <t>Cuarenta años junto a Franco / Vicente Gil.</t>
        </is>
      </c>
      <c r="F1697" t="inlineStr">
        <is>
          <t>No</t>
        </is>
      </c>
      <c r="G1697" t="inlineStr">
        <is>
          <t>1</t>
        </is>
      </c>
      <c r="H1697" t="inlineStr">
        <is>
          <t>No</t>
        </is>
      </c>
      <c r="I1697" t="inlineStr">
        <is>
          <t>No</t>
        </is>
      </c>
      <c r="J1697" t="inlineStr">
        <is>
          <t>0</t>
        </is>
      </c>
      <c r="K1697" t="inlineStr">
        <is>
          <t>Gil, Vicente.</t>
        </is>
      </c>
      <c r="L1697" t="inlineStr">
        <is>
          <t>Barcelona : Planeta, 1981.</t>
        </is>
      </c>
      <c r="M1697" t="inlineStr">
        <is>
          <t>1981</t>
        </is>
      </c>
      <c r="N1697" t="inlineStr">
        <is>
          <t>3a ed.</t>
        </is>
      </c>
      <c r="O1697" t="inlineStr">
        <is>
          <t>spa</t>
        </is>
      </c>
      <c r="P1697" t="inlineStr">
        <is>
          <t xml:space="preserve">sp </t>
        </is>
      </c>
      <c r="Q1697" t="inlineStr">
        <is>
          <t>Espejo de España ; 74</t>
        </is>
      </c>
      <c r="R1697" t="inlineStr">
        <is>
          <t xml:space="preserve">DP </t>
        </is>
      </c>
      <c r="S1697" t="n">
        <v>3</v>
      </c>
      <c r="T1697" t="n">
        <v>3</v>
      </c>
      <c r="U1697" t="inlineStr">
        <is>
          <t>2008-04-20</t>
        </is>
      </c>
      <c r="V1697" t="inlineStr">
        <is>
          <t>2008-04-20</t>
        </is>
      </c>
      <c r="W1697" t="inlineStr">
        <is>
          <t>1991-10-22</t>
        </is>
      </c>
      <c r="X1697" t="inlineStr">
        <is>
          <t>1991-10-22</t>
        </is>
      </c>
      <c r="Y1697" t="n">
        <v>39</v>
      </c>
      <c r="Z1697" t="n">
        <v>27</v>
      </c>
      <c r="AA1697" t="n">
        <v>28</v>
      </c>
      <c r="AB1697" t="n">
        <v>1</v>
      </c>
      <c r="AC1697" t="n">
        <v>1</v>
      </c>
      <c r="AD1697" t="n">
        <v>0</v>
      </c>
      <c r="AE1697" t="n">
        <v>0</v>
      </c>
      <c r="AF1697" t="n">
        <v>0</v>
      </c>
      <c r="AG1697" t="n">
        <v>0</v>
      </c>
      <c r="AH1697" t="n">
        <v>0</v>
      </c>
      <c r="AI1697" t="n">
        <v>0</v>
      </c>
      <c r="AJ1697" t="n">
        <v>0</v>
      </c>
      <c r="AK1697" t="n">
        <v>0</v>
      </c>
      <c r="AL1697" t="n">
        <v>0</v>
      </c>
      <c r="AM1697" t="n">
        <v>0</v>
      </c>
      <c r="AN1697" t="n">
        <v>0</v>
      </c>
      <c r="AO1697" t="n">
        <v>0</v>
      </c>
      <c r="AP1697" t="inlineStr">
        <is>
          <t>No</t>
        </is>
      </c>
      <c r="AQ1697" t="inlineStr">
        <is>
          <t>Yes</t>
        </is>
      </c>
      <c r="AR1697">
        <f>HYPERLINK("http://catalog.hathitrust.org/Record/000634806","HathiTrust Record")</f>
        <v/>
      </c>
      <c r="AS1697">
        <f>HYPERLINK("https://creighton-primo.hosted.exlibrisgroup.com/primo-explore/search?tab=default_tab&amp;search_scope=EVERYTHING&amp;vid=01CRU&amp;lang=en_US&amp;offset=0&amp;query=any,contains,991000069289702656","Catalog Record")</f>
        <v/>
      </c>
      <c r="AT1697">
        <f>HYPERLINK("http://www.worldcat.org/oclc/8568183","WorldCat Record")</f>
        <v/>
      </c>
      <c r="AU1697" t="inlineStr">
        <is>
          <t>5219083052:spa</t>
        </is>
      </c>
      <c r="AV1697" t="inlineStr">
        <is>
          <t>8568183</t>
        </is>
      </c>
      <c r="AW1697" t="inlineStr">
        <is>
          <t>991000069289702656</t>
        </is>
      </c>
      <c r="AX1697" t="inlineStr">
        <is>
          <t>991000069289702656</t>
        </is>
      </c>
      <c r="AY1697" t="inlineStr">
        <is>
          <t>2271285060002656</t>
        </is>
      </c>
      <c r="AZ1697" t="inlineStr">
        <is>
          <t>BOOK</t>
        </is>
      </c>
      <c r="BB1697" t="inlineStr">
        <is>
          <t>9788432056741</t>
        </is>
      </c>
      <c r="BC1697" t="inlineStr">
        <is>
          <t>32285000653351</t>
        </is>
      </c>
      <c r="BD1697" t="inlineStr">
        <is>
          <t>893242949</t>
        </is>
      </c>
    </row>
    <row r="1698">
      <c r="A1698" t="inlineStr">
        <is>
          <t>No</t>
        </is>
      </c>
      <c r="B1698" t="inlineStr">
        <is>
          <t>DP272 .M36 1982</t>
        </is>
      </c>
      <c r="C1698" t="inlineStr">
        <is>
          <t>0                      DP 0272000M  36          1982</t>
        </is>
      </c>
      <c r="D1698" t="inlineStr">
        <is>
          <t>The transition to democracy in Spain / José Maravall.</t>
        </is>
      </c>
      <c r="F1698" t="inlineStr">
        <is>
          <t>No</t>
        </is>
      </c>
      <c r="G1698" t="inlineStr">
        <is>
          <t>1</t>
        </is>
      </c>
      <c r="H1698" t="inlineStr">
        <is>
          <t>No</t>
        </is>
      </c>
      <c r="I1698" t="inlineStr">
        <is>
          <t>No</t>
        </is>
      </c>
      <c r="J1698" t="inlineStr">
        <is>
          <t>0</t>
        </is>
      </c>
      <c r="K1698" t="inlineStr">
        <is>
          <t>Maravall, José María.</t>
        </is>
      </c>
      <c r="L1698" t="inlineStr">
        <is>
          <t>London : Croom Helm ; New York : St. Martin's Press, 1982.</t>
        </is>
      </c>
      <c r="M1698" t="inlineStr">
        <is>
          <t>1982</t>
        </is>
      </c>
      <c r="O1698" t="inlineStr">
        <is>
          <t>eng</t>
        </is>
      </c>
      <c r="P1698" t="inlineStr">
        <is>
          <t>enk</t>
        </is>
      </c>
      <c r="R1698" t="inlineStr">
        <is>
          <t xml:space="preserve">DP </t>
        </is>
      </c>
      <c r="S1698" t="n">
        <v>4</v>
      </c>
      <c r="T1698" t="n">
        <v>4</v>
      </c>
      <c r="U1698" t="inlineStr">
        <is>
          <t>1995-04-19</t>
        </is>
      </c>
      <c r="V1698" t="inlineStr">
        <is>
          <t>1995-04-19</t>
        </is>
      </c>
      <c r="W1698" t="inlineStr">
        <is>
          <t>1990-06-18</t>
        </is>
      </c>
      <c r="X1698" t="inlineStr">
        <is>
          <t>1990-06-18</t>
        </is>
      </c>
      <c r="Y1698" t="n">
        <v>377</v>
      </c>
      <c r="Z1698" t="n">
        <v>232</v>
      </c>
      <c r="AA1698" t="n">
        <v>234</v>
      </c>
      <c r="AB1698" t="n">
        <v>3</v>
      </c>
      <c r="AC1698" t="n">
        <v>3</v>
      </c>
      <c r="AD1698" t="n">
        <v>10</v>
      </c>
      <c r="AE1698" t="n">
        <v>10</v>
      </c>
      <c r="AF1698" t="n">
        <v>4</v>
      </c>
      <c r="AG1698" t="n">
        <v>4</v>
      </c>
      <c r="AH1698" t="n">
        <v>2</v>
      </c>
      <c r="AI1698" t="n">
        <v>2</v>
      </c>
      <c r="AJ1698" t="n">
        <v>6</v>
      </c>
      <c r="AK1698" t="n">
        <v>6</v>
      </c>
      <c r="AL1698" t="n">
        <v>2</v>
      </c>
      <c r="AM1698" t="n">
        <v>2</v>
      </c>
      <c r="AN1698" t="n">
        <v>0</v>
      </c>
      <c r="AO1698" t="n">
        <v>0</v>
      </c>
      <c r="AP1698" t="inlineStr">
        <is>
          <t>No</t>
        </is>
      </c>
      <c r="AQ1698" t="inlineStr">
        <is>
          <t>Yes</t>
        </is>
      </c>
      <c r="AR1698">
        <f>HYPERLINK("http://catalog.hathitrust.org/Record/000229298","HathiTrust Record")</f>
        <v/>
      </c>
      <c r="AS1698">
        <f>HYPERLINK("https://creighton-primo.hosted.exlibrisgroup.com/primo-explore/search?tab=default_tab&amp;search_scope=EVERYTHING&amp;vid=01CRU&amp;lang=en_US&amp;offset=0&amp;query=any,contains,991005194959702656","Catalog Record")</f>
        <v/>
      </c>
      <c r="AT1698">
        <f>HYPERLINK("http://www.worldcat.org/oclc/8034556","WorldCat Record")</f>
        <v/>
      </c>
      <c r="AU1698" t="inlineStr">
        <is>
          <t>444415:eng</t>
        </is>
      </c>
      <c r="AV1698" t="inlineStr">
        <is>
          <t>8034556</t>
        </is>
      </c>
      <c r="AW1698" t="inlineStr">
        <is>
          <t>991005194959702656</t>
        </is>
      </c>
      <c r="AX1698" t="inlineStr">
        <is>
          <t>991005194959702656</t>
        </is>
      </c>
      <c r="AY1698" t="inlineStr">
        <is>
          <t>2267021630002656</t>
        </is>
      </c>
      <c r="AZ1698" t="inlineStr">
        <is>
          <t>BOOK</t>
        </is>
      </c>
      <c r="BB1698" t="inlineStr">
        <is>
          <t>9780312814595</t>
        </is>
      </c>
      <c r="BC1698" t="inlineStr">
        <is>
          <t>32285000198209</t>
        </is>
      </c>
      <c r="BD1698" t="inlineStr">
        <is>
          <t>893807970</t>
        </is>
      </c>
    </row>
    <row r="1699">
      <c r="A1699" t="inlineStr">
        <is>
          <t>No</t>
        </is>
      </c>
      <c r="B1699" t="inlineStr">
        <is>
          <t>DP272 .P74 1986</t>
        </is>
      </c>
      <c r="C1699" t="inlineStr">
        <is>
          <t>0                      DP 0272000P  74          1986</t>
        </is>
      </c>
      <c r="D1699" t="inlineStr">
        <is>
          <t>The triumph of democracy in Spain / Paul Preston.</t>
        </is>
      </c>
      <c r="F1699" t="inlineStr">
        <is>
          <t>No</t>
        </is>
      </c>
      <c r="G1699" t="inlineStr">
        <is>
          <t>1</t>
        </is>
      </c>
      <c r="H1699" t="inlineStr">
        <is>
          <t>No</t>
        </is>
      </c>
      <c r="I1699" t="inlineStr">
        <is>
          <t>No</t>
        </is>
      </c>
      <c r="J1699" t="inlineStr">
        <is>
          <t>0</t>
        </is>
      </c>
      <c r="K1699" t="inlineStr">
        <is>
          <t>Preston, Paul, 1946-</t>
        </is>
      </c>
      <c r="L1699" t="inlineStr">
        <is>
          <t>London ; New York : Methuen, 1986.</t>
        </is>
      </c>
      <c r="M1699" t="inlineStr">
        <is>
          <t>1986</t>
        </is>
      </c>
      <c r="O1699" t="inlineStr">
        <is>
          <t>eng</t>
        </is>
      </c>
      <c r="P1699" t="inlineStr">
        <is>
          <t>enk</t>
        </is>
      </c>
      <c r="R1699" t="inlineStr">
        <is>
          <t xml:space="preserve">DP </t>
        </is>
      </c>
      <c r="S1699" t="n">
        <v>11</v>
      </c>
      <c r="T1699" t="n">
        <v>11</v>
      </c>
      <c r="U1699" t="inlineStr">
        <is>
          <t>2007-04-29</t>
        </is>
      </c>
      <c r="V1699" t="inlineStr">
        <is>
          <t>2007-04-29</t>
        </is>
      </c>
      <c r="W1699" t="inlineStr">
        <is>
          <t>1990-06-18</t>
        </is>
      </c>
      <c r="X1699" t="inlineStr">
        <is>
          <t>1990-06-18</t>
        </is>
      </c>
      <c r="Y1699" t="n">
        <v>599</v>
      </c>
      <c r="Z1699" t="n">
        <v>465</v>
      </c>
      <c r="AA1699" t="n">
        <v>556</v>
      </c>
      <c r="AB1699" t="n">
        <v>3</v>
      </c>
      <c r="AC1699" t="n">
        <v>3</v>
      </c>
      <c r="AD1699" t="n">
        <v>20</v>
      </c>
      <c r="AE1699" t="n">
        <v>25</v>
      </c>
      <c r="AF1699" t="n">
        <v>9</v>
      </c>
      <c r="AG1699" t="n">
        <v>12</v>
      </c>
      <c r="AH1699" t="n">
        <v>6</v>
      </c>
      <c r="AI1699" t="n">
        <v>6</v>
      </c>
      <c r="AJ1699" t="n">
        <v>11</v>
      </c>
      <c r="AK1699" t="n">
        <v>13</v>
      </c>
      <c r="AL1699" t="n">
        <v>2</v>
      </c>
      <c r="AM1699" t="n">
        <v>2</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HYPERLINK("https://creighton-primo.hosted.exlibrisgroup.com/primo-explore/search?tab=default_tab&amp;search_scope=EVERYTHING&amp;vid=01CRU&amp;lang=en_US&amp;offset=0&amp;query=any,contains,991000753329702656","Catalog Record")</f>
        <v/>
      </c>
      <c r="AT1699">
        <f>HYPERLINK("http://www.worldcat.org/oclc/12944839","WorldCat Record")</f>
        <v/>
      </c>
      <c r="AU1699" t="inlineStr">
        <is>
          <t>5561140:eng</t>
        </is>
      </c>
      <c r="AV1699" t="inlineStr">
        <is>
          <t>12944839</t>
        </is>
      </c>
      <c r="AW1699" t="inlineStr">
        <is>
          <t>991000753329702656</t>
        </is>
      </c>
      <c r="AX1699" t="inlineStr">
        <is>
          <t>991000753329702656</t>
        </is>
      </c>
      <c r="AY1699" t="inlineStr">
        <is>
          <t>2272292630002656</t>
        </is>
      </c>
      <c r="AZ1699" t="inlineStr">
        <is>
          <t>BOOK</t>
        </is>
      </c>
      <c r="BB1699" t="inlineStr">
        <is>
          <t>9780416363500</t>
        </is>
      </c>
      <c r="BC1699" t="inlineStr">
        <is>
          <t>32285000198217</t>
        </is>
      </c>
      <c r="BD1699" t="inlineStr">
        <is>
          <t>893407477</t>
        </is>
      </c>
    </row>
    <row r="1700">
      <c r="A1700" t="inlineStr">
        <is>
          <t>No</t>
        </is>
      </c>
      <c r="B1700" t="inlineStr">
        <is>
          <t>DP272 .V379 2003</t>
        </is>
      </c>
      <c r="C1700" t="inlineStr">
        <is>
          <t>0                      DP 0272000V  379         2003</t>
        </is>
      </c>
      <c r="D1700" t="inlineStr">
        <is>
          <t>La aznaridad : por el imperio hacia Dios o por Dios hacia el imperio / Manuel Vázquez Montalbán.</t>
        </is>
      </c>
      <c r="F1700" t="inlineStr">
        <is>
          <t>No</t>
        </is>
      </c>
      <c r="G1700" t="inlineStr">
        <is>
          <t>1</t>
        </is>
      </c>
      <c r="H1700" t="inlineStr">
        <is>
          <t>No</t>
        </is>
      </c>
      <c r="I1700" t="inlineStr">
        <is>
          <t>No</t>
        </is>
      </c>
      <c r="J1700" t="inlineStr">
        <is>
          <t>0</t>
        </is>
      </c>
      <c r="K1700" t="inlineStr">
        <is>
          <t>Vázquez Montalbán, Manuel.</t>
        </is>
      </c>
      <c r="L1700" t="inlineStr">
        <is>
          <t>Barcelona : Mondadori, 2003.</t>
        </is>
      </c>
      <c r="M1700" t="inlineStr">
        <is>
          <t>2003</t>
        </is>
      </c>
      <c r="N1700" t="inlineStr">
        <is>
          <t>4. ed.</t>
        </is>
      </c>
      <c r="O1700" t="inlineStr">
        <is>
          <t>spa</t>
        </is>
      </c>
      <c r="P1700" t="inlineStr">
        <is>
          <t xml:space="preserve">sp </t>
        </is>
      </c>
      <c r="Q1700" t="inlineStr">
        <is>
          <t>Arena abierta</t>
        </is>
      </c>
      <c r="R1700" t="inlineStr">
        <is>
          <t xml:space="preserve">DP </t>
        </is>
      </c>
      <c r="S1700" t="n">
        <v>1</v>
      </c>
      <c r="T1700" t="n">
        <v>1</v>
      </c>
      <c r="U1700" t="inlineStr">
        <is>
          <t>2005-03-22</t>
        </is>
      </c>
      <c r="V1700" t="inlineStr">
        <is>
          <t>2005-03-22</t>
        </is>
      </c>
      <c r="W1700" t="inlineStr">
        <is>
          <t>2005-03-22</t>
        </is>
      </c>
      <c r="X1700" t="inlineStr">
        <is>
          <t>2005-03-22</t>
        </is>
      </c>
      <c r="Y1700" t="n">
        <v>79</v>
      </c>
      <c r="Z1700" t="n">
        <v>55</v>
      </c>
      <c r="AA1700" t="n">
        <v>61</v>
      </c>
      <c r="AB1700" t="n">
        <v>1</v>
      </c>
      <c r="AC1700" t="n">
        <v>1</v>
      </c>
      <c r="AD1700" t="n">
        <v>2</v>
      </c>
      <c r="AE1700" t="n">
        <v>2</v>
      </c>
      <c r="AF1700" t="n">
        <v>0</v>
      </c>
      <c r="AG1700" t="n">
        <v>0</v>
      </c>
      <c r="AH1700" t="n">
        <v>2</v>
      </c>
      <c r="AI1700" t="n">
        <v>2</v>
      </c>
      <c r="AJ1700" t="n">
        <v>0</v>
      </c>
      <c r="AK1700" t="n">
        <v>0</v>
      </c>
      <c r="AL1700" t="n">
        <v>0</v>
      </c>
      <c r="AM1700" t="n">
        <v>0</v>
      </c>
      <c r="AN1700" t="n">
        <v>0</v>
      </c>
      <c r="AO1700" t="n">
        <v>0</v>
      </c>
      <c r="AP1700" t="inlineStr">
        <is>
          <t>No</t>
        </is>
      </c>
      <c r="AQ1700" t="inlineStr">
        <is>
          <t>Yes</t>
        </is>
      </c>
      <c r="AR1700">
        <f>HYPERLINK("http://catalog.hathitrust.org/Record/004723902","HathiTrust Record")</f>
        <v/>
      </c>
      <c r="AS1700">
        <f>HYPERLINK("https://creighton-primo.hosted.exlibrisgroup.com/primo-explore/search?tab=default_tab&amp;search_scope=EVERYTHING&amp;vid=01CRU&amp;lang=en_US&amp;offset=0&amp;query=any,contains,991004507969702656","Catalog Record")</f>
        <v/>
      </c>
      <c r="AT1700">
        <f>HYPERLINK("http://www.worldcat.org/oclc/53918308","WorldCat Record")</f>
        <v/>
      </c>
      <c r="AU1700" t="inlineStr">
        <is>
          <t>365192530:spa</t>
        </is>
      </c>
      <c r="AV1700" t="inlineStr">
        <is>
          <t>53918308</t>
        </is>
      </c>
      <c r="AW1700" t="inlineStr">
        <is>
          <t>991004507969702656</t>
        </is>
      </c>
      <c r="AX1700" t="inlineStr">
        <is>
          <t>991004507969702656</t>
        </is>
      </c>
      <c r="AY1700" t="inlineStr">
        <is>
          <t>2258193240002656</t>
        </is>
      </c>
      <c r="AZ1700" t="inlineStr">
        <is>
          <t>BOOK</t>
        </is>
      </c>
      <c r="BB1700" t="inlineStr">
        <is>
          <t>9788439710172</t>
        </is>
      </c>
      <c r="BC1700" t="inlineStr">
        <is>
          <t>32285005029565</t>
        </is>
      </c>
      <c r="BD1700" t="inlineStr">
        <is>
          <t>893606117</t>
        </is>
      </c>
    </row>
    <row r="1701">
      <c r="A1701" t="inlineStr">
        <is>
          <t>No</t>
        </is>
      </c>
      <c r="B1701" t="inlineStr">
        <is>
          <t>DP302.A46 I52 1984</t>
        </is>
      </c>
      <c r="C1701" t="inlineStr">
        <is>
          <t>0                      DP 0302000A  46                 I  52          1984</t>
        </is>
      </c>
      <c r="D1701" t="inlineStr">
        <is>
          <t>La imagen de Andalucia en los viajeros romanticos / con la colaboración de Ministerio de Cultura ... [et al.]</t>
        </is>
      </c>
      <c r="F1701" t="inlineStr">
        <is>
          <t>No</t>
        </is>
      </c>
      <c r="G1701" t="inlineStr">
        <is>
          <t>1</t>
        </is>
      </c>
      <c r="H1701" t="inlineStr">
        <is>
          <t>No</t>
        </is>
      </c>
      <c r="I1701" t="inlineStr">
        <is>
          <t>No</t>
        </is>
      </c>
      <c r="J1701" t="inlineStr">
        <is>
          <t>0</t>
        </is>
      </c>
      <c r="L1701" t="inlineStr">
        <is>
          <t>Ronda, [Spain] : Universidad Internacional Menendez Pelayo, 1984.</t>
        </is>
      </c>
      <c r="M1701" t="inlineStr">
        <is>
          <t>1984</t>
        </is>
      </c>
      <c r="O1701" t="inlineStr">
        <is>
          <t>spa</t>
        </is>
      </c>
      <c r="P1701" t="inlineStr">
        <is>
          <t xml:space="preserve">sp </t>
        </is>
      </c>
      <c r="R1701" t="inlineStr">
        <is>
          <t xml:space="preserve">DP </t>
        </is>
      </c>
      <c r="S1701" t="n">
        <v>1</v>
      </c>
      <c r="T1701" t="n">
        <v>1</v>
      </c>
      <c r="U1701" t="inlineStr">
        <is>
          <t>1994-07-23</t>
        </is>
      </c>
      <c r="V1701" t="inlineStr">
        <is>
          <t>1994-07-23</t>
        </is>
      </c>
      <c r="W1701" t="inlineStr">
        <is>
          <t>1991-10-22</t>
        </is>
      </c>
      <c r="X1701" t="inlineStr">
        <is>
          <t>1991-10-22</t>
        </is>
      </c>
      <c r="Y1701" t="n">
        <v>4</v>
      </c>
      <c r="Z1701" t="n">
        <v>4</v>
      </c>
      <c r="AA1701" t="n">
        <v>6</v>
      </c>
      <c r="AB1701" t="n">
        <v>1</v>
      </c>
      <c r="AC1701" t="n">
        <v>1</v>
      </c>
      <c r="AD1701" t="n">
        <v>0</v>
      </c>
      <c r="AE1701" t="n">
        <v>0</v>
      </c>
      <c r="AF1701" t="n">
        <v>0</v>
      </c>
      <c r="AG1701" t="n">
        <v>0</v>
      </c>
      <c r="AH1701" t="n">
        <v>0</v>
      </c>
      <c r="AI1701" t="n">
        <v>0</v>
      </c>
      <c r="AJ1701" t="n">
        <v>0</v>
      </c>
      <c r="AK1701" t="n">
        <v>0</v>
      </c>
      <c r="AL1701" t="n">
        <v>0</v>
      </c>
      <c r="AM1701" t="n">
        <v>0</v>
      </c>
      <c r="AN1701" t="n">
        <v>0</v>
      </c>
      <c r="AO1701" t="n">
        <v>0</v>
      </c>
      <c r="AP1701" t="inlineStr">
        <is>
          <t>No</t>
        </is>
      </c>
      <c r="AQ1701" t="inlineStr">
        <is>
          <t>Yes</t>
        </is>
      </c>
      <c r="AR1701">
        <f>HYPERLINK("http://catalog.hathitrust.org/Record/101884025","HathiTrust Record")</f>
        <v/>
      </c>
      <c r="AS1701">
        <f>HYPERLINK("https://creighton-primo.hosted.exlibrisgroup.com/primo-explore/search?tab=default_tab&amp;search_scope=EVERYTHING&amp;vid=01CRU&amp;lang=en_US&amp;offset=0&amp;query=any,contains,991001223919702656","Catalog Record")</f>
        <v/>
      </c>
      <c r="AT1701">
        <f>HYPERLINK("http://www.worldcat.org/oclc/17485452","WorldCat Record")</f>
        <v/>
      </c>
      <c r="AU1701" t="inlineStr">
        <is>
          <t>1044020681:spa</t>
        </is>
      </c>
      <c r="AV1701" t="inlineStr">
        <is>
          <t>17485452</t>
        </is>
      </c>
      <c r="AW1701" t="inlineStr">
        <is>
          <t>991001223919702656</t>
        </is>
      </c>
      <c r="AX1701" t="inlineStr">
        <is>
          <t>991001223919702656</t>
        </is>
      </c>
      <c r="AY1701" t="inlineStr">
        <is>
          <t>2256768030002656</t>
        </is>
      </c>
      <c r="AZ1701" t="inlineStr">
        <is>
          <t>BOOK</t>
        </is>
      </c>
      <c r="BC1701" t="inlineStr">
        <is>
          <t>32285000653385</t>
        </is>
      </c>
      <c r="BD1701" t="inlineStr">
        <is>
          <t>893784938</t>
        </is>
      </c>
    </row>
    <row r="1702">
      <c r="A1702" t="inlineStr">
        <is>
          <t>No</t>
        </is>
      </c>
      <c r="B1702" t="inlineStr">
        <is>
          <t>DP302.A467 M58 1990</t>
        </is>
      </c>
      <c r="C1702" t="inlineStr">
        <is>
          <t>0                      DP 0302000A  467                M  58          1990</t>
        </is>
      </c>
      <c r="D1702" t="inlineStr">
        <is>
          <t>Passional culture : emotion, religion, and society in Southern Spain / Timothy Mitchell.</t>
        </is>
      </c>
      <c r="F1702" t="inlineStr">
        <is>
          <t>No</t>
        </is>
      </c>
      <c r="G1702" t="inlineStr">
        <is>
          <t>1</t>
        </is>
      </c>
      <c r="H1702" t="inlineStr">
        <is>
          <t>No</t>
        </is>
      </c>
      <c r="I1702" t="inlineStr">
        <is>
          <t>No</t>
        </is>
      </c>
      <c r="J1702" t="inlineStr">
        <is>
          <t>0</t>
        </is>
      </c>
      <c r="K1702" t="inlineStr">
        <is>
          <t>Mitchell, Timothy (Timothy J.)</t>
        </is>
      </c>
      <c r="L1702" t="inlineStr">
        <is>
          <t>Philadelphia : University of Pennsylvania Press, 1990.</t>
        </is>
      </c>
      <c r="M1702" t="inlineStr">
        <is>
          <t>1990</t>
        </is>
      </c>
      <c r="O1702" t="inlineStr">
        <is>
          <t>eng</t>
        </is>
      </c>
      <c r="P1702" t="inlineStr">
        <is>
          <t>pau</t>
        </is>
      </c>
      <c r="R1702" t="inlineStr">
        <is>
          <t xml:space="preserve">DP </t>
        </is>
      </c>
      <c r="S1702" t="n">
        <v>1</v>
      </c>
      <c r="T1702" t="n">
        <v>1</v>
      </c>
      <c r="U1702" t="inlineStr">
        <is>
          <t>1994-07-23</t>
        </is>
      </c>
      <c r="V1702" t="inlineStr">
        <is>
          <t>1994-07-23</t>
        </is>
      </c>
      <c r="W1702" t="inlineStr">
        <is>
          <t>1990-07-27</t>
        </is>
      </c>
      <c r="X1702" t="inlineStr">
        <is>
          <t>1990-07-27</t>
        </is>
      </c>
      <c r="Y1702" t="n">
        <v>391</v>
      </c>
      <c r="Z1702" t="n">
        <v>323</v>
      </c>
      <c r="AA1702" t="n">
        <v>595</v>
      </c>
      <c r="AB1702" t="n">
        <v>3</v>
      </c>
      <c r="AC1702" t="n">
        <v>3</v>
      </c>
      <c r="AD1702" t="n">
        <v>21</v>
      </c>
      <c r="AE1702" t="n">
        <v>31</v>
      </c>
      <c r="AF1702" t="n">
        <v>5</v>
      </c>
      <c r="AG1702" t="n">
        <v>13</v>
      </c>
      <c r="AH1702" t="n">
        <v>6</v>
      </c>
      <c r="AI1702" t="n">
        <v>9</v>
      </c>
      <c r="AJ1702" t="n">
        <v>13</v>
      </c>
      <c r="AK1702" t="n">
        <v>16</v>
      </c>
      <c r="AL1702" t="n">
        <v>2</v>
      </c>
      <c r="AM1702" t="n">
        <v>2</v>
      </c>
      <c r="AN1702" t="n">
        <v>0</v>
      </c>
      <c r="AO1702" t="n">
        <v>0</v>
      </c>
      <c r="AP1702" t="inlineStr">
        <is>
          <t>No</t>
        </is>
      </c>
      <c r="AQ1702" t="inlineStr">
        <is>
          <t>Yes</t>
        </is>
      </c>
      <c r="AR1702">
        <f>HYPERLINK("http://catalog.hathitrust.org/Record/001943330","HathiTrust Record")</f>
        <v/>
      </c>
      <c r="AS1702">
        <f>HYPERLINK("https://creighton-primo.hosted.exlibrisgroup.com/primo-explore/search?tab=default_tab&amp;search_scope=EVERYTHING&amp;vid=01CRU&amp;lang=en_US&amp;offset=0&amp;query=any,contains,991001528209702656","Catalog Record")</f>
        <v/>
      </c>
      <c r="AT1702">
        <f>HYPERLINK("http://www.worldcat.org/oclc/20014503","WorldCat Record")</f>
        <v/>
      </c>
      <c r="AU1702" t="inlineStr">
        <is>
          <t>21357442:eng</t>
        </is>
      </c>
      <c r="AV1702" t="inlineStr">
        <is>
          <t>20014503</t>
        </is>
      </c>
      <c r="AW1702" t="inlineStr">
        <is>
          <t>991001528209702656</t>
        </is>
      </c>
      <c r="AX1702" t="inlineStr">
        <is>
          <t>991001528209702656</t>
        </is>
      </c>
      <c r="AY1702" t="inlineStr">
        <is>
          <t>2264005210002656</t>
        </is>
      </c>
      <c r="AZ1702" t="inlineStr">
        <is>
          <t>BOOK</t>
        </is>
      </c>
      <c r="BB1702" t="inlineStr">
        <is>
          <t>9780812282023</t>
        </is>
      </c>
      <c r="BC1702" t="inlineStr">
        <is>
          <t>32285000240910</t>
        </is>
      </c>
      <c r="BD1702" t="inlineStr">
        <is>
          <t>893709334</t>
        </is>
      </c>
    </row>
    <row r="1703">
      <c r="A1703" t="inlineStr">
        <is>
          <t>No</t>
        </is>
      </c>
      <c r="B1703" t="inlineStr">
        <is>
          <t>DP302.A47 C828 1984</t>
        </is>
      </c>
      <c r="C1703" t="inlineStr">
        <is>
          <t>0                      DP 0302000A  47                 C  828         1984</t>
        </is>
      </c>
      <c r="D1703" t="inlineStr">
        <is>
          <t>Andalucía : historia de un pueblo (... a. C.-1984) / José Manuel Cuenca Toribio.</t>
        </is>
      </c>
      <c r="F1703" t="inlineStr">
        <is>
          <t>No</t>
        </is>
      </c>
      <c r="G1703" t="inlineStr">
        <is>
          <t>1</t>
        </is>
      </c>
      <c r="H1703" t="inlineStr">
        <is>
          <t>No</t>
        </is>
      </c>
      <c r="I1703" t="inlineStr">
        <is>
          <t>No</t>
        </is>
      </c>
      <c r="J1703" t="inlineStr">
        <is>
          <t>0</t>
        </is>
      </c>
      <c r="K1703" t="inlineStr">
        <is>
          <t>Cuenca Toribio, José Manuel.</t>
        </is>
      </c>
      <c r="L1703" t="inlineStr">
        <is>
          <t>Madrid : Espasa-Calpe, 1984.</t>
        </is>
      </c>
      <c r="M1703" t="inlineStr">
        <is>
          <t>1984</t>
        </is>
      </c>
      <c r="N1703" t="inlineStr">
        <is>
          <t>2. ed. rev. y ampliada.</t>
        </is>
      </c>
      <c r="O1703" t="inlineStr">
        <is>
          <t>spa</t>
        </is>
      </c>
      <c r="P1703" t="inlineStr">
        <is>
          <t xml:space="preserve">sp </t>
        </is>
      </c>
      <c r="R1703" t="inlineStr">
        <is>
          <t xml:space="preserve">DP </t>
        </is>
      </c>
      <c r="S1703" t="n">
        <v>2</v>
      </c>
      <c r="T1703" t="n">
        <v>2</v>
      </c>
      <c r="U1703" t="inlineStr">
        <is>
          <t>2010-01-14</t>
        </is>
      </c>
      <c r="V1703" t="inlineStr">
        <is>
          <t>2010-01-14</t>
        </is>
      </c>
      <c r="W1703" t="inlineStr">
        <is>
          <t>1991-10-22</t>
        </is>
      </c>
      <c r="X1703" t="inlineStr">
        <is>
          <t>1991-10-22</t>
        </is>
      </c>
      <c r="Y1703" t="n">
        <v>20</v>
      </c>
      <c r="Z1703" t="n">
        <v>12</v>
      </c>
      <c r="AA1703" t="n">
        <v>18</v>
      </c>
      <c r="AB1703" t="n">
        <v>1</v>
      </c>
      <c r="AC1703" t="n">
        <v>1</v>
      </c>
      <c r="AD1703" t="n">
        <v>0</v>
      </c>
      <c r="AE1703" t="n">
        <v>0</v>
      </c>
      <c r="AF1703" t="n">
        <v>0</v>
      </c>
      <c r="AG1703" t="n">
        <v>0</v>
      </c>
      <c r="AH1703" t="n">
        <v>0</v>
      </c>
      <c r="AI1703" t="n">
        <v>0</v>
      </c>
      <c r="AJ1703" t="n">
        <v>0</v>
      </c>
      <c r="AK1703" t="n">
        <v>0</v>
      </c>
      <c r="AL1703" t="n">
        <v>0</v>
      </c>
      <c r="AM1703" t="n">
        <v>0</v>
      </c>
      <c r="AN1703" t="n">
        <v>0</v>
      </c>
      <c r="AO1703" t="n">
        <v>0</v>
      </c>
      <c r="AP1703" t="inlineStr">
        <is>
          <t>No</t>
        </is>
      </c>
      <c r="AQ1703" t="inlineStr">
        <is>
          <t>Yes</t>
        </is>
      </c>
      <c r="AR1703">
        <f>HYPERLINK("http://catalog.hathitrust.org/Record/000355482","HathiTrust Record")</f>
        <v/>
      </c>
      <c r="AS1703">
        <f>HYPERLINK("https://creighton-primo.hosted.exlibrisgroup.com/primo-explore/search?tab=default_tab&amp;search_scope=EVERYTHING&amp;vid=01CRU&amp;lang=en_US&amp;offset=0&amp;query=any,contains,991000727449702656","Catalog Record")</f>
        <v/>
      </c>
      <c r="AT1703">
        <f>HYPERLINK("http://www.worldcat.org/oclc/12710179","WorldCat Record")</f>
        <v/>
      </c>
      <c r="AU1703" t="inlineStr">
        <is>
          <t>5090491526:spa</t>
        </is>
      </c>
      <c r="AV1703" t="inlineStr">
        <is>
          <t>12710179</t>
        </is>
      </c>
      <c r="AW1703" t="inlineStr">
        <is>
          <t>991000727449702656</t>
        </is>
      </c>
      <c r="AX1703" t="inlineStr">
        <is>
          <t>991000727449702656</t>
        </is>
      </c>
      <c r="AY1703" t="inlineStr">
        <is>
          <t>2268097680002656</t>
        </is>
      </c>
      <c r="AZ1703" t="inlineStr">
        <is>
          <t>BOOK</t>
        </is>
      </c>
      <c r="BB1703" t="inlineStr">
        <is>
          <t>9788423949601</t>
        </is>
      </c>
      <c r="BC1703" t="inlineStr">
        <is>
          <t>32285000653393</t>
        </is>
      </c>
      <c r="BD1703" t="inlineStr">
        <is>
          <t>893595818</t>
        </is>
      </c>
    </row>
    <row r="1704">
      <c r="A1704" t="inlineStr">
        <is>
          <t>No</t>
        </is>
      </c>
      <c r="B1704" t="inlineStr">
        <is>
          <t>DP302.A47 H57 1982</t>
        </is>
      </c>
      <c r="C1704" t="inlineStr">
        <is>
          <t>0                      DP 0302000A  47                 H  57          1982</t>
        </is>
      </c>
      <c r="D1704" t="inlineStr">
        <is>
          <t>Historia de Andalucía.</t>
        </is>
      </c>
      <c r="E1704" t="inlineStr">
        <is>
          <t>V.6</t>
        </is>
      </c>
      <c r="F1704" t="inlineStr">
        <is>
          <t>Yes</t>
        </is>
      </c>
      <c r="G1704" t="inlineStr">
        <is>
          <t>1</t>
        </is>
      </c>
      <c r="H1704" t="inlineStr">
        <is>
          <t>No</t>
        </is>
      </c>
      <c r="I1704" t="inlineStr">
        <is>
          <t>No</t>
        </is>
      </c>
      <c r="J1704" t="inlineStr">
        <is>
          <t>0</t>
        </is>
      </c>
      <c r="L1704" t="inlineStr">
        <is>
          <t>Madrid : CUPSA ; Barcelona : Planeta, c1982-c1984.</t>
        </is>
      </c>
      <c r="M1704" t="inlineStr">
        <is>
          <t>1982</t>
        </is>
      </c>
      <c r="O1704" t="inlineStr">
        <is>
          <t>spa</t>
        </is>
      </c>
      <c r="P1704" t="inlineStr">
        <is>
          <t xml:space="preserve">sp </t>
        </is>
      </c>
      <c r="R1704" t="inlineStr">
        <is>
          <t xml:space="preserve">DP </t>
        </is>
      </c>
      <c r="S1704" t="n">
        <v>0</v>
      </c>
      <c r="T1704" t="n">
        <v>0</v>
      </c>
      <c r="U1704" t="inlineStr">
        <is>
          <t>2007-10-24</t>
        </is>
      </c>
      <c r="V1704" t="inlineStr">
        <is>
          <t>2007-10-24</t>
        </is>
      </c>
      <c r="W1704" t="inlineStr">
        <is>
          <t>1991-10-22</t>
        </is>
      </c>
      <c r="X1704" t="inlineStr">
        <is>
          <t>1991-10-22</t>
        </is>
      </c>
      <c r="Y1704" t="n">
        <v>13</v>
      </c>
      <c r="Z1704" t="n">
        <v>11</v>
      </c>
      <c r="AA1704" t="n">
        <v>13</v>
      </c>
      <c r="AB1704" t="n">
        <v>1</v>
      </c>
      <c r="AC1704" t="n">
        <v>1</v>
      </c>
      <c r="AD1704" t="n">
        <v>0</v>
      </c>
      <c r="AE1704" t="n">
        <v>0</v>
      </c>
      <c r="AF1704" t="n">
        <v>0</v>
      </c>
      <c r="AG1704" t="n">
        <v>0</v>
      </c>
      <c r="AH1704" t="n">
        <v>0</v>
      </c>
      <c r="AI1704" t="n">
        <v>0</v>
      </c>
      <c r="AJ1704" t="n">
        <v>0</v>
      </c>
      <c r="AK1704" t="n">
        <v>0</v>
      </c>
      <c r="AL1704" t="n">
        <v>0</v>
      </c>
      <c r="AM1704" t="n">
        <v>0</v>
      </c>
      <c r="AN1704" t="n">
        <v>0</v>
      </c>
      <c r="AO1704" t="n">
        <v>0</v>
      </c>
      <c r="AP1704" t="inlineStr">
        <is>
          <t>No</t>
        </is>
      </c>
      <c r="AQ1704" t="inlineStr">
        <is>
          <t>Yes</t>
        </is>
      </c>
      <c r="AR1704">
        <f>HYPERLINK("http://catalog.hathitrust.org/Record/010686859","HathiTrust Record")</f>
        <v/>
      </c>
      <c r="AS1704">
        <f>HYPERLINK("https://creighton-primo.hosted.exlibrisgroup.com/primo-explore/search?tab=default_tab&amp;search_scope=EVERYTHING&amp;vid=01CRU&amp;lang=en_US&amp;offset=0&amp;query=any,contains,991000611629702656","Catalog Record")</f>
        <v/>
      </c>
      <c r="AT1704">
        <f>HYPERLINK("http://www.worldcat.org/oclc/11916080","WorldCat Record")</f>
        <v/>
      </c>
      <c r="AU1704" t="inlineStr">
        <is>
          <t>2909616663:spa</t>
        </is>
      </c>
      <c r="AV1704" t="inlineStr">
        <is>
          <t>11916080</t>
        </is>
      </c>
      <c r="AW1704" t="inlineStr">
        <is>
          <t>991000611629702656</t>
        </is>
      </c>
      <c r="AX1704" t="inlineStr">
        <is>
          <t>991000611629702656</t>
        </is>
      </c>
      <c r="AY1704" t="inlineStr">
        <is>
          <t>2270376090002656</t>
        </is>
      </c>
      <c r="AZ1704" t="inlineStr">
        <is>
          <t>BOOK</t>
        </is>
      </c>
      <c r="BB1704" t="inlineStr">
        <is>
          <t>9788439001898</t>
        </is>
      </c>
      <c r="BC1704" t="inlineStr">
        <is>
          <t>32285000653450</t>
        </is>
      </c>
      <c r="BD1704" t="inlineStr">
        <is>
          <t>893708527</t>
        </is>
      </c>
    </row>
    <row r="1705">
      <c r="A1705" t="inlineStr">
        <is>
          <t>No</t>
        </is>
      </c>
      <c r="B1705" t="inlineStr">
        <is>
          <t>DP302.A47 H57 1982</t>
        </is>
      </c>
      <c r="C1705" t="inlineStr">
        <is>
          <t>0                      DP 0302000A  47                 H  57          1982</t>
        </is>
      </c>
      <c r="D1705" t="inlineStr">
        <is>
          <t>Historia de Andalucía.</t>
        </is>
      </c>
      <c r="E1705" t="inlineStr">
        <is>
          <t>V.5</t>
        </is>
      </c>
      <c r="F1705" t="inlineStr">
        <is>
          <t>Yes</t>
        </is>
      </c>
      <c r="G1705" t="inlineStr">
        <is>
          <t>1</t>
        </is>
      </c>
      <c r="H1705" t="inlineStr">
        <is>
          <t>No</t>
        </is>
      </c>
      <c r="I1705" t="inlineStr">
        <is>
          <t>No</t>
        </is>
      </c>
      <c r="J1705" t="inlineStr">
        <is>
          <t>0</t>
        </is>
      </c>
      <c r="L1705" t="inlineStr">
        <is>
          <t>Madrid : CUPSA ; Barcelona : Planeta, c1982-c1984.</t>
        </is>
      </c>
      <c r="M1705" t="inlineStr">
        <is>
          <t>1982</t>
        </is>
      </c>
      <c r="O1705" t="inlineStr">
        <is>
          <t>spa</t>
        </is>
      </c>
      <c r="P1705" t="inlineStr">
        <is>
          <t xml:space="preserve">sp </t>
        </is>
      </c>
      <c r="R1705" t="inlineStr">
        <is>
          <t xml:space="preserve">DP </t>
        </is>
      </c>
      <c r="S1705" t="n">
        <v>0</v>
      </c>
      <c r="T1705" t="n">
        <v>0</v>
      </c>
      <c r="U1705" t="inlineStr">
        <is>
          <t>2007-10-24</t>
        </is>
      </c>
      <c r="V1705" t="inlineStr">
        <is>
          <t>2007-10-24</t>
        </is>
      </c>
      <c r="W1705" t="inlineStr">
        <is>
          <t>1991-10-22</t>
        </is>
      </c>
      <c r="X1705" t="inlineStr">
        <is>
          <t>1991-10-22</t>
        </is>
      </c>
      <c r="Y1705" t="n">
        <v>13</v>
      </c>
      <c r="Z1705" t="n">
        <v>11</v>
      </c>
      <c r="AA1705" t="n">
        <v>13</v>
      </c>
      <c r="AB1705" t="n">
        <v>1</v>
      </c>
      <c r="AC1705" t="n">
        <v>1</v>
      </c>
      <c r="AD1705" t="n">
        <v>0</v>
      </c>
      <c r="AE1705" t="n">
        <v>0</v>
      </c>
      <c r="AF1705" t="n">
        <v>0</v>
      </c>
      <c r="AG1705" t="n">
        <v>0</v>
      </c>
      <c r="AH1705" t="n">
        <v>0</v>
      </c>
      <c r="AI1705" t="n">
        <v>0</v>
      </c>
      <c r="AJ1705" t="n">
        <v>0</v>
      </c>
      <c r="AK1705" t="n">
        <v>0</v>
      </c>
      <c r="AL1705" t="n">
        <v>0</v>
      </c>
      <c r="AM1705" t="n">
        <v>0</v>
      </c>
      <c r="AN1705" t="n">
        <v>0</v>
      </c>
      <c r="AO1705" t="n">
        <v>0</v>
      </c>
      <c r="AP1705" t="inlineStr">
        <is>
          <t>No</t>
        </is>
      </c>
      <c r="AQ1705" t="inlineStr">
        <is>
          <t>Yes</t>
        </is>
      </c>
      <c r="AR1705">
        <f>HYPERLINK("http://catalog.hathitrust.org/Record/010686859","HathiTrust Record")</f>
        <v/>
      </c>
      <c r="AS1705">
        <f>HYPERLINK("https://creighton-primo.hosted.exlibrisgroup.com/primo-explore/search?tab=default_tab&amp;search_scope=EVERYTHING&amp;vid=01CRU&amp;lang=en_US&amp;offset=0&amp;query=any,contains,991000611629702656","Catalog Record")</f>
        <v/>
      </c>
      <c r="AT1705">
        <f>HYPERLINK("http://www.worldcat.org/oclc/11916080","WorldCat Record")</f>
        <v/>
      </c>
      <c r="AU1705" t="inlineStr">
        <is>
          <t>2909616663:spa</t>
        </is>
      </c>
      <c r="AV1705" t="inlineStr">
        <is>
          <t>11916080</t>
        </is>
      </c>
      <c r="AW1705" t="inlineStr">
        <is>
          <t>991000611629702656</t>
        </is>
      </c>
      <c r="AX1705" t="inlineStr">
        <is>
          <t>991000611629702656</t>
        </is>
      </c>
      <c r="AY1705" t="inlineStr">
        <is>
          <t>2270376090002656</t>
        </is>
      </c>
      <c r="AZ1705" t="inlineStr">
        <is>
          <t>BOOK</t>
        </is>
      </c>
      <c r="BB1705" t="inlineStr">
        <is>
          <t>9788439001898</t>
        </is>
      </c>
      <c r="BC1705" t="inlineStr">
        <is>
          <t>32285000653443</t>
        </is>
      </c>
      <c r="BD1705" t="inlineStr">
        <is>
          <t>893683581</t>
        </is>
      </c>
    </row>
    <row r="1706">
      <c r="A1706" t="inlineStr">
        <is>
          <t>No</t>
        </is>
      </c>
      <c r="B1706" t="inlineStr">
        <is>
          <t>DP302.A47 H57 1982</t>
        </is>
      </c>
      <c r="C1706" t="inlineStr">
        <is>
          <t>0                      DP 0302000A  47                 H  57          1982</t>
        </is>
      </c>
      <c r="D1706" t="inlineStr">
        <is>
          <t>Historia de Andalucía.</t>
        </is>
      </c>
      <c r="E1706" t="inlineStr">
        <is>
          <t>V.3</t>
        </is>
      </c>
      <c r="F1706" t="inlineStr">
        <is>
          <t>Yes</t>
        </is>
      </c>
      <c r="G1706" t="inlineStr">
        <is>
          <t>1</t>
        </is>
      </c>
      <c r="H1706" t="inlineStr">
        <is>
          <t>No</t>
        </is>
      </c>
      <c r="I1706" t="inlineStr">
        <is>
          <t>No</t>
        </is>
      </c>
      <c r="J1706" t="inlineStr">
        <is>
          <t>0</t>
        </is>
      </c>
      <c r="L1706" t="inlineStr">
        <is>
          <t>Madrid : CUPSA ; Barcelona : Planeta, c1982-c1984.</t>
        </is>
      </c>
      <c r="M1706" t="inlineStr">
        <is>
          <t>1982</t>
        </is>
      </c>
      <c r="O1706" t="inlineStr">
        <is>
          <t>spa</t>
        </is>
      </c>
      <c r="P1706" t="inlineStr">
        <is>
          <t xml:space="preserve">sp </t>
        </is>
      </c>
      <c r="R1706" t="inlineStr">
        <is>
          <t xml:space="preserve">DP </t>
        </is>
      </c>
      <c r="S1706" t="n">
        <v>0</v>
      </c>
      <c r="T1706" t="n">
        <v>0</v>
      </c>
      <c r="U1706" t="inlineStr">
        <is>
          <t>2007-10-24</t>
        </is>
      </c>
      <c r="V1706" t="inlineStr">
        <is>
          <t>2007-10-24</t>
        </is>
      </c>
      <c r="W1706" t="inlineStr">
        <is>
          <t>1991-10-22</t>
        </is>
      </c>
      <c r="X1706" t="inlineStr">
        <is>
          <t>1991-10-22</t>
        </is>
      </c>
      <c r="Y1706" t="n">
        <v>13</v>
      </c>
      <c r="Z1706" t="n">
        <v>11</v>
      </c>
      <c r="AA1706" t="n">
        <v>13</v>
      </c>
      <c r="AB1706" t="n">
        <v>1</v>
      </c>
      <c r="AC1706" t="n">
        <v>1</v>
      </c>
      <c r="AD1706" t="n">
        <v>0</v>
      </c>
      <c r="AE1706" t="n">
        <v>0</v>
      </c>
      <c r="AF1706" t="n">
        <v>0</v>
      </c>
      <c r="AG1706" t="n">
        <v>0</v>
      </c>
      <c r="AH1706" t="n">
        <v>0</v>
      </c>
      <c r="AI1706" t="n">
        <v>0</v>
      </c>
      <c r="AJ1706" t="n">
        <v>0</v>
      </c>
      <c r="AK1706" t="n">
        <v>0</v>
      </c>
      <c r="AL1706" t="n">
        <v>0</v>
      </c>
      <c r="AM1706" t="n">
        <v>0</v>
      </c>
      <c r="AN1706" t="n">
        <v>0</v>
      </c>
      <c r="AO1706" t="n">
        <v>0</v>
      </c>
      <c r="AP1706" t="inlineStr">
        <is>
          <t>No</t>
        </is>
      </c>
      <c r="AQ1706" t="inlineStr">
        <is>
          <t>Yes</t>
        </is>
      </c>
      <c r="AR1706">
        <f>HYPERLINK("http://catalog.hathitrust.org/Record/010686859","HathiTrust Record")</f>
        <v/>
      </c>
      <c r="AS1706">
        <f>HYPERLINK("https://creighton-primo.hosted.exlibrisgroup.com/primo-explore/search?tab=default_tab&amp;search_scope=EVERYTHING&amp;vid=01CRU&amp;lang=en_US&amp;offset=0&amp;query=any,contains,991000611629702656","Catalog Record")</f>
        <v/>
      </c>
      <c r="AT1706">
        <f>HYPERLINK("http://www.worldcat.org/oclc/11916080","WorldCat Record")</f>
        <v/>
      </c>
      <c r="AU1706" t="inlineStr">
        <is>
          <t>2909616663:spa</t>
        </is>
      </c>
      <c r="AV1706" t="inlineStr">
        <is>
          <t>11916080</t>
        </is>
      </c>
      <c r="AW1706" t="inlineStr">
        <is>
          <t>991000611629702656</t>
        </is>
      </c>
      <c r="AX1706" t="inlineStr">
        <is>
          <t>991000611629702656</t>
        </is>
      </c>
      <c r="AY1706" t="inlineStr">
        <is>
          <t>2270376090002656</t>
        </is>
      </c>
      <c r="AZ1706" t="inlineStr">
        <is>
          <t>BOOK</t>
        </is>
      </c>
      <c r="BB1706" t="inlineStr">
        <is>
          <t>9788439001898</t>
        </is>
      </c>
      <c r="BC1706" t="inlineStr">
        <is>
          <t>32285000653427</t>
        </is>
      </c>
      <c r="BD1706" t="inlineStr">
        <is>
          <t>893702271</t>
        </is>
      </c>
    </row>
    <row r="1707">
      <c r="A1707" t="inlineStr">
        <is>
          <t>No</t>
        </is>
      </c>
      <c r="B1707" t="inlineStr">
        <is>
          <t>DP302.A47 H57 1982</t>
        </is>
      </c>
      <c r="C1707" t="inlineStr">
        <is>
          <t>0                      DP 0302000A  47                 H  57          1982</t>
        </is>
      </c>
      <c r="D1707" t="inlineStr">
        <is>
          <t>Historia de Andalucía.</t>
        </is>
      </c>
      <c r="E1707" t="inlineStr">
        <is>
          <t>V.4</t>
        </is>
      </c>
      <c r="F1707" t="inlineStr">
        <is>
          <t>Yes</t>
        </is>
      </c>
      <c r="G1707" t="inlineStr">
        <is>
          <t>1</t>
        </is>
      </c>
      <c r="H1707" t="inlineStr">
        <is>
          <t>No</t>
        </is>
      </c>
      <c r="I1707" t="inlineStr">
        <is>
          <t>No</t>
        </is>
      </c>
      <c r="J1707" t="inlineStr">
        <is>
          <t>0</t>
        </is>
      </c>
      <c r="L1707" t="inlineStr">
        <is>
          <t>Madrid : CUPSA ; Barcelona : Planeta, c1982-c1984.</t>
        </is>
      </c>
      <c r="M1707" t="inlineStr">
        <is>
          <t>1982</t>
        </is>
      </c>
      <c r="O1707" t="inlineStr">
        <is>
          <t>spa</t>
        </is>
      </c>
      <c r="P1707" t="inlineStr">
        <is>
          <t xml:space="preserve">sp </t>
        </is>
      </c>
      <c r="R1707" t="inlineStr">
        <is>
          <t xml:space="preserve">DP </t>
        </is>
      </c>
      <c r="S1707" t="n">
        <v>0</v>
      </c>
      <c r="T1707" t="n">
        <v>0</v>
      </c>
      <c r="U1707" t="inlineStr">
        <is>
          <t>2007-10-24</t>
        </is>
      </c>
      <c r="V1707" t="inlineStr">
        <is>
          <t>2007-10-24</t>
        </is>
      </c>
      <c r="W1707" t="inlineStr">
        <is>
          <t>1991-10-22</t>
        </is>
      </c>
      <c r="X1707" t="inlineStr">
        <is>
          <t>1991-10-22</t>
        </is>
      </c>
      <c r="Y1707" t="n">
        <v>13</v>
      </c>
      <c r="Z1707" t="n">
        <v>11</v>
      </c>
      <c r="AA1707" t="n">
        <v>13</v>
      </c>
      <c r="AB1707" t="n">
        <v>1</v>
      </c>
      <c r="AC1707" t="n">
        <v>1</v>
      </c>
      <c r="AD1707" t="n">
        <v>0</v>
      </c>
      <c r="AE1707" t="n">
        <v>0</v>
      </c>
      <c r="AF1707" t="n">
        <v>0</v>
      </c>
      <c r="AG1707" t="n">
        <v>0</v>
      </c>
      <c r="AH1707" t="n">
        <v>0</v>
      </c>
      <c r="AI1707" t="n">
        <v>0</v>
      </c>
      <c r="AJ1707" t="n">
        <v>0</v>
      </c>
      <c r="AK1707" t="n">
        <v>0</v>
      </c>
      <c r="AL1707" t="n">
        <v>0</v>
      </c>
      <c r="AM1707" t="n">
        <v>0</v>
      </c>
      <c r="AN1707" t="n">
        <v>0</v>
      </c>
      <c r="AO1707" t="n">
        <v>0</v>
      </c>
      <c r="AP1707" t="inlineStr">
        <is>
          <t>No</t>
        </is>
      </c>
      <c r="AQ1707" t="inlineStr">
        <is>
          <t>Yes</t>
        </is>
      </c>
      <c r="AR1707">
        <f>HYPERLINK("http://catalog.hathitrust.org/Record/010686859","HathiTrust Record")</f>
        <v/>
      </c>
      <c r="AS1707">
        <f>HYPERLINK("https://creighton-primo.hosted.exlibrisgroup.com/primo-explore/search?tab=default_tab&amp;search_scope=EVERYTHING&amp;vid=01CRU&amp;lang=en_US&amp;offset=0&amp;query=any,contains,991000611629702656","Catalog Record")</f>
        <v/>
      </c>
      <c r="AT1707">
        <f>HYPERLINK("http://www.worldcat.org/oclc/11916080","WorldCat Record")</f>
        <v/>
      </c>
      <c r="AU1707" t="inlineStr">
        <is>
          <t>2909616663:spa</t>
        </is>
      </c>
      <c r="AV1707" t="inlineStr">
        <is>
          <t>11916080</t>
        </is>
      </c>
      <c r="AW1707" t="inlineStr">
        <is>
          <t>991000611629702656</t>
        </is>
      </c>
      <c r="AX1707" t="inlineStr">
        <is>
          <t>991000611629702656</t>
        </is>
      </c>
      <c r="AY1707" t="inlineStr">
        <is>
          <t>2270376090002656</t>
        </is>
      </c>
      <c r="AZ1707" t="inlineStr">
        <is>
          <t>BOOK</t>
        </is>
      </c>
      <c r="BB1707" t="inlineStr">
        <is>
          <t>9788439001898</t>
        </is>
      </c>
      <c r="BC1707" t="inlineStr">
        <is>
          <t>32285000653435</t>
        </is>
      </c>
      <c r="BD1707" t="inlineStr">
        <is>
          <t>893702270</t>
        </is>
      </c>
    </row>
    <row r="1708">
      <c r="A1708" t="inlineStr">
        <is>
          <t>No</t>
        </is>
      </c>
      <c r="B1708" t="inlineStr">
        <is>
          <t>DP302.A47 H57 1982</t>
        </is>
      </c>
      <c r="C1708" t="inlineStr">
        <is>
          <t>0                      DP 0302000A  47                 H  57          1982</t>
        </is>
      </c>
      <c r="D1708" t="inlineStr">
        <is>
          <t>Historia de Andalucía.</t>
        </is>
      </c>
      <c r="E1708" t="inlineStr">
        <is>
          <t>V.7</t>
        </is>
      </c>
      <c r="F1708" t="inlineStr">
        <is>
          <t>Yes</t>
        </is>
      </c>
      <c r="G1708" t="inlineStr">
        <is>
          <t>1</t>
        </is>
      </c>
      <c r="H1708" t="inlineStr">
        <is>
          <t>No</t>
        </is>
      </c>
      <c r="I1708" t="inlineStr">
        <is>
          <t>No</t>
        </is>
      </c>
      <c r="J1708" t="inlineStr">
        <is>
          <t>0</t>
        </is>
      </c>
      <c r="L1708" t="inlineStr">
        <is>
          <t>Madrid : CUPSA ; Barcelona : Planeta, c1982-c1984.</t>
        </is>
      </c>
      <c r="M1708" t="inlineStr">
        <is>
          <t>1982</t>
        </is>
      </c>
      <c r="O1708" t="inlineStr">
        <is>
          <t>spa</t>
        </is>
      </c>
      <c r="P1708" t="inlineStr">
        <is>
          <t xml:space="preserve">sp </t>
        </is>
      </c>
      <c r="R1708" t="inlineStr">
        <is>
          <t xml:space="preserve">DP </t>
        </is>
      </c>
      <c r="S1708" t="n">
        <v>0</v>
      </c>
      <c r="T1708" t="n">
        <v>0</v>
      </c>
      <c r="U1708" t="inlineStr">
        <is>
          <t>2007-10-24</t>
        </is>
      </c>
      <c r="V1708" t="inlineStr">
        <is>
          <t>2007-10-24</t>
        </is>
      </c>
      <c r="W1708" t="inlineStr">
        <is>
          <t>1991-10-22</t>
        </is>
      </c>
      <c r="X1708" t="inlineStr">
        <is>
          <t>1991-10-22</t>
        </is>
      </c>
      <c r="Y1708" t="n">
        <v>13</v>
      </c>
      <c r="Z1708" t="n">
        <v>11</v>
      </c>
      <c r="AA1708" t="n">
        <v>13</v>
      </c>
      <c r="AB1708" t="n">
        <v>1</v>
      </c>
      <c r="AC1708" t="n">
        <v>1</v>
      </c>
      <c r="AD1708" t="n">
        <v>0</v>
      </c>
      <c r="AE1708" t="n">
        <v>0</v>
      </c>
      <c r="AF1708" t="n">
        <v>0</v>
      </c>
      <c r="AG1708" t="n">
        <v>0</v>
      </c>
      <c r="AH1708" t="n">
        <v>0</v>
      </c>
      <c r="AI1708" t="n">
        <v>0</v>
      </c>
      <c r="AJ1708" t="n">
        <v>0</v>
      </c>
      <c r="AK1708" t="n">
        <v>0</v>
      </c>
      <c r="AL1708" t="n">
        <v>0</v>
      </c>
      <c r="AM1708" t="n">
        <v>0</v>
      </c>
      <c r="AN1708" t="n">
        <v>0</v>
      </c>
      <c r="AO1708" t="n">
        <v>0</v>
      </c>
      <c r="AP1708" t="inlineStr">
        <is>
          <t>No</t>
        </is>
      </c>
      <c r="AQ1708" t="inlineStr">
        <is>
          <t>Yes</t>
        </is>
      </c>
      <c r="AR1708">
        <f>HYPERLINK("http://catalog.hathitrust.org/Record/010686859","HathiTrust Record")</f>
        <v/>
      </c>
      <c r="AS1708">
        <f>HYPERLINK("https://creighton-primo.hosted.exlibrisgroup.com/primo-explore/search?tab=default_tab&amp;search_scope=EVERYTHING&amp;vid=01CRU&amp;lang=en_US&amp;offset=0&amp;query=any,contains,991000611629702656","Catalog Record")</f>
        <v/>
      </c>
      <c r="AT1708">
        <f>HYPERLINK("http://www.worldcat.org/oclc/11916080","WorldCat Record")</f>
        <v/>
      </c>
      <c r="AU1708" t="inlineStr">
        <is>
          <t>2909616663:spa</t>
        </is>
      </c>
      <c r="AV1708" t="inlineStr">
        <is>
          <t>11916080</t>
        </is>
      </c>
      <c r="AW1708" t="inlineStr">
        <is>
          <t>991000611629702656</t>
        </is>
      </c>
      <c r="AX1708" t="inlineStr">
        <is>
          <t>991000611629702656</t>
        </is>
      </c>
      <c r="AY1708" t="inlineStr">
        <is>
          <t>2270376090002656</t>
        </is>
      </c>
      <c r="AZ1708" t="inlineStr">
        <is>
          <t>BOOK</t>
        </is>
      </c>
      <c r="BB1708" t="inlineStr">
        <is>
          <t>9788439001898</t>
        </is>
      </c>
      <c r="BC1708" t="inlineStr">
        <is>
          <t>32285000653468</t>
        </is>
      </c>
      <c r="BD1708" t="inlineStr">
        <is>
          <t>893702269</t>
        </is>
      </c>
    </row>
    <row r="1709">
      <c r="A1709" t="inlineStr">
        <is>
          <t>No</t>
        </is>
      </c>
      <c r="B1709" t="inlineStr">
        <is>
          <t>DP302.A47 H57 1982</t>
        </is>
      </c>
      <c r="C1709" t="inlineStr">
        <is>
          <t>0                      DP 0302000A  47                 H  57          1982</t>
        </is>
      </c>
      <c r="D1709" t="inlineStr">
        <is>
          <t>Historia de Andalucía.</t>
        </is>
      </c>
      <c r="E1709" t="inlineStr">
        <is>
          <t>V.2</t>
        </is>
      </c>
      <c r="F1709" t="inlineStr">
        <is>
          <t>Yes</t>
        </is>
      </c>
      <c r="G1709" t="inlineStr">
        <is>
          <t>1</t>
        </is>
      </c>
      <c r="H1709" t="inlineStr">
        <is>
          <t>No</t>
        </is>
      </c>
      <c r="I1709" t="inlineStr">
        <is>
          <t>No</t>
        </is>
      </c>
      <c r="J1709" t="inlineStr">
        <is>
          <t>0</t>
        </is>
      </c>
      <c r="L1709" t="inlineStr">
        <is>
          <t>Madrid : CUPSA ; Barcelona : Planeta, c1982-c1984.</t>
        </is>
      </c>
      <c r="M1709" t="inlineStr">
        <is>
          <t>1982</t>
        </is>
      </c>
      <c r="O1709" t="inlineStr">
        <is>
          <t>spa</t>
        </is>
      </c>
      <c r="P1709" t="inlineStr">
        <is>
          <t xml:space="preserve">sp </t>
        </is>
      </c>
      <c r="R1709" t="inlineStr">
        <is>
          <t xml:space="preserve">DP </t>
        </is>
      </c>
      <c r="S1709" t="n">
        <v>0</v>
      </c>
      <c r="T1709" t="n">
        <v>0</v>
      </c>
      <c r="U1709" t="inlineStr">
        <is>
          <t>2007-10-24</t>
        </is>
      </c>
      <c r="V1709" t="inlineStr">
        <is>
          <t>2007-10-24</t>
        </is>
      </c>
      <c r="W1709" t="inlineStr">
        <is>
          <t>1991-10-22</t>
        </is>
      </c>
      <c r="X1709" t="inlineStr">
        <is>
          <t>1991-10-22</t>
        </is>
      </c>
      <c r="Y1709" t="n">
        <v>13</v>
      </c>
      <c r="Z1709" t="n">
        <v>11</v>
      </c>
      <c r="AA1709" t="n">
        <v>13</v>
      </c>
      <c r="AB1709" t="n">
        <v>1</v>
      </c>
      <c r="AC1709" t="n">
        <v>1</v>
      </c>
      <c r="AD1709" t="n">
        <v>0</v>
      </c>
      <c r="AE1709" t="n">
        <v>0</v>
      </c>
      <c r="AF1709" t="n">
        <v>0</v>
      </c>
      <c r="AG1709" t="n">
        <v>0</v>
      </c>
      <c r="AH1709" t="n">
        <v>0</v>
      </c>
      <c r="AI1709" t="n">
        <v>0</v>
      </c>
      <c r="AJ1709" t="n">
        <v>0</v>
      </c>
      <c r="AK1709" t="n">
        <v>0</v>
      </c>
      <c r="AL1709" t="n">
        <v>0</v>
      </c>
      <c r="AM1709" t="n">
        <v>0</v>
      </c>
      <c r="AN1709" t="n">
        <v>0</v>
      </c>
      <c r="AO1709" t="n">
        <v>0</v>
      </c>
      <c r="AP1709" t="inlineStr">
        <is>
          <t>No</t>
        </is>
      </c>
      <c r="AQ1709" t="inlineStr">
        <is>
          <t>Yes</t>
        </is>
      </c>
      <c r="AR1709">
        <f>HYPERLINK("http://catalog.hathitrust.org/Record/010686859","HathiTrust Record")</f>
        <v/>
      </c>
      <c r="AS1709">
        <f>HYPERLINK("https://creighton-primo.hosted.exlibrisgroup.com/primo-explore/search?tab=default_tab&amp;search_scope=EVERYTHING&amp;vid=01CRU&amp;lang=en_US&amp;offset=0&amp;query=any,contains,991000611629702656","Catalog Record")</f>
        <v/>
      </c>
      <c r="AT1709">
        <f>HYPERLINK("http://www.worldcat.org/oclc/11916080","WorldCat Record")</f>
        <v/>
      </c>
      <c r="AU1709" t="inlineStr">
        <is>
          <t>2909616663:spa</t>
        </is>
      </c>
      <c r="AV1709" t="inlineStr">
        <is>
          <t>11916080</t>
        </is>
      </c>
      <c r="AW1709" t="inlineStr">
        <is>
          <t>991000611629702656</t>
        </is>
      </c>
      <c r="AX1709" t="inlineStr">
        <is>
          <t>991000611629702656</t>
        </is>
      </c>
      <c r="AY1709" t="inlineStr">
        <is>
          <t>2270376090002656</t>
        </is>
      </c>
      <c r="AZ1709" t="inlineStr">
        <is>
          <t>BOOK</t>
        </is>
      </c>
      <c r="BB1709" t="inlineStr">
        <is>
          <t>9788439001898</t>
        </is>
      </c>
      <c r="BC1709" t="inlineStr">
        <is>
          <t>32285000653419</t>
        </is>
      </c>
      <c r="BD1709" t="inlineStr">
        <is>
          <t>893702272</t>
        </is>
      </c>
    </row>
    <row r="1710">
      <c r="A1710" t="inlineStr">
        <is>
          <t>No</t>
        </is>
      </c>
      <c r="B1710" t="inlineStr">
        <is>
          <t>DP302.A47 H57 1982</t>
        </is>
      </c>
      <c r="C1710" t="inlineStr">
        <is>
          <t>0                      DP 0302000A  47                 H  57          1982</t>
        </is>
      </c>
      <c r="D1710" t="inlineStr">
        <is>
          <t>Historia de Andalucía.</t>
        </is>
      </c>
      <c r="E1710" t="inlineStr">
        <is>
          <t>V.1</t>
        </is>
      </c>
      <c r="F1710" t="inlineStr">
        <is>
          <t>Yes</t>
        </is>
      </c>
      <c r="G1710" t="inlineStr">
        <is>
          <t>1</t>
        </is>
      </c>
      <c r="H1710" t="inlineStr">
        <is>
          <t>No</t>
        </is>
      </c>
      <c r="I1710" t="inlineStr">
        <is>
          <t>No</t>
        </is>
      </c>
      <c r="J1710" t="inlineStr">
        <is>
          <t>0</t>
        </is>
      </c>
      <c r="L1710" t="inlineStr">
        <is>
          <t>Madrid : CUPSA ; Barcelona : Planeta, c1982-c1984.</t>
        </is>
      </c>
      <c r="M1710" t="inlineStr">
        <is>
          <t>1982</t>
        </is>
      </c>
      <c r="O1710" t="inlineStr">
        <is>
          <t>spa</t>
        </is>
      </c>
      <c r="P1710" t="inlineStr">
        <is>
          <t xml:space="preserve">sp </t>
        </is>
      </c>
      <c r="R1710" t="inlineStr">
        <is>
          <t xml:space="preserve">DP </t>
        </is>
      </c>
      <c r="S1710" t="n">
        <v>0</v>
      </c>
      <c r="T1710" t="n">
        <v>0</v>
      </c>
      <c r="U1710" t="inlineStr">
        <is>
          <t>2007-10-24</t>
        </is>
      </c>
      <c r="V1710" t="inlineStr">
        <is>
          <t>2007-10-24</t>
        </is>
      </c>
      <c r="W1710" t="inlineStr">
        <is>
          <t>1991-10-22</t>
        </is>
      </c>
      <c r="X1710" t="inlineStr">
        <is>
          <t>1991-10-22</t>
        </is>
      </c>
      <c r="Y1710" t="n">
        <v>13</v>
      </c>
      <c r="Z1710" t="n">
        <v>11</v>
      </c>
      <c r="AA1710" t="n">
        <v>13</v>
      </c>
      <c r="AB1710" t="n">
        <v>1</v>
      </c>
      <c r="AC1710" t="n">
        <v>1</v>
      </c>
      <c r="AD1710" t="n">
        <v>0</v>
      </c>
      <c r="AE1710" t="n">
        <v>0</v>
      </c>
      <c r="AF1710" t="n">
        <v>0</v>
      </c>
      <c r="AG1710" t="n">
        <v>0</v>
      </c>
      <c r="AH1710" t="n">
        <v>0</v>
      </c>
      <c r="AI1710" t="n">
        <v>0</v>
      </c>
      <c r="AJ1710" t="n">
        <v>0</v>
      </c>
      <c r="AK1710" t="n">
        <v>0</v>
      </c>
      <c r="AL1710" t="n">
        <v>0</v>
      </c>
      <c r="AM1710" t="n">
        <v>0</v>
      </c>
      <c r="AN1710" t="n">
        <v>0</v>
      </c>
      <c r="AO1710" t="n">
        <v>0</v>
      </c>
      <c r="AP1710" t="inlineStr">
        <is>
          <t>No</t>
        </is>
      </c>
      <c r="AQ1710" t="inlineStr">
        <is>
          <t>Yes</t>
        </is>
      </c>
      <c r="AR1710">
        <f>HYPERLINK("http://catalog.hathitrust.org/Record/010686859","HathiTrust Record")</f>
        <v/>
      </c>
      <c r="AS1710">
        <f>HYPERLINK("https://creighton-primo.hosted.exlibrisgroup.com/primo-explore/search?tab=default_tab&amp;search_scope=EVERYTHING&amp;vid=01CRU&amp;lang=en_US&amp;offset=0&amp;query=any,contains,991000611629702656","Catalog Record")</f>
        <v/>
      </c>
      <c r="AT1710">
        <f>HYPERLINK("http://www.worldcat.org/oclc/11916080","WorldCat Record")</f>
        <v/>
      </c>
      <c r="AU1710" t="inlineStr">
        <is>
          <t>2909616663:spa</t>
        </is>
      </c>
      <c r="AV1710" t="inlineStr">
        <is>
          <t>11916080</t>
        </is>
      </c>
      <c r="AW1710" t="inlineStr">
        <is>
          <t>991000611629702656</t>
        </is>
      </c>
      <c r="AX1710" t="inlineStr">
        <is>
          <t>991000611629702656</t>
        </is>
      </c>
      <c r="AY1710" t="inlineStr">
        <is>
          <t>2270376090002656</t>
        </is>
      </c>
      <c r="AZ1710" t="inlineStr">
        <is>
          <t>BOOK</t>
        </is>
      </c>
      <c r="BB1710" t="inlineStr">
        <is>
          <t>9788439001898</t>
        </is>
      </c>
      <c r="BC1710" t="inlineStr">
        <is>
          <t>32285000653401</t>
        </is>
      </c>
      <c r="BD1710" t="inlineStr">
        <is>
          <t>893689857</t>
        </is>
      </c>
    </row>
    <row r="1711">
      <c r="A1711" t="inlineStr">
        <is>
          <t>No</t>
        </is>
      </c>
      <c r="B1711" t="inlineStr">
        <is>
          <t>DP302.A47 H57 1982</t>
        </is>
      </c>
      <c r="C1711" t="inlineStr">
        <is>
          <t>0                      DP 0302000A  47                 H  57          1982</t>
        </is>
      </c>
      <c r="D1711" t="inlineStr">
        <is>
          <t>Historia de Andalucía.</t>
        </is>
      </c>
      <c r="E1711" t="inlineStr">
        <is>
          <t>V.8</t>
        </is>
      </c>
      <c r="F1711" t="inlineStr">
        <is>
          <t>Yes</t>
        </is>
      </c>
      <c r="G1711" t="inlineStr">
        <is>
          <t>1</t>
        </is>
      </c>
      <c r="H1711" t="inlineStr">
        <is>
          <t>No</t>
        </is>
      </c>
      <c r="I1711" t="inlineStr">
        <is>
          <t>No</t>
        </is>
      </c>
      <c r="J1711" t="inlineStr">
        <is>
          <t>0</t>
        </is>
      </c>
      <c r="L1711" t="inlineStr">
        <is>
          <t>Madrid : CUPSA ; Barcelona : Planeta, c1982-c1984.</t>
        </is>
      </c>
      <c r="M1711" t="inlineStr">
        <is>
          <t>1982</t>
        </is>
      </c>
      <c r="O1711" t="inlineStr">
        <is>
          <t>spa</t>
        </is>
      </c>
      <c r="P1711" t="inlineStr">
        <is>
          <t xml:space="preserve">sp </t>
        </is>
      </c>
      <c r="R1711" t="inlineStr">
        <is>
          <t xml:space="preserve">DP </t>
        </is>
      </c>
      <c r="S1711" t="n">
        <v>0</v>
      </c>
      <c r="T1711" t="n">
        <v>0</v>
      </c>
      <c r="U1711" t="inlineStr">
        <is>
          <t>2007-10-24</t>
        </is>
      </c>
      <c r="V1711" t="inlineStr">
        <is>
          <t>2007-10-24</t>
        </is>
      </c>
      <c r="W1711" t="inlineStr">
        <is>
          <t>1991-10-22</t>
        </is>
      </c>
      <c r="X1711" t="inlineStr">
        <is>
          <t>1991-10-22</t>
        </is>
      </c>
      <c r="Y1711" t="n">
        <v>13</v>
      </c>
      <c r="Z1711" t="n">
        <v>11</v>
      </c>
      <c r="AA1711" t="n">
        <v>13</v>
      </c>
      <c r="AB1711" t="n">
        <v>1</v>
      </c>
      <c r="AC1711" t="n">
        <v>1</v>
      </c>
      <c r="AD1711" t="n">
        <v>0</v>
      </c>
      <c r="AE1711" t="n">
        <v>0</v>
      </c>
      <c r="AF1711" t="n">
        <v>0</v>
      </c>
      <c r="AG1711" t="n">
        <v>0</v>
      </c>
      <c r="AH1711" t="n">
        <v>0</v>
      </c>
      <c r="AI1711" t="n">
        <v>0</v>
      </c>
      <c r="AJ1711" t="n">
        <v>0</v>
      </c>
      <c r="AK1711" t="n">
        <v>0</v>
      </c>
      <c r="AL1711" t="n">
        <v>0</v>
      </c>
      <c r="AM1711" t="n">
        <v>0</v>
      </c>
      <c r="AN1711" t="n">
        <v>0</v>
      </c>
      <c r="AO1711" t="n">
        <v>0</v>
      </c>
      <c r="AP1711" t="inlineStr">
        <is>
          <t>No</t>
        </is>
      </c>
      <c r="AQ1711" t="inlineStr">
        <is>
          <t>Yes</t>
        </is>
      </c>
      <c r="AR1711">
        <f>HYPERLINK("http://catalog.hathitrust.org/Record/010686859","HathiTrust Record")</f>
        <v/>
      </c>
      <c r="AS1711">
        <f>HYPERLINK("https://creighton-primo.hosted.exlibrisgroup.com/primo-explore/search?tab=default_tab&amp;search_scope=EVERYTHING&amp;vid=01CRU&amp;lang=en_US&amp;offset=0&amp;query=any,contains,991000611629702656","Catalog Record")</f>
        <v/>
      </c>
      <c r="AT1711">
        <f>HYPERLINK("http://www.worldcat.org/oclc/11916080","WorldCat Record")</f>
        <v/>
      </c>
      <c r="AU1711" t="inlineStr">
        <is>
          <t>2909616663:spa</t>
        </is>
      </c>
      <c r="AV1711" t="inlineStr">
        <is>
          <t>11916080</t>
        </is>
      </c>
      <c r="AW1711" t="inlineStr">
        <is>
          <t>991000611629702656</t>
        </is>
      </c>
      <c r="AX1711" t="inlineStr">
        <is>
          <t>991000611629702656</t>
        </is>
      </c>
      <c r="AY1711" t="inlineStr">
        <is>
          <t>2270376090002656</t>
        </is>
      </c>
      <c r="AZ1711" t="inlineStr">
        <is>
          <t>BOOK</t>
        </is>
      </c>
      <c r="BB1711" t="inlineStr">
        <is>
          <t>9788439001898</t>
        </is>
      </c>
      <c r="BC1711" t="inlineStr">
        <is>
          <t>32285000653476</t>
        </is>
      </c>
      <c r="BD1711" t="inlineStr">
        <is>
          <t>893683580</t>
        </is>
      </c>
    </row>
    <row r="1712">
      <c r="A1712" t="inlineStr">
        <is>
          <t>No</t>
        </is>
      </c>
      <c r="B1712" t="inlineStr">
        <is>
          <t>DP302.A47 H57 1982</t>
        </is>
      </c>
      <c r="C1712" t="inlineStr">
        <is>
          <t>0                      DP 0302000A  47                 H  57          1982</t>
        </is>
      </c>
      <c r="D1712" t="inlineStr">
        <is>
          <t>Historia de Andalucía.</t>
        </is>
      </c>
      <c r="E1712" t="inlineStr">
        <is>
          <t>V.9</t>
        </is>
      </c>
      <c r="F1712" t="inlineStr">
        <is>
          <t>Yes</t>
        </is>
      </c>
      <c r="G1712" t="inlineStr">
        <is>
          <t>1</t>
        </is>
      </c>
      <c r="H1712" t="inlineStr">
        <is>
          <t>No</t>
        </is>
      </c>
      <c r="I1712" t="inlineStr">
        <is>
          <t>No</t>
        </is>
      </c>
      <c r="J1712" t="inlineStr">
        <is>
          <t>0</t>
        </is>
      </c>
      <c r="L1712" t="inlineStr">
        <is>
          <t>Madrid : CUPSA ; Barcelona : Planeta, c1982-c1984.</t>
        </is>
      </c>
      <c r="M1712" t="inlineStr">
        <is>
          <t>1982</t>
        </is>
      </c>
      <c r="O1712" t="inlineStr">
        <is>
          <t>spa</t>
        </is>
      </c>
      <c r="P1712" t="inlineStr">
        <is>
          <t xml:space="preserve">sp </t>
        </is>
      </c>
      <c r="R1712" t="inlineStr">
        <is>
          <t xml:space="preserve">DP </t>
        </is>
      </c>
      <c r="S1712" t="n">
        <v>0</v>
      </c>
      <c r="T1712" t="n">
        <v>0</v>
      </c>
      <c r="U1712" t="inlineStr">
        <is>
          <t>2007-10-24</t>
        </is>
      </c>
      <c r="V1712" t="inlineStr">
        <is>
          <t>2007-10-24</t>
        </is>
      </c>
      <c r="W1712" t="inlineStr">
        <is>
          <t>1991-10-22</t>
        </is>
      </c>
      <c r="X1712" t="inlineStr">
        <is>
          <t>1991-10-22</t>
        </is>
      </c>
      <c r="Y1712" t="n">
        <v>13</v>
      </c>
      <c r="Z1712" t="n">
        <v>11</v>
      </c>
      <c r="AA1712" t="n">
        <v>13</v>
      </c>
      <c r="AB1712" t="n">
        <v>1</v>
      </c>
      <c r="AC1712" t="n">
        <v>1</v>
      </c>
      <c r="AD1712" t="n">
        <v>0</v>
      </c>
      <c r="AE1712" t="n">
        <v>0</v>
      </c>
      <c r="AF1712" t="n">
        <v>0</v>
      </c>
      <c r="AG1712" t="n">
        <v>0</v>
      </c>
      <c r="AH1712" t="n">
        <v>0</v>
      </c>
      <c r="AI1712" t="n">
        <v>0</v>
      </c>
      <c r="AJ1712" t="n">
        <v>0</v>
      </c>
      <c r="AK1712" t="n">
        <v>0</v>
      </c>
      <c r="AL1712" t="n">
        <v>0</v>
      </c>
      <c r="AM1712" t="n">
        <v>0</v>
      </c>
      <c r="AN1712" t="n">
        <v>0</v>
      </c>
      <c r="AO1712" t="n">
        <v>0</v>
      </c>
      <c r="AP1712" t="inlineStr">
        <is>
          <t>No</t>
        </is>
      </c>
      <c r="AQ1712" t="inlineStr">
        <is>
          <t>Yes</t>
        </is>
      </c>
      <c r="AR1712">
        <f>HYPERLINK("http://catalog.hathitrust.org/Record/010686859","HathiTrust Record")</f>
        <v/>
      </c>
      <c r="AS1712">
        <f>HYPERLINK("https://creighton-primo.hosted.exlibrisgroup.com/primo-explore/search?tab=default_tab&amp;search_scope=EVERYTHING&amp;vid=01CRU&amp;lang=en_US&amp;offset=0&amp;query=any,contains,991000611629702656","Catalog Record")</f>
        <v/>
      </c>
      <c r="AT1712">
        <f>HYPERLINK("http://www.worldcat.org/oclc/11916080","WorldCat Record")</f>
        <v/>
      </c>
      <c r="AU1712" t="inlineStr">
        <is>
          <t>2909616663:spa</t>
        </is>
      </c>
      <c r="AV1712" t="inlineStr">
        <is>
          <t>11916080</t>
        </is>
      </c>
      <c r="AW1712" t="inlineStr">
        <is>
          <t>991000611629702656</t>
        </is>
      </c>
      <c r="AX1712" t="inlineStr">
        <is>
          <t>991000611629702656</t>
        </is>
      </c>
      <c r="AY1712" t="inlineStr">
        <is>
          <t>2270376090002656</t>
        </is>
      </c>
      <c r="AZ1712" t="inlineStr">
        <is>
          <t>BOOK</t>
        </is>
      </c>
      <c r="BB1712" t="inlineStr">
        <is>
          <t>9788439001898</t>
        </is>
      </c>
      <c r="BC1712" t="inlineStr">
        <is>
          <t>32285000653484</t>
        </is>
      </c>
      <c r="BD1712" t="inlineStr">
        <is>
          <t>893689858</t>
        </is>
      </c>
    </row>
    <row r="1713">
      <c r="A1713" t="inlineStr">
        <is>
          <t>No</t>
        </is>
      </c>
      <c r="B1713" t="inlineStr">
        <is>
          <t>DP302.B46 K87 1999</t>
        </is>
      </c>
      <c r="C1713" t="inlineStr">
        <is>
          <t>0                      DP 0302000B  46                 K  87          1999</t>
        </is>
      </c>
      <c r="D1713" t="inlineStr">
        <is>
          <t>The Basque history of the world / Mark Kurlansky.</t>
        </is>
      </c>
      <c r="F1713" t="inlineStr">
        <is>
          <t>No</t>
        </is>
      </c>
      <c r="G1713" t="inlineStr">
        <is>
          <t>1</t>
        </is>
      </c>
      <c r="H1713" t="inlineStr">
        <is>
          <t>No</t>
        </is>
      </c>
      <c r="I1713" t="inlineStr">
        <is>
          <t>No</t>
        </is>
      </c>
      <c r="J1713" t="inlineStr">
        <is>
          <t>0</t>
        </is>
      </c>
      <c r="K1713" t="inlineStr">
        <is>
          <t>Kurlansky, Mark.</t>
        </is>
      </c>
      <c r="L1713" t="inlineStr">
        <is>
          <t>New York : Walker, 1999.</t>
        </is>
      </c>
      <c r="M1713" t="inlineStr">
        <is>
          <t>1999</t>
        </is>
      </c>
      <c r="O1713" t="inlineStr">
        <is>
          <t>eng</t>
        </is>
      </c>
      <c r="P1713" t="inlineStr">
        <is>
          <t>nyu</t>
        </is>
      </c>
      <c r="R1713" t="inlineStr">
        <is>
          <t xml:space="preserve">DP </t>
        </is>
      </c>
      <c r="S1713" t="n">
        <v>3</v>
      </c>
      <c r="T1713" t="n">
        <v>3</v>
      </c>
      <c r="U1713" t="inlineStr">
        <is>
          <t>2008-12-16</t>
        </is>
      </c>
      <c r="V1713" t="inlineStr">
        <is>
          <t>2008-12-16</t>
        </is>
      </c>
      <c r="W1713" t="inlineStr">
        <is>
          <t>2000-07-25</t>
        </is>
      </c>
      <c r="X1713" t="inlineStr">
        <is>
          <t>2000-07-25</t>
        </is>
      </c>
      <c r="Y1713" t="n">
        <v>1455</v>
      </c>
      <c r="Z1713" t="n">
        <v>1389</v>
      </c>
      <c r="AA1713" t="n">
        <v>1582</v>
      </c>
      <c r="AB1713" t="n">
        <v>9</v>
      </c>
      <c r="AC1713" t="n">
        <v>10</v>
      </c>
      <c r="AD1713" t="n">
        <v>37</v>
      </c>
      <c r="AE1713" t="n">
        <v>47</v>
      </c>
      <c r="AF1713" t="n">
        <v>16</v>
      </c>
      <c r="AG1713" t="n">
        <v>21</v>
      </c>
      <c r="AH1713" t="n">
        <v>9</v>
      </c>
      <c r="AI1713" t="n">
        <v>10</v>
      </c>
      <c r="AJ1713" t="n">
        <v>17</v>
      </c>
      <c r="AK1713" t="n">
        <v>22</v>
      </c>
      <c r="AL1713" t="n">
        <v>6</v>
      </c>
      <c r="AM1713" t="n">
        <v>7</v>
      </c>
      <c r="AN1713" t="n">
        <v>0</v>
      </c>
      <c r="AO1713" t="n">
        <v>0</v>
      </c>
      <c r="AP1713" t="inlineStr">
        <is>
          <t>No</t>
        </is>
      </c>
      <c r="AQ1713" t="inlineStr">
        <is>
          <t>No</t>
        </is>
      </c>
      <c r="AS1713">
        <f>HYPERLINK("https://creighton-primo.hosted.exlibrisgroup.com/primo-explore/search?tab=default_tab&amp;search_scope=EVERYTHING&amp;vid=01CRU&amp;lang=en_US&amp;offset=0&amp;query=any,contains,991003216499702656","Catalog Record")</f>
        <v/>
      </c>
      <c r="AT1713">
        <f>HYPERLINK("http://www.worldcat.org/oclc/41076438","WorldCat Record")</f>
        <v/>
      </c>
      <c r="AU1713" t="inlineStr">
        <is>
          <t>1056840:eng</t>
        </is>
      </c>
      <c r="AV1713" t="inlineStr">
        <is>
          <t>41076438</t>
        </is>
      </c>
      <c r="AW1713" t="inlineStr">
        <is>
          <t>991003216499702656</t>
        </is>
      </c>
      <c r="AX1713" t="inlineStr">
        <is>
          <t>991003216499702656</t>
        </is>
      </c>
      <c r="AY1713" t="inlineStr">
        <is>
          <t>2262466590002656</t>
        </is>
      </c>
      <c r="AZ1713" t="inlineStr">
        <is>
          <t>BOOK</t>
        </is>
      </c>
      <c r="BB1713" t="inlineStr">
        <is>
          <t>9780802713490</t>
        </is>
      </c>
      <c r="BC1713" t="inlineStr">
        <is>
          <t>32285003711503</t>
        </is>
      </c>
      <c r="BD1713" t="inlineStr">
        <is>
          <t>893410027</t>
        </is>
      </c>
    </row>
    <row r="1714">
      <c r="A1714" t="inlineStr">
        <is>
          <t>No</t>
        </is>
      </c>
      <c r="B1714" t="inlineStr">
        <is>
          <t>DP302.B467 B55 1974</t>
        </is>
      </c>
      <c r="C1714" t="inlineStr">
        <is>
          <t>0                      DP 0302000B  467                B  55          1974</t>
        </is>
      </c>
      <c r="D1714" t="inlineStr">
        <is>
          <t>The Basques.</t>
        </is>
      </c>
      <c r="F1714" t="inlineStr">
        <is>
          <t>No</t>
        </is>
      </c>
      <c r="G1714" t="inlineStr">
        <is>
          <t>1</t>
        </is>
      </c>
      <c r="H1714" t="inlineStr">
        <is>
          <t>No</t>
        </is>
      </c>
      <c r="I1714" t="inlineStr">
        <is>
          <t>No</t>
        </is>
      </c>
      <c r="J1714" t="inlineStr">
        <is>
          <t>0</t>
        </is>
      </c>
      <c r="K1714" t="inlineStr">
        <is>
          <t>Blaud, Henry Camille.</t>
        </is>
      </c>
      <c r="L1714" t="inlineStr">
        <is>
          <t>[San Francisco, R and E Research Associates, 1974]</t>
        </is>
      </c>
      <c r="M1714" t="inlineStr">
        <is>
          <t>1974</t>
        </is>
      </c>
      <c r="O1714" t="inlineStr">
        <is>
          <t>eng</t>
        </is>
      </c>
      <c r="P1714" t="inlineStr">
        <is>
          <t>cau</t>
        </is>
      </c>
      <c r="R1714" t="inlineStr">
        <is>
          <t xml:space="preserve">DP </t>
        </is>
      </c>
      <c r="S1714" t="n">
        <v>1</v>
      </c>
      <c r="T1714" t="n">
        <v>1</v>
      </c>
      <c r="U1714" t="inlineStr">
        <is>
          <t>2008-09-14</t>
        </is>
      </c>
      <c r="V1714" t="inlineStr">
        <is>
          <t>2008-09-14</t>
        </is>
      </c>
      <c r="W1714" t="inlineStr">
        <is>
          <t>1997-02-14</t>
        </is>
      </c>
      <c r="X1714" t="inlineStr">
        <is>
          <t>1997-02-14</t>
        </is>
      </c>
      <c r="Y1714" t="n">
        <v>172</v>
      </c>
      <c r="Z1714" t="n">
        <v>155</v>
      </c>
      <c r="AA1714" t="n">
        <v>159</v>
      </c>
      <c r="AB1714" t="n">
        <v>2</v>
      </c>
      <c r="AC1714" t="n">
        <v>2</v>
      </c>
      <c r="AD1714" t="n">
        <v>3</v>
      </c>
      <c r="AE1714" t="n">
        <v>3</v>
      </c>
      <c r="AF1714" t="n">
        <v>2</v>
      </c>
      <c r="AG1714" t="n">
        <v>2</v>
      </c>
      <c r="AH1714" t="n">
        <v>0</v>
      </c>
      <c r="AI1714" t="n">
        <v>0</v>
      </c>
      <c r="AJ1714" t="n">
        <v>0</v>
      </c>
      <c r="AK1714" t="n">
        <v>0</v>
      </c>
      <c r="AL1714" t="n">
        <v>1</v>
      </c>
      <c r="AM1714" t="n">
        <v>1</v>
      </c>
      <c r="AN1714" t="n">
        <v>0</v>
      </c>
      <c r="AO1714" t="n">
        <v>0</v>
      </c>
      <c r="AP1714" t="inlineStr">
        <is>
          <t>No</t>
        </is>
      </c>
      <c r="AQ1714" t="inlineStr">
        <is>
          <t>No</t>
        </is>
      </c>
      <c r="AS1714">
        <f>HYPERLINK("https://creighton-primo.hosted.exlibrisgroup.com/primo-explore/search?tab=default_tab&amp;search_scope=EVERYTHING&amp;vid=01CRU&amp;lang=en_US&amp;offset=0&amp;query=any,contains,991003505939702656","Catalog Record")</f>
        <v/>
      </c>
      <c r="AT1714">
        <f>HYPERLINK("http://www.worldcat.org/oclc/1057058","WorldCat Record")</f>
        <v/>
      </c>
      <c r="AU1714" t="inlineStr">
        <is>
          <t>1985783:eng</t>
        </is>
      </c>
      <c r="AV1714" t="inlineStr">
        <is>
          <t>1057058</t>
        </is>
      </c>
      <c r="AW1714" t="inlineStr">
        <is>
          <t>991003505939702656</t>
        </is>
      </c>
      <c r="AX1714" t="inlineStr">
        <is>
          <t>991003505939702656</t>
        </is>
      </c>
      <c r="AY1714" t="inlineStr">
        <is>
          <t>2272807870002656</t>
        </is>
      </c>
      <c r="AZ1714" t="inlineStr">
        <is>
          <t>BOOK</t>
        </is>
      </c>
      <c r="BB1714" t="inlineStr">
        <is>
          <t>9780882472508</t>
        </is>
      </c>
      <c r="BC1714" t="inlineStr">
        <is>
          <t>32285002439411</t>
        </is>
      </c>
      <c r="BD1714" t="inlineStr">
        <is>
          <t>893868478</t>
        </is>
      </c>
    </row>
    <row r="1715">
      <c r="A1715" t="inlineStr">
        <is>
          <t>No</t>
        </is>
      </c>
      <c r="B1715" t="inlineStr">
        <is>
          <t>DP302.B49 C65 1987</t>
        </is>
      </c>
      <c r="C1715" t="inlineStr">
        <is>
          <t>0                      DP 0302000B  49                 C  65          1987</t>
        </is>
      </c>
      <c r="D1715" t="inlineStr">
        <is>
          <t>The Basques / Roger Collins.</t>
        </is>
      </c>
      <c r="F1715" t="inlineStr">
        <is>
          <t>No</t>
        </is>
      </c>
      <c r="G1715" t="inlineStr">
        <is>
          <t>1</t>
        </is>
      </c>
      <c r="H1715" t="inlineStr">
        <is>
          <t>No</t>
        </is>
      </c>
      <c r="I1715" t="inlineStr">
        <is>
          <t>No</t>
        </is>
      </c>
      <c r="J1715" t="inlineStr">
        <is>
          <t>0</t>
        </is>
      </c>
      <c r="K1715" t="inlineStr">
        <is>
          <t>Collins, Roger, 1938-</t>
        </is>
      </c>
      <c r="L1715" t="inlineStr">
        <is>
          <t>Oxford, UK ; New York, NY, USA : Blackwell, 1987, c1986.</t>
        </is>
      </c>
      <c r="M1715" t="inlineStr">
        <is>
          <t>1987</t>
        </is>
      </c>
      <c r="O1715" t="inlineStr">
        <is>
          <t>eng</t>
        </is>
      </c>
      <c r="P1715" t="inlineStr">
        <is>
          <t>enk</t>
        </is>
      </c>
      <c r="Q1715" t="inlineStr">
        <is>
          <t>The Peoples of Europe</t>
        </is>
      </c>
      <c r="R1715" t="inlineStr">
        <is>
          <t xml:space="preserve">DP </t>
        </is>
      </c>
      <c r="S1715" t="n">
        <v>7</v>
      </c>
      <c r="T1715" t="n">
        <v>7</v>
      </c>
      <c r="U1715" t="inlineStr">
        <is>
          <t>2009-10-28</t>
        </is>
      </c>
      <c r="V1715" t="inlineStr">
        <is>
          <t>2009-10-28</t>
        </is>
      </c>
      <c r="W1715" t="inlineStr">
        <is>
          <t>1990-06-18</t>
        </is>
      </c>
      <c r="X1715" t="inlineStr">
        <is>
          <t>1990-06-18</t>
        </is>
      </c>
      <c r="Y1715" t="n">
        <v>550</v>
      </c>
      <c r="Z1715" t="n">
        <v>462</v>
      </c>
      <c r="AA1715" t="n">
        <v>634</v>
      </c>
      <c r="AB1715" t="n">
        <v>4</v>
      </c>
      <c r="AC1715" t="n">
        <v>4</v>
      </c>
      <c r="AD1715" t="n">
        <v>22</v>
      </c>
      <c r="AE1715" t="n">
        <v>25</v>
      </c>
      <c r="AF1715" t="n">
        <v>7</v>
      </c>
      <c r="AG1715" t="n">
        <v>9</v>
      </c>
      <c r="AH1715" t="n">
        <v>6</v>
      </c>
      <c r="AI1715" t="n">
        <v>6</v>
      </c>
      <c r="AJ1715" t="n">
        <v>11</v>
      </c>
      <c r="AK1715" t="n">
        <v>13</v>
      </c>
      <c r="AL1715" t="n">
        <v>3</v>
      </c>
      <c r="AM1715" t="n">
        <v>3</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HYPERLINK("https://creighton-primo.hosted.exlibrisgroup.com/primo-explore/search?tab=default_tab&amp;search_scope=EVERYTHING&amp;vid=01CRU&amp;lang=en_US&amp;offset=0&amp;query=any,contains,991000826789702656","Catalog Record")</f>
        <v/>
      </c>
      <c r="AT1715">
        <f>HYPERLINK("http://www.worldcat.org/oclc/13423878","WorldCat Record")</f>
        <v/>
      </c>
      <c r="AU1715" t="inlineStr">
        <is>
          <t>7134472:eng</t>
        </is>
      </c>
      <c r="AV1715" t="inlineStr">
        <is>
          <t>13423878</t>
        </is>
      </c>
      <c r="AW1715" t="inlineStr">
        <is>
          <t>991000826789702656</t>
        </is>
      </c>
      <c r="AX1715" t="inlineStr">
        <is>
          <t>991000826789702656</t>
        </is>
      </c>
      <c r="AY1715" t="inlineStr">
        <is>
          <t>2266001310002656</t>
        </is>
      </c>
      <c r="AZ1715" t="inlineStr">
        <is>
          <t>BOOK</t>
        </is>
      </c>
      <c r="BB1715" t="inlineStr">
        <is>
          <t>9780631134787</t>
        </is>
      </c>
      <c r="BC1715" t="inlineStr">
        <is>
          <t>32285000198225</t>
        </is>
      </c>
      <c r="BD1715" t="inlineStr">
        <is>
          <t>893509147</t>
        </is>
      </c>
    </row>
    <row r="1716">
      <c r="A1716" t="inlineStr">
        <is>
          <t>No</t>
        </is>
      </c>
      <c r="B1716" t="inlineStr">
        <is>
          <t>DP302.G16 H58 1981</t>
        </is>
      </c>
      <c r="C1716" t="inlineStr">
        <is>
          <t>0                      DP 0302000G  16                 H  58          1981</t>
        </is>
      </c>
      <c r="D1716" t="inlineStr">
        <is>
          <t>Historia de Galicia / J.C. Bermejo ... [et al.].</t>
        </is>
      </c>
      <c r="F1716" t="inlineStr">
        <is>
          <t>No</t>
        </is>
      </c>
      <c r="G1716" t="inlineStr">
        <is>
          <t>1</t>
        </is>
      </c>
      <c r="H1716" t="inlineStr">
        <is>
          <t>No</t>
        </is>
      </c>
      <c r="I1716" t="inlineStr">
        <is>
          <t>No</t>
        </is>
      </c>
      <c r="J1716" t="inlineStr">
        <is>
          <t>0</t>
        </is>
      </c>
      <c r="L1716" t="inlineStr">
        <is>
          <t>Madrid : Alhambra, 1981.</t>
        </is>
      </c>
      <c r="M1716" t="inlineStr">
        <is>
          <t>1981</t>
        </is>
      </c>
      <c r="N1716" t="inlineStr">
        <is>
          <t>2a ed.</t>
        </is>
      </c>
      <c r="O1716" t="inlineStr">
        <is>
          <t>spa</t>
        </is>
      </c>
      <c r="P1716" t="inlineStr">
        <is>
          <t xml:space="preserve">sp </t>
        </is>
      </c>
      <c r="R1716" t="inlineStr">
        <is>
          <t xml:space="preserve">DP </t>
        </is>
      </c>
      <c r="S1716" t="n">
        <v>0</v>
      </c>
      <c r="T1716" t="n">
        <v>0</v>
      </c>
      <c r="U1716" t="inlineStr">
        <is>
          <t>2004-01-15</t>
        </is>
      </c>
      <c r="V1716" t="inlineStr">
        <is>
          <t>2004-01-15</t>
        </is>
      </c>
      <c r="W1716" t="inlineStr">
        <is>
          <t>1991-10-22</t>
        </is>
      </c>
      <c r="X1716" t="inlineStr">
        <is>
          <t>1991-10-22</t>
        </is>
      </c>
      <c r="Y1716" t="n">
        <v>39</v>
      </c>
      <c r="Z1716" t="n">
        <v>25</v>
      </c>
      <c r="AA1716" t="n">
        <v>25</v>
      </c>
      <c r="AB1716" t="n">
        <v>2</v>
      </c>
      <c r="AC1716" t="n">
        <v>2</v>
      </c>
      <c r="AD1716" t="n">
        <v>2</v>
      </c>
      <c r="AE1716" t="n">
        <v>2</v>
      </c>
      <c r="AF1716" t="n">
        <v>0</v>
      </c>
      <c r="AG1716" t="n">
        <v>0</v>
      </c>
      <c r="AH1716" t="n">
        <v>0</v>
      </c>
      <c r="AI1716" t="n">
        <v>0</v>
      </c>
      <c r="AJ1716" t="n">
        <v>1</v>
      </c>
      <c r="AK1716" t="n">
        <v>1</v>
      </c>
      <c r="AL1716" t="n">
        <v>1</v>
      </c>
      <c r="AM1716" t="n">
        <v>1</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HYPERLINK("https://creighton-primo.hosted.exlibrisgroup.com/primo-explore/search?tab=default_tab&amp;search_scope=EVERYTHING&amp;vid=01CRU&amp;lang=en_US&amp;offset=0&amp;query=any,contains,991005222179702656","Catalog Record")</f>
        <v/>
      </c>
      <c r="AT1716">
        <f>HYPERLINK("http://www.worldcat.org/oclc/8236486","WorldCat Record")</f>
        <v/>
      </c>
      <c r="AU1716" t="inlineStr">
        <is>
          <t>4535768628:spa</t>
        </is>
      </c>
      <c r="AV1716" t="inlineStr">
        <is>
          <t>8236486</t>
        </is>
      </c>
      <c r="AW1716" t="inlineStr">
        <is>
          <t>991005222179702656</t>
        </is>
      </c>
      <c r="AX1716" t="inlineStr">
        <is>
          <t>991005222179702656</t>
        </is>
      </c>
      <c r="AY1716" t="inlineStr">
        <is>
          <t>2268032730002656</t>
        </is>
      </c>
      <c r="AZ1716" t="inlineStr">
        <is>
          <t>BOOK</t>
        </is>
      </c>
      <c r="BB1716" t="inlineStr">
        <is>
          <t>9788420507637</t>
        </is>
      </c>
      <c r="BC1716" t="inlineStr">
        <is>
          <t>32285000653591</t>
        </is>
      </c>
      <c r="BD1716" t="inlineStr">
        <is>
          <t>893242396</t>
        </is>
      </c>
    </row>
    <row r="1717">
      <c r="A1717" t="inlineStr">
        <is>
          <t>No</t>
        </is>
      </c>
      <c r="B1717" t="inlineStr">
        <is>
          <t>DP302.V205 B3 1984</t>
        </is>
      </c>
      <c r="C1717" t="inlineStr">
        <is>
          <t>0                      DP 0302000V  205                B  3           1984</t>
        </is>
      </c>
      <c r="D1717" t="inlineStr">
        <is>
          <t>Minorías islámicas en el país Valenciano : historia y dialecto / Ma. del Carmen Barceló Torres ; prólogo de Joan Fuster.</t>
        </is>
      </c>
      <c r="F1717" t="inlineStr">
        <is>
          <t>No</t>
        </is>
      </c>
      <c r="G1717" t="inlineStr">
        <is>
          <t>1</t>
        </is>
      </c>
      <c r="H1717" t="inlineStr">
        <is>
          <t>No</t>
        </is>
      </c>
      <c r="I1717" t="inlineStr">
        <is>
          <t>No</t>
        </is>
      </c>
      <c r="J1717" t="inlineStr">
        <is>
          <t>0</t>
        </is>
      </c>
      <c r="K1717" t="inlineStr">
        <is>
          <t>Barceló Torres, María del Carmen.</t>
        </is>
      </c>
      <c r="L1717" t="inlineStr">
        <is>
          <t>[Valencia] : Universidad de Valencia, Secretariado de Publicaciones, Facultad de Filología ; Instituto Hispano-Árabe de Cultura, 1984.</t>
        </is>
      </c>
      <c r="M1717" t="inlineStr">
        <is>
          <t>1984</t>
        </is>
      </c>
      <c r="O1717" t="inlineStr">
        <is>
          <t>spa</t>
        </is>
      </c>
      <c r="P1717" t="inlineStr">
        <is>
          <t xml:space="preserve">sp </t>
        </is>
      </c>
      <c r="R1717" t="inlineStr">
        <is>
          <t xml:space="preserve">DP </t>
        </is>
      </c>
      <c r="S1717" t="n">
        <v>0</v>
      </c>
      <c r="T1717" t="n">
        <v>0</v>
      </c>
      <c r="U1717" t="inlineStr">
        <is>
          <t>2001-12-03</t>
        </is>
      </c>
      <c r="V1717" t="inlineStr">
        <is>
          <t>2001-12-03</t>
        </is>
      </c>
      <c r="W1717" t="inlineStr">
        <is>
          <t>1991-10-22</t>
        </is>
      </c>
      <c r="X1717" t="inlineStr">
        <is>
          <t>1991-10-22</t>
        </is>
      </c>
      <c r="Y1717" t="n">
        <v>50</v>
      </c>
      <c r="Z1717" t="n">
        <v>23</v>
      </c>
      <c r="AA1717" t="n">
        <v>29</v>
      </c>
      <c r="AB1717" t="n">
        <v>1</v>
      </c>
      <c r="AC1717" t="n">
        <v>1</v>
      </c>
      <c r="AD1717" t="n">
        <v>2</v>
      </c>
      <c r="AE1717" t="n">
        <v>2</v>
      </c>
      <c r="AF1717" t="n">
        <v>0</v>
      </c>
      <c r="AG1717" t="n">
        <v>0</v>
      </c>
      <c r="AH1717" t="n">
        <v>1</v>
      </c>
      <c r="AI1717" t="n">
        <v>1</v>
      </c>
      <c r="AJ1717" t="n">
        <v>1</v>
      </c>
      <c r="AK1717" t="n">
        <v>1</v>
      </c>
      <c r="AL1717" t="n">
        <v>0</v>
      </c>
      <c r="AM1717" t="n">
        <v>0</v>
      </c>
      <c r="AN1717" t="n">
        <v>0</v>
      </c>
      <c r="AO1717" t="n">
        <v>0</v>
      </c>
      <c r="AP1717" t="inlineStr">
        <is>
          <t>No</t>
        </is>
      </c>
      <c r="AQ1717" t="inlineStr">
        <is>
          <t>Yes</t>
        </is>
      </c>
      <c r="AR1717">
        <f>HYPERLINK("http://catalog.hathitrust.org/Record/000470433","HathiTrust Record")</f>
        <v/>
      </c>
      <c r="AS1717">
        <f>HYPERLINK("https://creighton-primo.hosted.exlibrisgroup.com/primo-explore/search?tab=default_tab&amp;search_scope=EVERYTHING&amp;vid=01CRU&amp;lang=en_US&amp;offset=0&amp;query=any,contains,991000793949702656","Catalog Record")</f>
        <v/>
      </c>
      <c r="AT1717">
        <f>HYPERLINK("http://www.worldcat.org/oclc/13182443","WorldCat Record")</f>
        <v/>
      </c>
      <c r="AU1717" t="inlineStr">
        <is>
          <t>5824096:spa</t>
        </is>
      </c>
      <c r="AV1717" t="inlineStr">
        <is>
          <t>13182443</t>
        </is>
      </c>
      <c r="AW1717" t="inlineStr">
        <is>
          <t>991000793949702656</t>
        </is>
      </c>
      <c r="AX1717" t="inlineStr">
        <is>
          <t>991000793949702656</t>
        </is>
      </c>
      <c r="AY1717" t="inlineStr">
        <is>
          <t>2257575560002656</t>
        </is>
      </c>
      <c r="AZ1717" t="inlineStr">
        <is>
          <t>BOOK</t>
        </is>
      </c>
      <c r="BB1717" t="inlineStr">
        <is>
          <t>9788437002453</t>
        </is>
      </c>
      <c r="BC1717" t="inlineStr">
        <is>
          <t>32285000653625</t>
        </is>
      </c>
      <c r="BD1717" t="inlineStr">
        <is>
          <t>893897226</t>
        </is>
      </c>
    </row>
    <row r="1718">
      <c r="A1718" t="inlineStr">
        <is>
          <t>No</t>
        </is>
      </c>
      <c r="B1718" t="inlineStr">
        <is>
          <t>DP354 .A48 1985</t>
        </is>
      </c>
      <c r="C1718" t="inlineStr">
        <is>
          <t>0                      DP 0354000A  48          1985</t>
        </is>
      </c>
      <c r="D1718" t="inlineStr">
        <is>
          <t>Compendio histórico, de las grandezas de la coronada villa de Madrid : corte de las monarquía de España / por Josef Antonio Alvarez y Baena.</t>
        </is>
      </c>
      <c r="F1718" t="inlineStr">
        <is>
          <t>No</t>
        </is>
      </c>
      <c r="G1718" t="inlineStr">
        <is>
          <t>1</t>
        </is>
      </c>
      <c r="H1718" t="inlineStr">
        <is>
          <t>No</t>
        </is>
      </c>
      <c r="I1718" t="inlineStr">
        <is>
          <t>No</t>
        </is>
      </c>
      <c r="J1718" t="inlineStr">
        <is>
          <t>0</t>
        </is>
      </c>
      <c r="K1718" t="inlineStr">
        <is>
          <t>Alvarez y Baena, Josef Antonio, -1803.</t>
        </is>
      </c>
      <c r="L1718" t="inlineStr">
        <is>
          <t>Madrid : El Museo Universal, 1985.</t>
        </is>
      </c>
      <c r="M1718" t="inlineStr">
        <is>
          <t>1985</t>
        </is>
      </c>
      <c r="O1718" t="inlineStr">
        <is>
          <t>spa</t>
        </is>
      </c>
      <c r="P1718" t="inlineStr">
        <is>
          <t xml:space="preserve">sp </t>
        </is>
      </c>
      <c r="R1718" t="inlineStr">
        <is>
          <t xml:space="preserve">DP </t>
        </is>
      </c>
      <c r="S1718" t="n">
        <v>0</v>
      </c>
      <c r="T1718" t="n">
        <v>0</v>
      </c>
      <c r="U1718" t="inlineStr">
        <is>
          <t>2003-06-10</t>
        </is>
      </c>
      <c r="V1718" t="inlineStr">
        <is>
          <t>2003-06-10</t>
        </is>
      </c>
      <c r="W1718" t="inlineStr">
        <is>
          <t>1991-10-22</t>
        </is>
      </c>
      <c r="X1718" t="inlineStr">
        <is>
          <t>1991-10-22</t>
        </is>
      </c>
      <c r="Y1718" t="n">
        <v>10</v>
      </c>
      <c r="Z1718" t="n">
        <v>7</v>
      </c>
      <c r="AA1718" t="n">
        <v>19</v>
      </c>
      <c r="AB1718" t="n">
        <v>1</v>
      </c>
      <c r="AC1718" t="n">
        <v>1</v>
      </c>
      <c r="AD1718" t="n">
        <v>0</v>
      </c>
      <c r="AE1718" t="n">
        <v>0</v>
      </c>
      <c r="AF1718" t="n">
        <v>0</v>
      </c>
      <c r="AG1718" t="n">
        <v>0</v>
      </c>
      <c r="AH1718" t="n">
        <v>0</v>
      </c>
      <c r="AI1718" t="n">
        <v>0</v>
      </c>
      <c r="AJ1718" t="n">
        <v>0</v>
      </c>
      <c r="AK1718" t="n">
        <v>0</v>
      </c>
      <c r="AL1718" t="n">
        <v>0</v>
      </c>
      <c r="AM1718" t="n">
        <v>0</v>
      </c>
      <c r="AN1718" t="n">
        <v>0</v>
      </c>
      <c r="AO1718" t="n">
        <v>0</v>
      </c>
      <c r="AP1718" t="inlineStr">
        <is>
          <t>Yes</t>
        </is>
      </c>
      <c r="AQ1718" t="inlineStr">
        <is>
          <t>No</t>
        </is>
      </c>
      <c r="AR1718">
        <f>HYPERLINK("http://catalog.hathitrust.org/Record/009793322","HathiTrust Record")</f>
        <v/>
      </c>
      <c r="AS1718">
        <f>HYPERLINK("https://creighton-primo.hosted.exlibrisgroup.com/primo-explore/search?tab=default_tab&amp;search_scope=EVERYTHING&amp;vid=01CRU&amp;lang=en_US&amp;offset=0&amp;query=any,contains,991000924449702656","Catalog Record")</f>
        <v/>
      </c>
      <c r="AT1718">
        <f>HYPERLINK("http://www.worldcat.org/oclc/14231607","WorldCat Record")</f>
        <v/>
      </c>
      <c r="AU1718" t="inlineStr">
        <is>
          <t>3855327856:spa</t>
        </is>
      </c>
      <c r="AV1718" t="inlineStr">
        <is>
          <t>14231607</t>
        </is>
      </c>
      <c r="AW1718" t="inlineStr">
        <is>
          <t>991000924449702656</t>
        </is>
      </c>
      <c r="AX1718" t="inlineStr">
        <is>
          <t>991000924449702656</t>
        </is>
      </c>
      <c r="AY1718" t="inlineStr">
        <is>
          <t>2267138990002656</t>
        </is>
      </c>
      <c r="AZ1718" t="inlineStr">
        <is>
          <t>BOOK</t>
        </is>
      </c>
      <c r="BB1718" t="inlineStr">
        <is>
          <t>9788486207144</t>
        </is>
      </c>
      <c r="BC1718" t="inlineStr">
        <is>
          <t>32285000653666</t>
        </is>
      </c>
      <c r="BD1718" t="inlineStr">
        <is>
          <t>893596034</t>
        </is>
      </c>
    </row>
    <row r="1719">
      <c r="A1719" t="inlineStr">
        <is>
          <t>No</t>
        </is>
      </c>
      <c r="B1719" t="inlineStr">
        <is>
          <t>DP38 .E37 1980</t>
        </is>
      </c>
      <c r="C1719" t="inlineStr">
        <is>
          <t>0                      DP 0038000E  37          1980</t>
        </is>
      </c>
      <c r="D1719" t="inlineStr">
        <is>
          <t>Descripcion de España / por Xerif Aledris ; con traduccion y notas de Josef Antonio Conde.</t>
        </is>
      </c>
      <c r="F1719" t="inlineStr">
        <is>
          <t>No</t>
        </is>
      </c>
      <c r="G1719" t="inlineStr">
        <is>
          <t>1</t>
        </is>
      </c>
      <c r="H1719" t="inlineStr">
        <is>
          <t>No</t>
        </is>
      </c>
      <c r="I1719" t="inlineStr">
        <is>
          <t>No</t>
        </is>
      </c>
      <c r="J1719" t="inlineStr">
        <is>
          <t>0</t>
        </is>
      </c>
      <c r="K1719" t="inlineStr">
        <is>
          <t>Edreisei.</t>
        </is>
      </c>
      <c r="L1719" t="inlineStr">
        <is>
          <t>Madrid : Ediciones Atlas, 1980.</t>
        </is>
      </c>
      <c r="M1719" t="inlineStr">
        <is>
          <t>1980</t>
        </is>
      </c>
      <c r="O1719" t="inlineStr">
        <is>
          <t>spa</t>
        </is>
      </c>
      <c r="P1719" t="inlineStr">
        <is>
          <t xml:space="preserve">sp </t>
        </is>
      </c>
      <c r="R1719" t="inlineStr">
        <is>
          <t xml:space="preserve">DP </t>
        </is>
      </c>
      <c r="S1719" t="n">
        <v>3</v>
      </c>
      <c r="T1719" t="n">
        <v>3</v>
      </c>
      <c r="U1719" t="inlineStr">
        <is>
          <t>1998-10-26</t>
        </is>
      </c>
      <c r="V1719" t="inlineStr">
        <is>
          <t>1998-10-26</t>
        </is>
      </c>
      <c r="W1719" t="inlineStr">
        <is>
          <t>1991-09-13</t>
        </is>
      </c>
      <c r="X1719" t="inlineStr">
        <is>
          <t>1991-09-13</t>
        </is>
      </c>
      <c r="Y1719" t="n">
        <v>13</v>
      </c>
      <c r="Z1719" t="n">
        <v>12</v>
      </c>
      <c r="AA1719" t="n">
        <v>13</v>
      </c>
      <c r="AB1719" t="n">
        <v>2</v>
      </c>
      <c r="AC1719" t="n">
        <v>2</v>
      </c>
      <c r="AD1719" t="n">
        <v>1</v>
      </c>
      <c r="AE1719" t="n">
        <v>1</v>
      </c>
      <c r="AF1719" t="n">
        <v>0</v>
      </c>
      <c r="AG1719" t="n">
        <v>0</v>
      </c>
      <c r="AH1719" t="n">
        <v>0</v>
      </c>
      <c r="AI1719" t="n">
        <v>0</v>
      </c>
      <c r="AJ1719" t="n">
        <v>0</v>
      </c>
      <c r="AK1719" t="n">
        <v>0</v>
      </c>
      <c r="AL1719" t="n">
        <v>1</v>
      </c>
      <c r="AM1719" t="n">
        <v>1</v>
      </c>
      <c r="AN1719" t="n">
        <v>0</v>
      </c>
      <c r="AO1719" t="n">
        <v>0</v>
      </c>
      <c r="AP1719" t="inlineStr">
        <is>
          <t>No</t>
        </is>
      </c>
      <c r="AQ1719" t="inlineStr">
        <is>
          <t>Yes</t>
        </is>
      </c>
      <c r="AR1719">
        <f>HYPERLINK("http://catalog.hathitrust.org/Record/002196034","HathiTrust Record")</f>
        <v/>
      </c>
      <c r="AS1719">
        <f>HYPERLINK("https://creighton-primo.hosted.exlibrisgroup.com/primo-explore/search?tab=default_tab&amp;search_scope=EVERYTHING&amp;vid=01CRU&amp;lang=en_US&amp;offset=0&amp;query=any,contains,991000085589702656","Catalog Record")</f>
        <v/>
      </c>
      <c r="AT1719">
        <f>HYPERLINK("http://www.worldcat.org/oclc/8864492","WorldCat Record")</f>
        <v/>
      </c>
      <c r="AU1719" t="inlineStr">
        <is>
          <t>3770770588:spa</t>
        </is>
      </c>
      <c r="AV1719" t="inlineStr">
        <is>
          <t>8864492</t>
        </is>
      </c>
      <c r="AW1719" t="inlineStr">
        <is>
          <t>991000085589702656</t>
        </is>
      </c>
      <c r="AX1719" t="inlineStr">
        <is>
          <t>991000085589702656</t>
        </is>
      </c>
      <c r="AY1719" t="inlineStr">
        <is>
          <t>2263365010002656</t>
        </is>
      </c>
      <c r="AZ1719" t="inlineStr">
        <is>
          <t>BOOK</t>
        </is>
      </c>
      <c r="BB1719" t="inlineStr">
        <is>
          <t>9788436305364</t>
        </is>
      </c>
      <c r="BC1719" t="inlineStr">
        <is>
          <t>32285000651736</t>
        </is>
      </c>
      <c r="BD1719" t="inlineStr">
        <is>
          <t>893495896</t>
        </is>
      </c>
    </row>
    <row r="1720">
      <c r="A1720" t="inlineStr">
        <is>
          <t>No</t>
        </is>
      </c>
      <c r="B1720" t="inlineStr">
        <is>
          <t>DP402.A33 P5 1961</t>
        </is>
      </c>
      <c r="C1720" t="inlineStr">
        <is>
          <t>0                      DP 0402000A  33                 P  5           1961</t>
        </is>
      </c>
      <c r="D1720" t="inlineStr">
        <is>
          <t>The people of the Sierra.</t>
        </is>
      </c>
      <c r="F1720" t="inlineStr">
        <is>
          <t>No</t>
        </is>
      </c>
      <c r="G1720" t="inlineStr">
        <is>
          <t>1</t>
        </is>
      </c>
      <c r="H1720" t="inlineStr">
        <is>
          <t>No</t>
        </is>
      </c>
      <c r="I1720" t="inlineStr">
        <is>
          <t>No</t>
        </is>
      </c>
      <c r="J1720" t="inlineStr">
        <is>
          <t>0</t>
        </is>
      </c>
      <c r="K1720" t="inlineStr">
        <is>
          <t>Pitt-Rivers, Julian Alfred.</t>
        </is>
      </c>
      <c r="L1720" t="inlineStr">
        <is>
          <t>Chicago, University of Chicago Press [1961]</t>
        </is>
      </c>
      <c r="M1720" t="inlineStr">
        <is>
          <t>1961</t>
        </is>
      </c>
      <c r="O1720" t="inlineStr">
        <is>
          <t>eng</t>
        </is>
      </c>
      <c r="P1720" t="inlineStr">
        <is>
          <t>ilu</t>
        </is>
      </c>
      <c r="Q1720" t="inlineStr">
        <is>
          <t>Phoenix books ; P55</t>
        </is>
      </c>
      <c r="R1720" t="inlineStr">
        <is>
          <t xml:space="preserve">DP </t>
        </is>
      </c>
      <c r="S1720" t="n">
        <v>4</v>
      </c>
      <c r="T1720" t="n">
        <v>4</v>
      </c>
      <c r="U1720" t="inlineStr">
        <is>
          <t>2001-11-05</t>
        </is>
      </c>
      <c r="V1720" t="inlineStr">
        <is>
          <t>2001-11-05</t>
        </is>
      </c>
      <c r="W1720" t="inlineStr">
        <is>
          <t>1997-02-14</t>
        </is>
      </c>
      <c r="X1720" t="inlineStr">
        <is>
          <t>1997-02-14</t>
        </is>
      </c>
      <c r="Y1720" t="n">
        <v>345</v>
      </c>
      <c r="Z1720" t="n">
        <v>306</v>
      </c>
      <c r="AA1720" t="n">
        <v>789</v>
      </c>
      <c r="AB1720" t="n">
        <v>3</v>
      </c>
      <c r="AC1720" t="n">
        <v>5</v>
      </c>
      <c r="AD1720" t="n">
        <v>16</v>
      </c>
      <c r="AE1720" t="n">
        <v>37</v>
      </c>
      <c r="AF1720" t="n">
        <v>5</v>
      </c>
      <c r="AG1720" t="n">
        <v>17</v>
      </c>
      <c r="AH1720" t="n">
        <v>4</v>
      </c>
      <c r="AI1720" t="n">
        <v>7</v>
      </c>
      <c r="AJ1720" t="n">
        <v>8</v>
      </c>
      <c r="AK1720" t="n">
        <v>20</v>
      </c>
      <c r="AL1720" t="n">
        <v>2</v>
      </c>
      <c r="AM1720" t="n">
        <v>4</v>
      </c>
      <c r="AN1720" t="n">
        <v>0</v>
      </c>
      <c r="AO1720" t="n">
        <v>0</v>
      </c>
      <c r="AP1720" t="inlineStr">
        <is>
          <t>Yes</t>
        </is>
      </c>
      <c r="AQ1720" t="inlineStr">
        <is>
          <t>No</t>
        </is>
      </c>
      <c r="AR1720">
        <f>HYPERLINK("http://catalog.hathitrust.org/Record/001351744","HathiTrust Record")</f>
        <v/>
      </c>
      <c r="AS1720">
        <f>HYPERLINK("https://creighton-primo.hosted.exlibrisgroup.com/primo-explore/search?tab=default_tab&amp;search_scope=EVERYTHING&amp;vid=01CRU&amp;lang=en_US&amp;offset=0&amp;query=any,contains,991002673129702656","Catalog Record")</f>
        <v/>
      </c>
      <c r="AT1720">
        <f>HYPERLINK("http://www.worldcat.org/oclc/396070","WorldCat Record")</f>
        <v/>
      </c>
      <c r="AU1720" t="inlineStr">
        <is>
          <t>1408976:eng</t>
        </is>
      </c>
      <c r="AV1720" t="inlineStr">
        <is>
          <t>396070</t>
        </is>
      </c>
      <c r="AW1720" t="inlineStr">
        <is>
          <t>991002673129702656</t>
        </is>
      </c>
      <c r="AX1720" t="inlineStr">
        <is>
          <t>991002673129702656</t>
        </is>
      </c>
      <c r="AY1720" t="inlineStr">
        <is>
          <t>2261153570002656</t>
        </is>
      </c>
      <c r="AZ1720" t="inlineStr">
        <is>
          <t>BOOK</t>
        </is>
      </c>
      <c r="BC1720" t="inlineStr">
        <is>
          <t>32285002439650</t>
        </is>
      </c>
      <c r="BD1720" t="inlineStr">
        <is>
          <t>893886568</t>
        </is>
      </c>
    </row>
    <row r="1721">
      <c r="A1721" t="inlineStr">
        <is>
          <t>No</t>
        </is>
      </c>
      <c r="B1721" t="inlineStr">
        <is>
          <t>DP402.B265 H85 1992</t>
        </is>
      </c>
      <c r="C1721" t="inlineStr">
        <is>
          <t>0                      DP 0402000B  265                H  85          1992</t>
        </is>
      </c>
      <c r="D1721" t="inlineStr">
        <is>
          <t>Barcelona / Robert Hughes.</t>
        </is>
      </c>
      <c r="F1721" t="inlineStr">
        <is>
          <t>No</t>
        </is>
      </c>
      <c r="G1721" t="inlineStr">
        <is>
          <t>1</t>
        </is>
      </c>
      <c r="H1721" t="inlineStr">
        <is>
          <t>No</t>
        </is>
      </c>
      <c r="I1721" t="inlineStr">
        <is>
          <t>No</t>
        </is>
      </c>
      <c r="J1721" t="inlineStr">
        <is>
          <t>0</t>
        </is>
      </c>
      <c r="K1721" t="inlineStr">
        <is>
          <t>Hughes, Robert, 1938-2012.</t>
        </is>
      </c>
      <c r="L1721" t="inlineStr">
        <is>
          <t>New York : Knopf : Distributed by Random House, 1992.</t>
        </is>
      </c>
      <c r="M1721" t="inlineStr">
        <is>
          <t>1992</t>
        </is>
      </c>
      <c r="N1721" t="inlineStr">
        <is>
          <t>1st ed.</t>
        </is>
      </c>
      <c r="O1721" t="inlineStr">
        <is>
          <t>eng</t>
        </is>
      </c>
      <c r="P1721" t="inlineStr">
        <is>
          <t>nyu</t>
        </is>
      </c>
      <c r="R1721" t="inlineStr">
        <is>
          <t xml:space="preserve">DP </t>
        </is>
      </c>
      <c r="S1721" t="n">
        <v>6</v>
      </c>
      <c r="T1721" t="n">
        <v>6</v>
      </c>
      <c r="U1721" t="inlineStr">
        <is>
          <t>2000-04-16</t>
        </is>
      </c>
      <c r="V1721" t="inlineStr">
        <is>
          <t>2000-04-16</t>
        </is>
      </c>
      <c r="W1721" t="inlineStr">
        <is>
          <t>1992-03-26</t>
        </is>
      </c>
      <c r="X1721" t="inlineStr">
        <is>
          <t>1992-03-26</t>
        </is>
      </c>
      <c r="Y1721" t="n">
        <v>1468</v>
      </c>
      <c r="Z1721" t="n">
        <v>1378</v>
      </c>
      <c r="AA1721" t="n">
        <v>1530</v>
      </c>
      <c r="AB1721" t="n">
        <v>9</v>
      </c>
      <c r="AC1721" t="n">
        <v>10</v>
      </c>
      <c r="AD1721" t="n">
        <v>30</v>
      </c>
      <c r="AE1721" t="n">
        <v>36</v>
      </c>
      <c r="AF1721" t="n">
        <v>12</v>
      </c>
      <c r="AG1721" t="n">
        <v>15</v>
      </c>
      <c r="AH1721" t="n">
        <v>4</v>
      </c>
      <c r="AI1721" t="n">
        <v>5</v>
      </c>
      <c r="AJ1721" t="n">
        <v>15</v>
      </c>
      <c r="AK1721" t="n">
        <v>18</v>
      </c>
      <c r="AL1721" t="n">
        <v>5</v>
      </c>
      <c r="AM1721" t="n">
        <v>6</v>
      </c>
      <c r="AN1721" t="n">
        <v>0</v>
      </c>
      <c r="AO1721" t="n">
        <v>0</v>
      </c>
      <c r="AP1721" t="inlineStr">
        <is>
          <t>No</t>
        </is>
      </c>
      <c r="AQ1721" t="inlineStr">
        <is>
          <t>Yes</t>
        </is>
      </c>
      <c r="AR1721">
        <f>HYPERLINK("http://catalog.hathitrust.org/Record/004512430","HathiTrust Record")</f>
        <v/>
      </c>
      <c r="AS1721">
        <f>HYPERLINK("https://creighton-primo.hosted.exlibrisgroup.com/primo-explore/search?tab=default_tab&amp;search_scope=EVERYTHING&amp;vid=01CRU&amp;lang=en_US&amp;offset=0&amp;query=any,contains,991001921189702656","Catalog Record")</f>
        <v/>
      </c>
      <c r="AT1721">
        <f>HYPERLINK("http://www.worldcat.org/oclc/24247022","WorldCat Record")</f>
        <v/>
      </c>
      <c r="AU1721" t="inlineStr">
        <is>
          <t>4241262809:eng</t>
        </is>
      </c>
      <c r="AV1721" t="inlineStr">
        <is>
          <t>24247022</t>
        </is>
      </c>
      <c r="AW1721" t="inlineStr">
        <is>
          <t>991001921189702656</t>
        </is>
      </c>
      <c r="AX1721" t="inlineStr">
        <is>
          <t>991001921189702656</t>
        </is>
      </c>
      <c r="AY1721" t="inlineStr">
        <is>
          <t>2262482610002656</t>
        </is>
      </c>
      <c r="AZ1721" t="inlineStr">
        <is>
          <t>BOOK</t>
        </is>
      </c>
      <c r="BB1721" t="inlineStr">
        <is>
          <t>9780394580272</t>
        </is>
      </c>
      <c r="BC1721" t="inlineStr">
        <is>
          <t>32285001006393</t>
        </is>
      </c>
      <c r="BD1721" t="inlineStr">
        <is>
          <t>893322359</t>
        </is>
      </c>
    </row>
    <row r="1722">
      <c r="A1722" t="inlineStr">
        <is>
          <t>No</t>
        </is>
      </c>
      <c r="B1722" t="inlineStr">
        <is>
          <t>DP402.E8 J6 1963</t>
        </is>
      </c>
      <c r="C1722" t="inlineStr">
        <is>
          <t>0                      DP 0402000E  8                  J  6           1963</t>
        </is>
      </c>
      <c r="D1722" t="inlineStr">
        <is>
          <t>Fundacion del monasteio de el Escorial / Prologo de Federico Carlos Sainz de Robles.</t>
        </is>
      </c>
      <c r="F1722" t="inlineStr">
        <is>
          <t>No</t>
        </is>
      </c>
      <c r="G1722" t="inlineStr">
        <is>
          <t>1</t>
        </is>
      </c>
      <c r="H1722" t="inlineStr">
        <is>
          <t>No</t>
        </is>
      </c>
      <c r="I1722" t="inlineStr">
        <is>
          <t>No</t>
        </is>
      </c>
      <c r="J1722" t="inlineStr">
        <is>
          <t>0</t>
        </is>
      </c>
      <c r="K1722" t="inlineStr">
        <is>
          <t>Sigüenza, José de, approximately 1544-1606.</t>
        </is>
      </c>
      <c r="L1722" t="inlineStr">
        <is>
          <t>Madrid : Aguilar, [c1963]</t>
        </is>
      </c>
      <c r="M1722" t="inlineStr">
        <is>
          <t>1963</t>
        </is>
      </c>
      <c r="O1722" t="inlineStr">
        <is>
          <t>spa</t>
        </is>
      </c>
      <c r="P1722" t="inlineStr">
        <is>
          <t xml:space="preserve">sp </t>
        </is>
      </c>
      <c r="R1722" t="inlineStr">
        <is>
          <t xml:space="preserve">DP </t>
        </is>
      </c>
      <c r="S1722" t="n">
        <v>2</v>
      </c>
      <c r="T1722" t="n">
        <v>2</v>
      </c>
      <c r="U1722" t="inlineStr">
        <is>
          <t>2009-02-23</t>
        </is>
      </c>
      <c r="V1722" t="inlineStr">
        <is>
          <t>2009-02-23</t>
        </is>
      </c>
      <c r="W1722" t="inlineStr">
        <is>
          <t>1996-08-01</t>
        </is>
      </c>
      <c r="X1722" t="inlineStr">
        <is>
          <t>1996-08-01</t>
        </is>
      </c>
      <c r="Y1722" t="n">
        <v>50</v>
      </c>
      <c r="Z1722" t="n">
        <v>46</v>
      </c>
      <c r="AA1722" t="n">
        <v>48</v>
      </c>
      <c r="AB1722" t="n">
        <v>1</v>
      </c>
      <c r="AC1722" t="n">
        <v>1</v>
      </c>
      <c r="AD1722" t="n">
        <v>4</v>
      </c>
      <c r="AE1722" t="n">
        <v>4</v>
      </c>
      <c r="AF1722" t="n">
        <v>0</v>
      </c>
      <c r="AG1722" t="n">
        <v>0</v>
      </c>
      <c r="AH1722" t="n">
        <v>2</v>
      </c>
      <c r="AI1722" t="n">
        <v>2</v>
      </c>
      <c r="AJ1722" t="n">
        <v>2</v>
      </c>
      <c r="AK1722" t="n">
        <v>2</v>
      </c>
      <c r="AL1722" t="n">
        <v>0</v>
      </c>
      <c r="AM1722" t="n">
        <v>0</v>
      </c>
      <c r="AN1722" t="n">
        <v>0</v>
      </c>
      <c r="AO1722" t="n">
        <v>0</v>
      </c>
      <c r="AP1722" t="inlineStr">
        <is>
          <t>No</t>
        </is>
      </c>
      <c r="AQ1722" t="inlineStr">
        <is>
          <t>Yes</t>
        </is>
      </c>
      <c r="AR1722">
        <f>HYPERLINK("http://catalog.hathitrust.org/Record/007348045","HathiTrust Record")</f>
        <v/>
      </c>
      <c r="AS1722">
        <f>HYPERLINK("https://creighton-primo.hosted.exlibrisgroup.com/primo-explore/search?tab=default_tab&amp;search_scope=EVERYTHING&amp;vid=01CRU&amp;lang=en_US&amp;offset=0&amp;query=any,contains,991005235039702656","Catalog Record")</f>
        <v/>
      </c>
      <c r="AT1722">
        <f>HYPERLINK("http://www.worldcat.org/oclc/8365288","WorldCat Record")</f>
        <v/>
      </c>
      <c r="AU1722" t="inlineStr">
        <is>
          <t>8912569065:spa</t>
        </is>
      </c>
      <c r="AV1722" t="inlineStr">
        <is>
          <t>8365288</t>
        </is>
      </c>
      <c r="AW1722" t="inlineStr">
        <is>
          <t>991005235039702656</t>
        </is>
      </c>
      <c r="AX1722" t="inlineStr">
        <is>
          <t>991005235039702656</t>
        </is>
      </c>
      <c r="AY1722" t="inlineStr">
        <is>
          <t>2261543560002656</t>
        </is>
      </c>
      <c r="AZ1722" t="inlineStr">
        <is>
          <t>BOOK</t>
        </is>
      </c>
      <c r="BC1722" t="inlineStr">
        <is>
          <t>32285002209152</t>
        </is>
      </c>
      <c r="BD1722" t="inlineStr">
        <is>
          <t>893777081</t>
        </is>
      </c>
    </row>
    <row r="1723">
      <c r="A1723" t="inlineStr">
        <is>
          <t>No</t>
        </is>
      </c>
      <c r="B1723" t="inlineStr">
        <is>
          <t>DP402.G6 S68 1988</t>
        </is>
      </c>
      <c r="C1723" t="inlineStr">
        <is>
          <t>0                      DP 0402000G  6                  S  68          1988</t>
        </is>
      </c>
      <c r="D1723" t="inlineStr">
        <is>
          <t>Cultura y picaresca en la Granada de la Ilustración : D. Juan de Flores y Oddouz / Manuel Sotomayor.</t>
        </is>
      </c>
      <c r="F1723" t="inlineStr">
        <is>
          <t>No</t>
        </is>
      </c>
      <c r="G1723" t="inlineStr">
        <is>
          <t>1</t>
        </is>
      </c>
      <c r="H1723" t="inlineStr">
        <is>
          <t>No</t>
        </is>
      </c>
      <c r="I1723" t="inlineStr">
        <is>
          <t>No</t>
        </is>
      </c>
      <c r="J1723" t="inlineStr">
        <is>
          <t>0</t>
        </is>
      </c>
      <c r="K1723" t="inlineStr">
        <is>
          <t>Sotomayor, Manuel.</t>
        </is>
      </c>
      <c r="L1723" t="inlineStr">
        <is>
          <t>Granada : Universidad de Granada, Centro de Estudios Históricos de Granada y Su Reino, 1988.</t>
        </is>
      </c>
      <c r="M1723" t="inlineStr">
        <is>
          <t>1988</t>
        </is>
      </c>
      <c r="O1723" t="inlineStr">
        <is>
          <t>spa</t>
        </is>
      </c>
      <c r="P1723" t="inlineStr">
        <is>
          <t xml:space="preserve">sp </t>
        </is>
      </c>
      <c r="R1723" t="inlineStr">
        <is>
          <t xml:space="preserve">DP </t>
        </is>
      </c>
      <c r="S1723" t="n">
        <v>0</v>
      </c>
      <c r="T1723" t="n">
        <v>0</v>
      </c>
      <c r="U1723" t="inlineStr">
        <is>
          <t>2006-06-09</t>
        </is>
      </c>
      <c r="V1723" t="inlineStr">
        <is>
          <t>2006-06-09</t>
        </is>
      </c>
      <c r="W1723" t="inlineStr">
        <is>
          <t>1993-07-12</t>
        </is>
      </c>
      <c r="X1723" t="inlineStr">
        <is>
          <t>1993-07-12</t>
        </is>
      </c>
      <c r="Y1723" t="n">
        <v>9</v>
      </c>
      <c r="Z1723" t="n">
        <v>6</v>
      </c>
      <c r="AA1723" t="n">
        <v>7</v>
      </c>
      <c r="AB1723" t="n">
        <v>1</v>
      </c>
      <c r="AC1723" t="n">
        <v>1</v>
      </c>
      <c r="AD1723" t="n">
        <v>0</v>
      </c>
      <c r="AE1723" t="n">
        <v>0</v>
      </c>
      <c r="AF1723" t="n">
        <v>0</v>
      </c>
      <c r="AG1723" t="n">
        <v>0</v>
      </c>
      <c r="AH1723" t="n">
        <v>0</v>
      </c>
      <c r="AI1723" t="n">
        <v>0</v>
      </c>
      <c r="AJ1723" t="n">
        <v>0</v>
      </c>
      <c r="AK1723" t="n">
        <v>0</v>
      </c>
      <c r="AL1723" t="n">
        <v>0</v>
      </c>
      <c r="AM1723" t="n">
        <v>0</v>
      </c>
      <c r="AN1723" t="n">
        <v>0</v>
      </c>
      <c r="AO1723" t="n">
        <v>0</v>
      </c>
      <c r="AP1723" t="inlineStr">
        <is>
          <t>No</t>
        </is>
      </c>
      <c r="AQ1723" t="inlineStr">
        <is>
          <t>Yes</t>
        </is>
      </c>
      <c r="AR1723">
        <f>HYPERLINK("http://catalog.hathitrust.org/Record/010975116","HathiTrust Record")</f>
        <v/>
      </c>
      <c r="AS1723">
        <f>HYPERLINK("https://creighton-primo.hosted.exlibrisgroup.com/primo-explore/search?tab=default_tab&amp;search_scope=EVERYTHING&amp;vid=01CRU&amp;lang=en_US&amp;offset=0&amp;query=any,contains,991002078499702656","Catalog Record")</f>
        <v/>
      </c>
      <c r="AT1723">
        <f>HYPERLINK("http://www.worldcat.org/oclc/26637878","WorldCat Record")</f>
        <v/>
      </c>
      <c r="AU1723" t="inlineStr">
        <is>
          <t>197259709:spa</t>
        </is>
      </c>
      <c r="AV1723" t="inlineStr">
        <is>
          <t>26637878</t>
        </is>
      </c>
      <c r="AW1723" t="inlineStr">
        <is>
          <t>991002078499702656</t>
        </is>
      </c>
      <c r="AX1723" t="inlineStr">
        <is>
          <t>991002078499702656</t>
        </is>
      </c>
      <c r="AY1723" t="inlineStr">
        <is>
          <t>2263797750002656</t>
        </is>
      </c>
      <c r="AZ1723" t="inlineStr">
        <is>
          <t>BOOK</t>
        </is>
      </c>
      <c r="BB1723" t="inlineStr">
        <is>
          <t>9788433807373</t>
        </is>
      </c>
      <c r="BC1723" t="inlineStr">
        <is>
          <t>32285000622000</t>
        </is>
      </c>
      <c r="BD1723" t="inlineStr">
        <is>
          <t>893703649</t>
        </is>
      </c>
    </row>
    <row r="1724">
      <c r="A1724" t="inlineStr">
        <is>
          <t>No</t>
        </is>
      </c>
      <c r="B1724" t="inlineStr">
        <is>
          <t>DP402.S23 S77 1978</t>
        </is>
      </c>
      <c r="C1724" t="inlineStr">
        <is>
          <t>0                      DP 0402000S  23                 S  77          1978</t>
        </is>
      </c>
      <c r="D1724" t="inlineStr">
        <is>
          <t>Santiago de Compostela : in the age of Great pilgrimages / by Marilyn Stokstad.</t>
        </is>
      </c>
      <c r="F1724" t="inlineStr">
        <is>
          <t>No</t>
        </is>
      </c>
      <c r="G1724" t="inlineStr">
        <is>
          <t>1</t>
        </is>
      </c>
      <c r="H1724" t="inlineStr">
        <is>
          <t>No</t>
        </is>
      </c>
      <c r="I1724" t="inlineStr">
        <is>
          <t>No</t>
        </is>
      </c>
      <c r="J1724" t="inlineStr">
        <is>
          <t>0</t>
        </is>
      </c>
      <c r="K1724" t="inlineStr">
        <is>
          <t>Stokstad, Marilyn, 1929-2016.</t>
        </is>
      </c>
      <c r="L1724" t="inlineStr">
        <is>
          <t>Norman : University of Oklahoma Press, [1978] c1977.</t>
        </is>
      </c>
      <c r="M1724" t="inlineStr">
        <is>
          <t>1978</t>
        </is>
      </c>
      <c r="O1724" t="inlineStr">
        <is>
          <t>eng</t>
        </is>
      </c>
      <c r="P1724" t="inlineStr">
        <is>
          <t>oku</t>
        </is>
      </c>
      <c r="Q1724" t="inlineStr">
        <is>
          <t>The Centers of civilization series</t>
        </is>
      </c>
      <c r="R1724" t="inlineStr">
        <is>
          <t xml:space="preserve">DP </t>
        </is>
      </c>
      <c r="S1724" t="n">
        <v>2</v>
      </c>
      <c r="T1724" t="n">
        <v>2</v>
      </c>
      <c r="U1724" t="inlineStr">
        <is>
          <t>2009-04-07</t>
        </is>
      </c>
      <c r="V1724" t="inlineStr">
        <is>
          <t>2009-04-07</t>
        </is>
      </c>
      <c r="W1724" t="inlineStr">
        <is>
          <t>1991-10-23</t>
        </is>
      </c>
      <c r="X1724" t="inlineStr">
        <is>
          <t>1991-10-23</t>
        </is>
      </c>
      <c r="Y1724" t="n">
        <v>456</v>
      </c>
      <c r="Z1724" t="n">
        <v>416</v>
      </c>
      <c r="AA1724" t="n">
        <v>459</v>
      </c>
      <c r="AB1724" t="n">
        <v>3</v>
      </c>
      <c r="AC1724" t="n">
        <v>3</v>
      </c>
      <c r="AD1724" t="n">
        <v>21</v>
      </c>
      <c r="AE1724" t="n">
        <v>23</v>
      </c>
      <c r="AF1724" t="n">
        <v>8</v>
      </c>
      <c r="AG1724" t="n">
        <v>10</v>
      </c>
      <c r="AH1724" t="n">
        <v>5</v>
      </c>
      <c r="AI1724" t="n">
        <v>5</v>
      </c>
      <c r="AJ1724" t="n">
        <v>11</v>
      </c>
      <c r="AK1724" t="n">
        <v>12</v>
      </c>
      <c r="AL1724" t="n">
        <v>2</v>
      </c>
      <c r="AM1724" t="n">
        <v>2</v>
      </c>
      <c r="AN1724" t="n">
        <v>0</v>
      </c>
      <c r="AO1724" t="n">
        <v>0</v>
      </c>
      <c r="AP1724" t="inlineStr">
        <is>
          <t>No</t>
        </is>
      </c>
      <c r="AQ1724" t="inlineStr">
        <is>
          <t>Yes</t>
        </is>
      </c>
      <c r="AR1724">
        <f>HYPERLINK("http://catalog.hathitrust.org/Record/000089483","HathiTrust Record")</f>
        <v/>
      </c>
      <c r="AS1724">
        <f>HYPERLINK("https://creighton-primo.hosted.exlibrisgroup.com/primo-explore/search?tab=default_tab&amp;search_scope=EVERYTHING&amp;vid=01CRU&amp;lang=en_US&amp;offset=0&amp;query=any,contains,991004459049702656","Catalog Record")</f>
        <v/>
      </c>
      <c r="AT1724">
        <f>HYPERLINK("http://www.worldcat.org/oclc/3541669","WorldCat Record")</f>
        <v/>
      </c>
      <c r="AU1724" t="inlineStr">
        <is>
          <t>11355327:eng</t>
        </is>
      </c>
      <c r="AV1724" t="inlineStr">
        <is>
          <t>3541669</t>
        </is>
      </c>
      <c r="AW1724" t="inlineStr">
        <is>
          <t>991004459049702656</t>
        </is>
      </c>
      <c r="AX1724" t="inlineStr">
        <is>
          <t>991004459049702656</t>
        </is>
      </c>
      <c r="AY1724" t="inlineStr">
        <is>
          <t>2266376820002656</t>
        </is>
      </c>
      <c r="AZ1724" t="inlineStr">
        <is>
          <t>BOOK</t>
        </is>
      </c>
      <c r="BB1724" t="inlineStr">
        <is>
          <t>9780806114545</t>
        </is>
      </c>
      <c r="BC1724" t="inlineStr">
        <is>
          <t>32285000653740</t>
        </is>
      </c>
      <c r="BD1724" t="inlineStr">
        <is>
          <t>893782267</t>
        </is>
      </c>
    </row>
    <row r="1725">
      <c r="A1725" t="inlineStr">
        <is>
          <t>No</t>
        </is>
      </c>
      <c r="B1725" t="inlineStr">
        <is>
          <t>DP402.S44 B6 1984</t>
        </is>
      </c>
      <c r="C1725" t="inlineStr">
        <is>
          <t>0                      DP 0402000S  44                 B  6           1984</t>
        </is>
      </c>
      <c r="D1725" t="inlineStr">
        <is>
          <t>La Sevilla Islámica, 712-1248 / Jacinto Bosch Vilá.</t>
        </is>
      </c>
      <c r="F1725" t="inlineStr">
        <is>
          <t>No</t>
        </is>
      </c>
      <c r="G1725" t="inlineStr">
        <is>
          <t>1</t>
        </is>
      </c>
      <c r="H1725" t="inlineStr">
        <is>
          <t>No</t>
        </is>
      </c>
      <c r="I1725" t="inlineStr">
        <is>
          <t>No</t>
        </is>
      </c>
      <c r="J1725" t="inlineStr">
        <is>
          <t>0</t>
        </is>
      </c>
      <c r="K1725" t="inlineStr">
        <is>
          <t>Bosch Vilá, Jacinto.</t>
        </is>
      </c>
      <c r="L1725" t="inlineStr">
        <is>
          <t>Sevilla : Servicio de Publicaciones de la Universidad de Sevilla, 1984.</t>
        </is>
      </c>
      <c r="M1725" t="inlineStr">
        <is>
          <t>1984</t>
        </is>
      </c>
      <c r="O1725" t="inlineStr">
        <is>
          <t>spa</t>
        </is>
      </c>
      <c r="P1725" t="inlineStr">
        <is>
          <t xml:space="preserve">sp </t>
        </is>
      </c>
      <c r="Q1725" t="inlineStr">
        <is>
          <t>Historia de Sevilla</t>
        </is>
      </c>
      <c r="R1725" t="inlineStr">
        <is>
          <t xml:space="preserve">DP </t>
        </is>
      </c>
      <c r="S1725" t="n">
        <v>2</v>
      </c>
      <c r="T1725" t="n">
        <v>2</v>
      </c>
      <c r="U1725" t="inlineStr">
        <is>
          <t>2008-10-30</t>
        </is>
      </c>
      <c r="V1725" t="inlineStr">
        <is>
          <t>2008-10-30</t>
        </is>
      </c>
      <c r="W1725" t="inlineStr">
        <is>
          <t>1991-10-23</t>
        </is>
      </c>
      <c r="X1725" t="inlineStr">
        <is>
          <t>1991-10-23</t>
        </is>
      </c>
      <c r="Y1725" t="n">
        <v>48</v>
      </c>
      <c r="Z1725" t="n">
        <v>31</v>
      </c>
      <c r="AA1725" t="n">
        <v>39</v>
      </c>
      <c r="AB1725" t="n">
        <v>1</v>
      </c>
      <c r="AC1725" t="n">
        <v>1</v>
      </c>
      <c r="AD1725" t="n">
        <v>3</v>
      </c>
      <c r="AE1725" t="n">
        <v>5</v>
      </c>
      <c r="AF1725" t="n">
        <v>1</v>
      </c>
      <c r="AG1725" t="n">
        <v>1</v>
      </c>
      <c r="AH1725" t="n">
        <v>2</v>
      </c>
      <c r="AI1725" t="n">
        <v>3</v>
      </c>
      <c r="AJ1725" t="n">
        <v>1</v>
      </c>
      <c r="AK1725" t="n">
        <v>2</v>
      </c>
      <c r="AL1725" t="n">
        <v>0</v>
      </c>
      <c r="AM1725" t="n">
        <v>0</v>
      </c>
      <c r="AN1725" t="n">
        <v>0</v>
      </c>
      <c r="AO1725" t="n">
        <v>0</v>
      </c>
      <c r="AP1725" t="inlineStr">
        <is>
          <t>No</t>
        </is>
      </c>
      <c r="AQ1725" t="inlineStr">
        <is>
          <t>Yes</t>
        </is>
      </c>
      <c r="AR1725">
        <f>HYPERLINK("http://catalog.hathitrust.org/Record/102123830","HathiTrust Record")</f>
        <v/>
      </c>
      <c r="AS1725">
        <f>HYPERLINK("https://creighton-primo.hosted.exlibrisgroup.com/primo-explore/search?tab=default_tab&amp;search_scope=EVERYTHING&amp;vid=01CRU&amp;lang=en_US&amp;offset=0&amp;query=any,contains,991000713169702656","Catalog Record")</f>
        <v/>
      </c>
      <c r="AT1725">
        <f>HYPERLINK("http://www.worldcat.org/oclc/12808363","WorldCat Record")</f>
        <v/>
      </c>
      <c r="AU1725" t="inlineStr">
        <is>
          <t>4451740265:spa</t>
        </is>
      </c>
      <c r="AV1725" t="inlineStr">
        <is>
          <t>12808363</t>
        </is>
      </c>
      <c r="AW1725" t="inlineStr">
        <is>
          <t>991000713169702656</t>
        </is>
      </c>
      <c r="AX1725" t="inlineStr">
        <is>
          <t>991000713169702656</t>
        </is>
      </c>
      <c r="AY1725" t="inlineStr">
        <is>
          <t>2261358140002656</t>
        </is>
      </c>
      <c r="AZ1725" t="inlineStr">
        <is>
          <t>BOOK</t>
        </is>
      </c>
      <c r="BB1725" t="inlineStr">
        <is>
          <t>9788474052947</t>
        </is>
      </c>
      <c r="BC1725" t="inlineStr">
        <is>
          <t>32285000653757</t>
        </is>
      </c>
      <c r="BD1725" t="inlineStr">
        <is>
          <t>893249615</t>
        </is>
      </c>
    </row>
    <row r="1726">
      <c r="A1726" t="inlineStr">
        <is>
          <t>No</t>
        </is>
      </c>
      <c r="B1726" t="inlineStr">
        <is>
          <t>DP402.S47 R6</t>
        </is>
      </c>
      <c r="C1726" t="inlineStr">
        <is>
          <t>0                      DP 0402000S  47                 R  6</t>
        </is>
      </c>
      <c r="D1726" t="inlineStr">
        <is>
          <t>El Alcazar de Sevilla.</t>
        </is>
      </c>
      <c r="F1726" t="inlineStr">
        <is>
          <t>No</t>
        </is>
      </c>
      <c r="G1726" t="inlineStr">
        <is>
          <t>1</t>
        </is>
      </c>
      <c r="H1726" t="inlineStr">
        <is>
          <t>No</t>
        </is>
      </c>
      <c r="I1726" t="inlineStr">
        <is>
          <t>No</t>
        </is>
      </c>
      <c r="J1726" t="inlineStr">
        <is>
          <t>0</t>
        </is>
      </c>
      <c r="K1726" t="inlineStr">
        <is>
          <t>Romero y Murube, F.</t>
        </is>
      </c>
      <c r="L1726" t="inlineStr">
        <is>
          <t>Madrid, Editorial Patrimonio Nacional, 1960.</t>
        </is>
      </c>
      <c r="M1726" t="inlineStr">
        <is>
          <t>1960</t>
        </is>
      </c>
      <c r="O1726" t="inlineStr">
        <is>
          <t>spa</t>
        </is>
      </c>
      <c r="P1726" t="inlineStr">
        <is>
          <t xml:space="preserve">sp </t>
        </is>
      </c>
      <c r="Q1726" t="inlineStr">
        <is>
          <t>Guia Turistica</t>
        </is>
      </c>
      <c r="R1726" t="inlineStr">
        <is>
          <t xml:space="preserve">DP </t>
        </is>
      </c>
      <c r="S1726" t="n">
        <v>3</v>
      </c>
      <c r="T1726" t="n">
        <v>3</v>
      </c>
      <c r="U1726" t="inlineStr">
        <is>
          <t>1998-12-09</t>
        </is>
      </c>
      <c r="V1726" t="inlineStr">
        <is>
          <t>1998-12-09</t>
        </is>
      </c>
      <c r="W1726" t="inlineStr">
        <is>
          <t>1997-02-14</t>
        </is>
      </c>
      <c r="X1726" t="inlineStr">
        <is>
          <t>1997-02-14</t>
        </is>
      </c>
      <c r="Y1726" t="n">
        <v>4</v>
      </c>
      <c r="Z1726" t="n">
        <v>3</v>
      </c>
      <c r="AA1726" t="n">
        <v>4</v>
      </c>
      <c r="AB1726" t="n">
        <v>1</v>
      </c>
      <c r="AC1726" t="n">
        <v>1</v>
      </c>
      <c r="AD1726" t="n">
        <v>0</v>
      </c>
      <c r="AE1726" t="n">
        <v>0</v>
      </c>
      <c r="AF1726" t="n">
        <v>0</v>
      </c>
      <c r="AG1726" t="n">
        <v>0</v>
      </c>
      <c r="AH1726" t="n">
        <v>0</v>
      </c>
      <c r="AI1726" t="n">
        <v>0</v>
      </c>
      <c r="AJ1726" t="n">
        <v>0</v>
      </c>
      <c r="AK1726" t="n">
        <v>0</v>
      </c>
      <c r="AL1726" t="n">
        <v>0</v>
      </c>
      <c r="AM1726" t="n">
        <v>0</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HYPERLINK("https://creighton-primo.hosted.exlibrisgroup.com/primo-explore/search?tab=default_tab&amp;search_scope=EVERYTHING&amp;vid=01CRU&amp;lang=en_US&amp;offset=0&amp;query=any,contains,991002568449702656","Catalog Record")</f>
        <v/>
      </c>
      <c r="AT1726">
        <f>HYPERLINK("http://www.worldcat.org/oclc/33374097","WorldCat Record")</f>
        <v/>
      </c>
      <c r="AU1726" t="inlineStr">
        <is>
          <t>3980099988:spa</t>
        </is>
      </c>
      <c r="AV1726" t="inlineStr">
        <is>
          <t>33374097</t>
        </is>
      </c>
      <c r="AW1726" t="inlineStr">
        <is>
          <t>991002568449702656</t>
        </is>
      </c>
      <c r="AX1726" t="inlineStr">
        <is>
          <t>991002568449702656</t>
        </is>
      </c>
      <c r="AY1726" t="inlineStr">
        <is>
          <t>2263467630002656</t>
        </is>
      </c>
      <c r="AZ1726" t="inlineStr">
        <is>
          <t>BOOK</t>
        </is>
      </c>
      <c r="BC1726" t="inlineStr">
        <is>
          <t>32285002439791</t>
        </is>
      </c>
      <c r="BD1726" t="inlineStr">
        <is>
          <t>893867397</t>
        </is>
      </c>
    </row>
    <row r="1727">
      <c r="A1727" t="inlineStr">
        <is>
          <t>No</t>
        </is>
      </c>
      <c r="B1727" t="inlineStr">
        <is>
          <t>DP42 .C4</t>
        </is>
      </c>
      <c r="C1727" t="inlineStr">
        <is>
          <t>0                      DP 0042000C  4</t>
        </is>
      </c>
      <c r="D1727" t="inlineStr">
        <is>
          <t>Tierra y alma española, por don Julio Cejador y Frauca ...</t>
        </is>
      </c>
      <c r="F1727" t="inlineStr">
        <is>
          <t>No</t>
        </is>
      </c>
      <c r="G1727" t="inlineStr">
        <is>
          <t>1</t>
        </is>
      </c>
      <c r="H1727" t="inlineStr">
        <is>
          <t>No</t>
        </is>
      </c>
      <c r="I1727" t="inlineStr">
        <is>
          <t>No</t>
        </is>
      </c>
      <c r="J1727" t="inlineStr">
        <is>
          <t>0</t>
        </is>
      </c>
      <c r="K1727" t="inlineStr">
        <is>
          <t>Cejador y Frauca, Julio, 1864-1927.</t>
        </is>
      </c>
      <c r="L1727" t="inlineStr">
        <is>
          <t>Madrid, Sucesores de Rivadeneyra (s.a.) [1925]</t>
        </is>
      </c>
      <c r="M1727" t="inlineStr">
        <is>
          <t>1925</t>
        </is>
      </c>
      <c r="O1727" t="inlineStr">
        <is>
          <t>spa</t>
        </is>
      </c>
      <c r="P1727" t="inlineStr">
        <is>
          <t xml:space="preserve">sp </t>
        </is>
      </c>
      <c r="R1727" t="inlineStr">
        <is>
          <t xml:space="preserve">DP </t>
        </is>
      </c>
      <c r="S1727" t="n">
        <v>1</v>
      </c>
      <c r="T1727" t="n">
        <v>1</v>
      </c>
      <c r="U1727" t="inlineStr">
        <is>
          <t>2008-09-04</t>
        </is>
      </c>
      <c r="V1727" t="inlineStr">
        <is>
          <t>2008-09-04</t>
        </is>
      </c>
      <c r="W1727" t="inlineStr">
        <is>
          <t>1997-02-12</t>
        </is>
      </c>
      <c r="X1727" t="inlineStr">
        <is>
          <t>1997-02-12</t>
        </is>
      </c>
      <c r="Y1727" t="n">
        <v>57</v>
      </c>
      <c r="Z1727" t="n">
        <v>52</v>
      </c>
      <c r="AA1727" t="n">
        <v>61</v>
      </c>
      <c r="AB1727" t="n">
        <v>1</v>
      </c>
      <c r="AC1727" t="n">
        <v>1</v>
      </c>
      <c r="AD1727" t="n">
        <v>0</v>
      </c>
      <c r="AE1727" t="n">
        <v>0</v>
      </c>
      <c r="AF1727" t="n">
        <v>0</v>
      </c>
      <c r="AG1727" t="n">
        <v>0</v>
      </c>
      <c r="AH1727" t="n">
        <v>0</v>
      </c>
      <c r="AI1727" t="n">
        <v>0</v>
      </c>
      <c r="AJ1727" t="n">
        <v>0</v>
      </c>
      <c r="AK1727" t="n">
        <v>0</v>
      </c>
      <c r="AL1727" t="n">
        <v>0</v>
      </c>
      <c r="AM1727" t="n">
        <v>0</v>
      </c>
      <c r="AN1727" t="n">
        <v>0</v>
      </c>
      <c r="AO1727" t="n">
        <v>0</v>
      </c>
      <c r="AP1727" t="inlineStr">
        <is>
          <t>No</t>
        </is>
      </c>
      <c r="AQ1727" t="inlineStr">
        <is>
          <t>Yes</t>
        </is>
      </c>
      <c r="AR1727">
        <f>HYPERLINK("http://catalog.hathitrust.org/Record/006572112","HathiTrust Record")</f>
        <v/>
      </c>
      <c r="AS1727">
        <f>HYPERLINK("https://creighton-primo.hosted.exlibrisgroup.com/primo-explore/search?tab=default_tab&amp;search_scope=EVERYTHING&amp;vid=01CRU&amp;lang=en_US&amp;offset=0&amp;query=any,contains,991004409739702656","Catalog Record")</f>
        <v/>
      </c>
      <c r="AT1727">
        <f>HYPERLINK("http://www.worldcat.org/oclc/3334437","WorldCat Record")</f>
        <v/>
      </c>
      <c r="AU1727" t="inlineStr">
        <is>
          <t>9891847:spa</t>
        </is>
      </c>
      <c r="AV1727" t="inlineStr">
        <is>
          <t>3334437</t>
        </is>
      </c>
      <c r="AW1727" t="inlineStr">
        <is>
          <t>991004409739702656</t>
        </is>
      </c>
      <c r="AX1727" t="inlineStr">
        <is>
          <t>991004409739702656</t>
        </is>
      </c>
      <c r="AY1727" t="inlineStr">
        <is>
          <t>2269869920002656</t>
        </is>
      </c>
      <c r="AZ1727" t="inlineStr">
        <is>
          <t>BOOK</t>
        </is>
      </c>
      <c r="BC1727" t="inlineStr">
        <is>
          <t>32285002436367</t>
        </is>
      </c>
      <c r="BD1727" t="inlineStr">
        <is>
          <t>893500525</t>
        </is>
      </c>
    </row>
    <row r="1728">
      <c r="A1728" t="inlineStr">
        <is>
          <t>No</t>
        </is>
      </c>
      <c r="B1728" t="inlineStr">
        <is>
          <t>DP42 .C7</t>
        </is>
      </c>
      <c r="C1728" t="inlineStr">
        <is>
          <t>0                      DP 0042000C  7</t>
        </is>
      </c>
      <c r="D1728" t="inlineStr">
        <is>
          <t>Cathedral cities of Spain, by W.W. Collins, R.I. Illustrations by the author.</t>
        </is>
      </c>
      <c r="F1728" t="inlineStr">
        <is>
          <t>No</t>
        </is>
      </c>
      <c r="G1728" t="inlineStr">
        <is>
          <t>1</t>
        </is>
      </c>
      <c r="H1728" t="inlineStr">
        <is>
          <t>No</t>
        </is>
      </c>
      <c r="I1728" t="inlineStr">
        <is>
          <t>No</t>
        </is>
      </c>
      <c r="J1728" t="inlineStr">
        <is>
          <t>0</t>
        </is>
      </c>
      <c r="K1728" t="inlineStr">
        <is>
          <t>Collins, W. W. (William Wiehe), 1862-</t>
        </is>
      </c>
      <c r="L1728" t="inlineStr">
        <is>
          <t>New York, Dodd, Mead and company, 1909.</t>
        </is>
      </c>
      <c r="M1728" t="inlineStr">
        <is>
          <t>1909</t>
        </is>
      </c>
      <c r="O1728" t="inlineStr">
        <is>
          <t>eng</t>
        </is>
      </c>
      <c r="P1728" t="inlineStr">
        <is>
          <t>nyu</t>
        </is>
      </c>
      <c r="R1728" t="inlineStr">
        <is>
          <t xml:space="preserve">DP </t>
        </is>
      </c>
      <c r="S1728" t="n">
        <v>1</v>
      </c>
      <c r="T1728" t="n">
        <v>1</v>
      </c>
      <c r="U1728" t="inlineStr">
        <is>
          <t>2001-11-15</t>
        </is>
      </c>
      <c r="V1728" t="inlineStr">
        <is>
          <t>2001-11-15</t>
        </is>
      </c>
      <c r="W1728" t="inlineStr">
        <is>
          <t>1997-02-12</t>
        </is>
      </c>
      <c r="X1728" t="inlineStr">
        <is>
          <t>1997-02-12</t>
        </is>
      </c>
      <c r="Y1728" t="n">
        <v>170</v>
      </c>
      <c r="Z1728" t="n">
        <v>155</v>
      </c>
      <c r="AA1728" t="n">
        <v>277</v>
      </c>
      <c r="AB1728" t="n">
        <v>3</v>
      </c>
      <c r="AC1728" t="n">
        <v>4</v>
      </c>
      <c r="AD1728" t="n">
        <v>11</v>
      </c>
      <c r="AE1728" t="n">
        <v>15</v>
      </c>
      <c r="AF1728" t="n">
        <v>2</v>
      </c>
      <c r="AG1728" t="n">
        <v>2</v>
      </c>
      <c r="AH1728" t="n">
        <v>3</v>
      </c>
      <c r="AI1728" t="n">
        <v>4</v>
      </c>
      <c r="AJ1728" t="n">
        <v>6</v>
      </c>
      <c r="AK1728" t="n">
        <v>10</v>
      </c>
      <c r="AL1728" t="n">
        <v>2</v>
      </c>
      <c r="AM1728" t="n">
        <v>2</v>
      </c>
      <c r="AN1728" t="n">
        <v>0</v>
      </c>
      <c r="AO1728" t="n">
        <v>0</v>
      </c>
      <c r="AP1728" t="inlineStr">
        <is>
          <t>Yes</t>
        </is>
      </c>
      <c r="AQ1728" t="inlineStr">
        <is>
          <t>No</t>
        </is>
      </c>
      <c r="AR1728">
        <f>HYPERLINK("http://catalog.hathitrust.org/Record/006252716","HathiTrust Record")</f>
        <v/>
      </c>
      <c r="AS1728">
        <f>HYPERLINK("https://creighton-primo.hosted.exlibrisgroup.com/primo-explore/search?tab=default_tab&amp;search_scope=EVERYTHING&amp;vid=01CRU&amp;lang=en_US&amp;offset=0&amp;query=any,contains,991001918419702656","Catalog Record")</f>
        <v/>
      </c>
      <c r="AT1728">
        <f>HYPERLINK("http://www.worldcat.org/oclc/244382","WorldCat Record")</f>
        <v/>
      </c>
      <c r="AU1728" t="inlineStr">
        <is>
          <t>3856298806:eng</t>
        </is>
      </c>
      <c r="AV1728" t="inlineStr">
        <is>
          <t>244382</t>
        </is>
      </c>
      <c r="AW1728" t="inlineStr">
        <is>
          <t>991001918419702656</t>
        </is>
      </c>
      <c r="AX1728" t="inlineStr">
        <is>
          <t>991001918419702656</t>
        </is>
      </c>
      <c r="AY1728" t="inlineStr">
        <is>
          <t>2270015850002656</t>
        </is>
      </c>
      <c r="AZ1728" t="inlineStr">
        <is>
          <t>BOOK</t>
        </is>
      </c>
      <c r="BC1728" t="inlineStr">
        <is>
          <t>32285002436409</t>
        </is>
      </c>
      <c r="BD1728" t="inlineStr">
        <is>
          <t>893516676</t>
        </is>
      </c>
    </row>
    <row r="1729">
      <c r="A1729" t="inlineStr">
        <is>
          <t>No</t>
        </is>
      </c>
      <c r="B1729" t="inlineStr">
        <is>
          <t>DP43 .M59 1979</t>
        </is>
      </c>
      <c r="C1729" t="inlineStr">
        <is>
          <t>0                      DP 0043000M  59          1979</t>
        </is>
      </c>
      <c r="D1729" t="inlineStr">
        <is>
          <t>Spain / Jan Morris.</t>
        </is>
      </c>
      <c r="F1729" t="inlineStr">
        <is>
          <t>No</t>
        </is>
      </c>
      <c r="G1729" t="inlineStr">
        <is>
          <t>1</t>
        </is>
      </c>
      <c r="H1729" t="inlineStr">
        <is>
          <t>No</t>
        </is>
      </c>
      <c r="I1729" t="inlineStr">
        <is>
          <t>No</t>
        </is>
      </c>
      <c r="J1729" t="inlineStr">
        <is>
          <t>0</t>
        </is>
      </c>
      <c r="K1729" t="inlineStr">
        <is>
          <t>Morris, Jan, 1926-</t>
        </is>
      </c>
      <c r="L1729" t="inlineStr">
        <is>
          <t>New York : Oxford University Press, 1979.</t>
        </is>
      </c>
      <c r="M1729" t="inlineStr">
        <is>
          <t>1979</t>
        </is>
      </c>
      <c r="O1729" t="inlineStr">
        <is>
          <t>eng</t>
        </is>
      </c>
      <c r="P1729" t="inlineStr">
        <is>
          <t xml:space="preserve">xx </t>
        </is>
      </c>
      <c r="R1729" t="inlineStr">
        <is>
          <t xml:space="preserve">DP </t>
        </is>
      </c>
      <c r="S1729" t="n">
        <v>2</v>
      </c>
      <c r="T1729" t="n">
        <v>2</v>
      </c>
      <c r="U1729" t="inlineStr">
        <is>
          <t>1992-11-16</t>
        </is>
      </c>
      <c r="V1729" t="inlineStr">
        <is>
          <t>1992-11-16</t>
        </is>
      </c>
      <c r="W1729" t="inlineStr">
        <is>
          <t>1991-09-13</t>
        </is>
      </c>
      <c r="X1729" t="inlineStr">
        <is>
          <t>1991-09-13</t>
        </is>
      </c>
      <c r="Y1729" t="n">
        <v>290</v>
      </c>
      <c r="Z1729" t="n">
        <v>281</v>
      </c>
      <c r="AA1729" t="n">
        <v>460</v>
      </c>
      <c r="AB1729" t="n">
        <v>1</v>
      </c>
      <c r="AC1729" t="n">
        <v>1</v>
      </c>
      <c r="AD1729" t="n">
        <v>7</v>
      </c>
      <c r="AE1729" t="n">
        <v>8</v>
      </c>
      <c r="AF1729" t="n">
        <v>3</v>
      </c>
      <c r="AG1729" t="n">
        <v>3</v>
      </c>
      <c r="AH1729" t="n">
        <v>1</v>
      </c>
      <c r="AI1729" t="n">
        <v>1</v>
      </c>
      <c r="AJ1729" t="n">
        <v>4</v>
      </c>
      <c r="AK1729" t="n">
        <v>5</v>
      </c>
      <c r="AL1729" t="n">
        <v>0</v>
      </c>
      <c r="AM1729" t="n">
        <v>0</v>
      </c>
      <c r="AN1729" t="n">
        <v>0</v>
      </c>
      <c r="AO1729" t="n">
        <v>0</v>
      </c>
      <c r="AP1729" t="inlineStr">
        <is>
          <t>No</t>
        </is>
      </c>
      <c r="AQ1729" t="inlineStr">
        <is>
          <t>Yes</t>
        </is>
      </c>
      <c r="AR1729">
        <f>HYPERLINK("http://catalog.hathitrust.org/Record/000684424","HathiTrust Record")</f>
        <v/>
      </c>
      <c r="AS1729">
        <f>HYPERLINK("https://creighton-primo.hosted.exlibrisgroup.com/primo-explore/search?tab=default_tab&amp;search_scope=EVERYTHING&amp;vid=01CRU&amp;lang=en_US&amp;offset=0&amp;query=any,contains,991004838079702656","Catalog Record")</f>
        <v/>
      </c>
      <c r="AT1729">
        <f>HYPERLINK("http://www.worldcat.org/oclc/5469992","WorldCat Record")</f>
        <v/>
      </c>
      <c r="AU1729" t="inlineStr">
        <is>
          <t>4928748814:eng</t>
        </is>
      </c>
      <c r="AV1729" t="inlineStr">
        <is>
          <t>5469992</t>
        </is>
      </c>
      <c r="AW1729" t="inlineStr">
        <is>
          <t>991004838079702656</t>
        </is>
      </c>
      <c r="AX1729" t="inlineStr">
        <is>
          <t>991004838079702656</t>
        </is>
      </c>
      <c r="AY1729" t="inlineStr">
        <is>
          <t>2270405710002656</t>
        </is>
      </c>
      <c r="AZ1729" t="inlineStr">
        <is>
          <t>BOOK</t>
        </is>
      </c>
      <c r="BB1729" t="inlineStr">
        <is>
          <t>9780195201697</t>
        </is>
      </c>
      <c r="BC1729" t="inlineStr">
        <is>
          <t>32285000651777</t>
        </is>
      </c>
      <c r="BD1729" t="inlineStr">
        <is>
          <t>893889355</t>
        </is>
      </c>
    </row>
    <row r="1730">
      <c r="A1730" t="inlineStr">
        <is>
          <t>No</t>
        </is>
      </c>
      <c r="B1730" t="inlineStr">
        <is>
          <t>DP43 .M67 1955a</t>
        </is>
      </c>
      <c r="C1730" t="inlineStr">
        <is>
          <t>0                      DP 0043000M  67          1955a</t>
        </is>
      </c>
      <c r="D1730" t="inlineStr">
        <is>
          <t>A stranger in Spain.</t>
        </is>
      </c>
      <c r="F1730" t="inlineStr">
        <is>
          <t>No</t>
        </is>
      </c>
      <c r="G1730" t="inlineStr">
        <is>
          <t>1</t>
        </is>
      </c>
      <c r="H1730" t="inlineStr">
        <is>
          <t>No</t>
        </is>
      </c>
      <c r="I1730" t="inlineStr">
        <is>
          <t>No</t>
        </is>
      </c>
      <c r="J1730" t="inlineStr">
        <is>
          <t>0</t>
        </is>
      </c>
      <c r="K1730" t="inlineStr">
        <is>
          <t>Morton, H. V. (Henry Vollam), 1892-1979.</t>
        </is>
      </c>
      <c r="L1730" t="inlineStr">
        <is>
          <t>New York : Dodd, Mead, [1955]</t>
        </is>
      </c>
      <c r="M1730" t="inlineStr">
        <is>
          <t>1955</t>
        </is>
      </c>
      <c r="O1730" t="inlineStr">
        <is>
          <t>eng</t>
        </is>
      </c>
      <c r="P1730" t="inlineStr">
        <is>
          <t>nyu</t>
        </is>
      </c>
      <c r="R1730" t="inlineStr">
        <is>
          <t xml:space="preserve">DP </t>
        </is>
      </c>
      <c r="S1730" t="n">
        <v>4</v>
      </c>
      <c r="T1730" t="n">
        <v>4</v>
      </c>
      <c r="U1730" t="inlineStr">
        <is>
          <t>1997-02-12</t>
        </is>
      </c>
      <c r="V1730" t="inlineStr">
        <is>
          <t>1997-02-12</t>
        </is>
      </c>
      <c r="W1730" t="inlineStr">
        <is>
          <t>1992-03-19</t>
        </is>
      </c>
      <c r="X1730" t="inlineStr">
        <is>
          <t>1992-03-19</t>
        </is>
      </c>
      <c r="Y1730" t="n">
        <v>495</v>
      </c>
      <c r="Z1730" t="n">
        <v>485</v>
      </c>
      <c r="AA1730" t="n">
        <v>595</v>
      </c>
      <c r="AB1730" t="n">
        <v>3</v>
      </c>
      <c r="AC1730" t="n">
        <v>3</v>
      </c>
      <c r="AD1730" t="n">
        <v>23</v>
      </c>
      <c r="AE1730" t="n">
        <v>27</v>
      </c>
      <c r="AF1730" t="n">
        <v>7</v>
      </c>
      <c r="AG1730" t="n">
        <v>10</v>
      </c>
      <c r="AH1730" t="n">
        <v>6</v>
      </c>
      <c r="AI1730" t="n">
        <v>6</v>
      </c>
      <c r="AJ1730" t="n">
        <v>16</v>
      </c>
      <c r="AK1730" t="n">
        <v>20</v>
      </c>
      <c r="AL1730" t="n">
        <v>1</v>
      </c>
      <c r="AM1730" t="n">
        <v>1</v>
      </c>
      <c r="AN1730" t="n">
        <v>0</v>
      </c>
      <c r="AO1730" t="n">
        <v>0</v>
      </c>
      <c r="AP1730" t="inlineStr">
        <is>
          <t>No</t>
        </is>
      </c>
      <c r="AQ1730" t="inlineStr">
        <is>
          <t>No</t>
        </is>
      </c>
      <c r="AR1730">
        <f>HYPERLINK("http://catalog.hathitrust.org/Record/001245792","HathiTrust Record")</f>
        <v/>
      </c>
      <c r="AS1730">
        <f>HYPERLINK("https://creighton-primo.hosted.exlibrisgroup.com/primo-explore/search?tab=default_tab&amp;search_scope=EVERYTHING&amp;vid=01CRU&amp;lang=en_US&amp;offset=0&amp;query=any,contains,991003633849702656","Catalog Record")</f>
        <v/>
      </c>
      <c r="AT1730">
        <f>HYPERLINK("http://www.worldcat.org/oclc/1227987","WorldCat Record")</f>
        <v/>
      </c>
      <c r="AU1730" t="inlineStr">
        <is>
          <t>82662953:eng</t>
        </is>
      </c>
      <c r="AV1730" t="inlineStr">
        <is>
          <t>1227987</t>
        </is>
      </c>
      <c r="AW1730" t="inlineStr">
        <is>
          <t>991003633849702656</t>
        </is>
      </c>
      <c r="AX1730" t="inlineStr">
        <is>
          <t>991003633849702656</t>
        </is>
      </c>
      <c r="AY1730" t="inlineStr">
        <is>
          <t>2268453170002656</t>
        </is>
      </c>
      <c r="AZ1730" t="inlineStr">
        <is>
          <t>BOOK</t>
        </is>
      </c>
      <c r="BC1730" t="inlineStr">
        <is>
          <t>32285001024578</t>
        </is>
      </c>
      <c r="BD1730" t="inlineStr">
        <is>
          <t>893705440</t>
        </is>
      </c>
    </row>
    <row r="1731">
      <c r="A1731" t="inlineStr">
        <is>
          <t>No</t>
        </is>
      </c>
      <c r="B1731" t="inlineStr">
        <is>
          <t>DP43 .W3</t>
        </is>
      </c>
      <c r="C1731" t="inlineStr">
        <is>
          <t>0                      DP 0043000W  3</t>
        </is>
      </c>
      <c r="D1731" t="inlineStr">
        <is>
          <t>A geography of Spain and Portugal / by Ruth Way, assisted by Margaret Simmons.</t>
        </is>
      </c>
      <c r="F1731" t="inlineStr">
        <is>
          <t>No</t>
        </is>
      </c>
      <c r="G1731" t="inlineStr">
        <is>
          <t>1</t>
        </is>
      </c>
      <c r="H1731" t="inlineStr">
        <is>
          <t>No</t>
        </is>
      </c>
      <c r="I1731" t="inlineStr">
        <is>
          <t>No</t>
        </is>
      </c>
      <c r="J1731" t="inlineStr">
        <is>
          <t>0</t>
        </is>
      </c>
      <c r="K1731" t="inlineStr">
        <is>
          <t>Way, Ruth.</t>
        </is>
      </c>
      <c r="L1731" t="inlineStr">
        <is>
          <t>London : Methuen, [1962]</t>
        </is>
      </c>
      <c r="M1731" t="inlineStr">
        <is>
          <t>1962</t>
        </is>
      </c>
      <c r="O1731" t="inlineStr">
        <is>
          <t>eng</t>
        </is>
      </c>
      <c r="P1731" t="inlineStr">
        <is>
          <t>enk</t>
        </is>
      </c>
      <c r="R1731" t="inlineStr">
        <is>
          <t xml:space="preserve">DP </t>
        </is>
      </c>
      <c r="S1731" t="n">
        <v>3</v>
      </c>
      <c r="T1731" t="n">
        <v>3</v>
      </c>
      <c r="U1731" t="inlineStr">
        <is>
          <t>2007-03-26</t>
        </is>
      </c>
      <c r="V1731" t="inlineStr">
        <is>
          <t>2007-03-26</t>
        </is>
      </c>
      <c r="W1731" t="inlineStr">
        <is>
          <t>1995-03-23</t>
        </is>
      </c>
      <c r="X1731" t="inlineStr">
        <is>
          <t>1995-03-23</t>
        </is>
      </c>
      <c r="Y1731" t="n">
        <v>490</v>
      </c>
      <c r="Z1731" t="n">
        <v>372</v>
      </c>
      <c r="AA1731" t="n">
        <v>373</v>
      </c>
      <c r="AB1731" t="n">
        <v>6</v>
      </c>
      <c r="AC1731" t="n">
        <v>6</v>
      </c>
      <c r="AD1731" t="n">
        <v>16</v>
      </c>
      <c r="AE1731" t="n">
        <v>16</v>
      </c>
      <c r="AF1731" t="n">
        <v>5</v>
      </c>
      <c r="AG1731" t="n">
        <v>5</v>
      </c>
      <c r="AH1731" t="n">
        <v>3</v>
      </c>
      <c r="AI1731" t="n">
        <v>3</v>
      </c>
      <c r="AJ1731" t="n">
        <v>5</v>
      </c>
      <c r="AK1731" t="n">
        <v>5</v>
      </c>
      <c r="AL1731" t="n">
        <v>5</v>
      </c>
      <c r="AM1731" t="n">
        <v>5</v>
      </c>
      <c r="AN1731" t="n">
        <v>0</v>
      </c>
      <c r="AO1731" t="n">
        <v>0</v>
      </c>
      <c r="AP1731" t="inlineStr">
        <is>
          <t>No</t>
        </is>
      </c>
      <c r="AQ1731" t="inlineStr">
        <is>
          <t>No</t>
        </is>
      </c>
      <c r="AR1731">
        <f>HYPERLINK("http://catalog.hathitrust.org/Record/002431503","HathiTrust Record")</f>
        <v/>
      </c>
      <c r="AS1731">
        <f>HYPERLINK("https://creighton-primo.hosted.exlibrisgroup.com/primo-explore/search?tab=default_tab&amp;search_scope=EVERYTHING&amp;vid=01CRU&amp;lang=en_US&amp;offset=0&amp;query=any,contains,991002674209702656","Catalog Record")</f>
        <v/>
      </c>
      <c r="AT1731">
        <f>HYPERLINK("http://www.worldcat.org/oclc/396397","WorldCat Record")</f>
        <v/>
      </c>
      <c r="AU1731" t="inlineStr">
        <is>
          <t>1541303:eng</t>
        </is>
      </c>
      <c r="AV1731" t="inlineStr">
        <is>
          <t>396397</t>
        </is>
      </c>
      <c r="AW1731" t="inlineStr">
        <is>
          <t>991002674209702656</t>
        </is>
      </c>
      <c r="AX1731" t="inlineStr">
        <is>
          <t>991002674209702656</t>
        </is>
      </c>
      <c r="AY1731" t="inlineStr">
        <is>
          <t>2261002070002656</t>
        </is>
      </c>
      <c r="AZ1731" t="inlineStr">
        <is>
          <t>BOOK</t>
        </is>
      </c>
      <c r="BC1731" t="inlineStr">
        <is>
          <t>32285002013828</t>
        </is>
      </c>
      <c r="BD1731" t="inlineStr">
        <is>
          <t>893317115</t>
        </is>
      </c>
    </row>
    <row r="1732">
      <c r="A1732" t="inlineStr">
        <is>
          <t>No</t>
        </is>
      </c>
      <c r="B1732" t="inlineStr">
        <is>
          <t>DP48 .A3</t>
        </is>
      </c>
      <c r="C1732" t="inlineStr">
        <is>
          <t>0                      DP 0048000A  3</t>
        </is>
      </c>
      <c r="D1732" t="inlineStr">
        <is>
          <t>The heritage of Spain; an introduction to Spanish civilization [by] Nicholson B. Adams.</t>
        </is>
      </c>
      <c r="F1732" t="inlineStr">
        <is>
          <t>No</t>
        </is>
      </c>
      <c r="G1732" t="inlineStr">
        <is>
          <t>1</t>
        </is>
      </c>
      <c r="H1732" t="inlineStr">
        <is>
          <t>No</t>
        </is>
      </c>
      <c r="I1732" t="inlineStr">
        <is>
          <t>No</t>
        </is>
      </c>
      <c r="J1732" t="inlineStr">
        <is>
          <t>0</t>
        </is>
      </c>
      <c r="K1732" t="inlineStr">
        <is>
          <t>Adams, Nicholson B. (Nicholson Barney), 1895-1970.</t>
        </is>
      </c>
      <c r="L1732" t="inlineStr">
        <is>
          <t>New York, H. Holt and Company [1943]</t>
        </is>
      </c>
      <c r="M1732" t="inlineStr">
        <is>
          <t>1943</t>
        </is>
      </c>
      <c r="O1732" t="inlineStr">
        <is>
          <t>eng</t>
        </is>
      </c>
      <c r="P1732" t="inlineStr">
        <is>
          <t>nyu</t>
        </is>
      </c>
      <c r="R1732" t="inlineStr">
        <is>
          <t xml:space="preserve">DP </t>
        </is>
      </c>
      <c r="S1732" t="n">
        <v>1</v>
      </c>
      <c r="T1732" t="n">
        <v>1</v>
      </c>
      <c r="U1732" t="inlineStr">
        <is>
          <t>2003-09-25</t>
        </is>
      </c>
      <c r="V1732" t="inlineStr">
        <is>
          <t>2003-09-25</t>
        </is>
      </c>
      <c r="W1732" t="inlineStr">
        <is>
          <t>1997-02-12</t>
        </is>
      </c>
      <c r="X1732" t="inlineStr">
        <is>
          <t>1997-02-12</t>
        </is>
      </c>
      <c r="Y1732" t="n">
        <v>493</v>
      </c>
      <c r="Z1732" t="n">
        <v>454</v>
      </c>
      <c r="AA1732" t="n">
        <v>862</v>
      </c>
      <c r="AB1732" t="n">
        <v>3</v>
      </c>
      <c r="AC1732" t="n">
        <v>7</v>
      </c>
      <c r="AD1732" t="n">
        <v>23</v>
      </c>
      <c r="AE1732" t="n">
        <v>42</v>
      </c>
      <c r="AF1732" t="n">
        <v>9</v>
      </c>
      <c r="AG1732" t="n">
        <v>16</v>
      </c>
      <c r="AH1732" t="n">
        <v>4</v>
      </c>
      <c r="AI1732" t="n">
        <v>8</v>
      </c>
      <c r="AJ1732" t="n">
        <v>13</v>
      </c>
      <c r="AK1732" t="n">
        <v>21</v>
      </c>
      <c r="AL1732" t="n">
        <v>2</v>
      </c>
      <c r="AM1732" t="n">
        <v>6</v>
      </c>
      <c r="AN1732" t="n">
        <v>0</v>
      </c>
      <c r="AO1732" t="n">
        <v>0</v>
      </c>
      <c r="AP1732" t="inlineStr">
        <is>
          <t>Yes</t>
        </is>
      </c>
      <c r="AQ1732" t="inlineStr">
        <is>
          <t>No</t>
        </is>
      </c>
      <c r="AR1732">
        <f>HYPERLINK("http://catalog.hathitrust.org/Record/001236241","HathiTrust Record")</f>
        <v/>
      </c>
      <c r="AS1732">
        <f>HYPERLINK("https://creighton-primo.hosted.exlibrisgroup.com/primo-explore/search?tab=default_tab&amp;search_scope=EVERYTHING&amp;vid=01CRU&amp;lang=en_US&amp;offset=0&amp;query=any,contains,991003514579702656","Catalog Record")</f>
        <v/>
      </c>
      <c r="AT1732">
        <f>HYPERLINK("http://www.worldcat.org/oclc/1071303","WorldCat Record")</f>
        <v/>
      </c>
      <c r="AU1732" t="inlineStr">
        <is>
          <t>1541300:eng</t>
        </is>
      </c>
      <c r="AV1732" t="inlineStr">
        <is>
          <t>1071303</t>
        </is>
      </c>
      <c r="AW1732" t="inlineStr">
        <is>
          <t>991003514579702656</t>
        </is>
      </c>
      <c r="AX1732" t="inlineStr">
        <is>
          <t>991003514579702656</t>
        </is>
      </c>
      <c r="AY1732" t="inlineStr">
        <is>
          <t>2256931390002656</t>
        </is>
      </c>
      <c r="AZ1732" t="inlineStr">
        <is>
          <t>BOOK</t>
        </is>
      </c>
      <c r="BC1732" t="inlineStr">
        <is>
          <t>32285002436466</t>
        </is>
      </c>
      <c r="BD1732" t="inlineStr">
        <is>
          <t>893604871</t>
        </is>
      </c>
    </row>
    <row r="1733">
      <c r="A1733" t="inlineStr">
        <is>
          <t>No</t>
        </is>
      </c>
      <c r="B1733" t="inlineStr">
        <is>
          <t>DP48 .A5 1968</t>
        </is>
      </c>
      <c r="C1733" t="inlineStr">
        <is>
          <t>0                      DP 0048000A  5           1968</t>
        </is>
      </c>
      <c r="D1733" t="inlineStr">
        <is>
          <t>A history of Spanish civilization. Translated from the Spanish by P. Volkov. With a pref. by J. B. Trend.</t>
        </is>
      </c>
      <c r="F1733" t="inlineStr">
        <is>
          <t>No</t>
        </is>
      </c>
      <c r="G1733" t="inlineStr">
        <is>
          <t>1</t>
        </is>
      </c>
      <c r="H1733" t="inlineStr">
        <is>
          <t>No</t>
        </is>
      </c>
      <c r="I1733" t="inlineStr">
        <is>
          <t>No</t>
        </is>
      </c>
      <c r="J1733" t="inlineStr">
        <is>
          <t>0</t>
        </is>
      </c>
      <c r="K1733" t="inlineStr">
        <is>
          <t>Altamira, Rafael, 1866-1951.</t>
        </is>
      </c>
      <c r="L1733" t="inlineStr">
        <is>
          <t>New York, Biblo and Tannen, 1968.</t>
        </is>
      </c>
      <c r="M1733" t="inlineStr">
        <is>
          <t>1968</t>
        </is>
      </c>
      <c r="O1733" t="inlineStr">
        <is>
          <t>eng</t>
        </is>
      </c>
      <c r="P1733" t="inlineStr">
        <is>
          <t>nyu</t>
        </is>
      </c>
      <c r="R1733" t="inlineStr">
        <is>
          <t xml:space="preserve">DP </t>
        </is>
      </c>
      <c r="S1733" t="n">
        <v>2</v>
      </c>
      <c r="T1733" t="n">
        <v>2</v>
      </c>
      <c r="U1733" t="inlineStr">
        <is>
          <t>2003-09-22</t>
        </is>
      </c>
      <c r="V1733" t="inlineStr">
        <is>
          <t>2003-09-22</t>
        </is>
      </c>
      <c r="W1733" t="inlineStr">
        <is>
          <t>1997-02-12</t>
        </is>
      </c>
      <c r="X1733" t="inlineStr">
        <is>
          <t>1997-02-12</t>
        </is>
      </c>
      <c r="Y1733" t="n">
        <v>224</v>
      </c>
      <c r="Z1733" t="n">
        <v>208</v>
      </c>
      <c r="AA1733" t="n">
        <v>517</v>
      </c>
      <c r="AB1733" t="n">
        <v>4</v>
      </c>
      <c r="AC1733" t="n">
        <v>4</v>
      </c>
      <c r="AD1733" t="n">
        <v>11</v>
      </c>
      <c r="AE1733" t="n">
        <v>21</v>
      </c>
      <c r="AF1733" t="n">
        <v>2</v>
      </c>
      <c r="AG1733" t="n">
        <v>7</v>
      </c>
      <c r="AH1733" t="n">
        <v>2</v>
      </c>
      <c r="AI1733" t="n">
        <v>7</v>
      </c>
      <c r="AJ1733" t="n">
        <v>6</v>
      </c>
      <c r="AK1733" t="n">
        <v>12</v>
      </c>
      <c r="AL1733" t="n">
        <v>3</v>
      </c>
      <c r="AM1733" t="n">
        <v>3</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HYPERLINK("https://creighton-primo.hosted.exlibrisgroup.com/primo-explore/search?tab=default_tab&amp;search_scope=EVERYTHING&amp;vid=01CRU&amp;lang=en_US&amp;offset=0&amp;query=any,contains,991001067649702656","Catalog Record")</f>
        <v/>
      </c>
      <c r="AT1733">
        <f>HYPERLINK("http://www.worldcat.org/oclc/178467","WorldCat Record")</f>
        <v/>
      </c>
      <c r="AU1733" t="inlineStr">
        <is>
          <t>1299380:eng</t>
        </is>
      </c>
      <c r="AV1733" t="inlineStr">
        <is>
          <t>178467</t>
        </is>
      </c>
      <c r="AW1733" t="inlineStr">
        <is>
          <t>991001067649702656</t>
        </is>
      </c>
      <c r="AX1733" t="inlineStr">
        <is>
          <t>991001067649702656</t>
        </is>
      </c>
      <c r="AY1733" t="inlineStr">
        <is>
          <t>2264334390002656</t>
        </is>
      </c>
      <c r="AZ1733" t="inlineStr">
        <is>
          <t>BOOK</t>
        </is>
      </c>
      <c r="BC1733" t="inlineStr">
        <is>
          <t>32285002436474</t>
        </is>
      </c>
      <c r="BD1733" t="inlineStr">
        <is>
          <t>893808929</t>
        </is>
      </c>
    </row>
    <row r="1734">
      <c r="A1734" t="inlineStr">
        <is>
          <t>No</t>
        </is>
      </c>
      <c r="B1734" t="inlineStr">
        <is>
          <t>DP48 .C338 2004</t>
        </is>
      </c>
      <c r="C1734" t="inlineStr">
        <is>
          <t>0                      DP 0048000C  338         2004</t>
        </is>
      </c>
      <c r="D1734" t="inlineStr">
        <is>
          <t>España en su historia : ensayos sobre historia y literatura / [Américo Castro].</t>
        </is>
      </c>
      <c r="F1734" t="inlineStr">
        <is>
          <t>No</t>
        </is>
      </c>
      <c r="G1734" t="inlineStr">
        <is>
          <t>1</t>
        </is>
      </c>
      <c r="H1734" t="inlineStr">
        <is>
          <t>No</t>
        </is>
      </c>
      <c r="I1734" t="inlineStr">
        <is>
          <t>No</t>
        </is>
      </c>
      <c r="J1734" t="inlineStr">
        <is>
          <t>0</t>
        </is>
      </c>
      <c r="K1734" t="inlineStr">
        <is>
          <t>Castro, Américo, 1885-1972.</t>
        </is>
      </c>
      <c r="L1734" t="inlineStr">
        <is>
          <t>Madrid : Editorial Trotta, c2004.</t>
        </is>
      </c>
      <c r="M1734" t="inlineStr">
        <is>
          <t>2004</t>
        </is>
      </c>
      <c r="O1734" t="inlineStr">
        <is>
          <t>spa</t>
        </is>
      </c>
      <c r="P1734" t="inlineStr">
        <is>
          <t xml:space="preserve">sp </t>
        </is>
      </c>
      <c r="Q1734" t="inlineStr">
        <is>
          <t>Obra reunida / Américo Castro ; v. 3</t>
        </is>
      </c>
      <c r="R1734" t="inlineStr">
        <is>
          <t xml:space="preserve">DP </t>
        </is>
      </c>
      <c r="S1734" t="n">
        <v>1</v>
      </c>
      <c r="T1734" t="n">
        <v>1</v>
      </c>
      <c r="U1734" t="inlineStr">
        <is>
          <t>2010-08-02</t>
        </is>
      </c>
      <c r="V1734" t="inlineStr">
        <is>
          <t>2010-08-02</t>
        </is>
      </c>
      <c r="W1734" t="inlineStr">
        <is>
          <t>2010-07-31</t>
        </is>
      </c>
      <c r="X1734" t="inlineStr">
        <is>
          <t>2010-07-31</t>
        </is>
      </c>
      <c r="Y1734" t="n">
        <v>49</v>
      </c>
      <c r="Z1734" t="n">
        <v>35</v>
      </c>
      <c r="AA1734" t="n">
        <v>37</v>
      </c>
      <c r="AB1734" t="n">
        <v>1</v>
      </c>
      <c r="AC1734" t="n">
        <v>1</v>
      </c>
      <c r="AD1734" t="n">
        <v>0</v>
      </c>
      <c r="AE1734" t="n">
        <v>0</v>
      </c>
      <c r="AF1734" t="n">
        <v>0</v>
      </c>
      <c r="AG1734" t="n">
        <v>0</v>
      </c>
      <c r="AH1734" t="n">
        <v>0</v>
      </c>
      <c r="AI1734" t="n">
        <v>0</v>
      </c>
      <c r="AJ1734" t="n">
        <v>0</v>
      </c>
      <c r="AK1734" t="n">
        <v>0</v>
      </c>
      <c r="AL1734" t="n">
        <v>0</v>
      </c>
      <c r="AM1734" t="n">
        <v>0</v>
      </c>
      <c r="AN1734" t="n">
        <v>0</v>
      </c>
      <c r="AO1734" t="n">
        <v>0</v>
      </c>
      <c r="AP1734" t="inlineStr">
        <is>
          <t>No</t>
        </is>
      </c>
      <c r="AQ1734" t="inlineStr">
        <is>
          <t>Yes</t>
        </is>
      </c>
      <c r="AR1734">
        <f>HYPERLINK("http://catalog.hathitrust.org/Record/007968122","HathiTrust Record")</f>
        <v/>
      </c>
      <c r="AS1734">
        <f>HYPERLINK("https://creighton-primo.hosted.exlibrisgroup.com/primo-explore/search?tab=default_tab&amp;search_scope=EVERYTHING&amp;vid=01CRU&amp;lang=en_US&amp;offset=0&amp;query=any,contains,991000036829702656","Catalog Record")</f>
        <v/>
      </c>
      <c r="AT1734">
        <f>HYPERLINK("http://www.worldcat.org/oclc/55145038","WorldCat Record")</f>
        <v/>
      </c>
      <c r="AU1734" t="inlineStr">
        <is>
          <t>891094986:spa</t>
        </is>
      </c>
      <c r="AV1734" t="inlineStr">
        <is>
          <t>55145038</t>
        </is>
      </c>
      <c r="AW1734" t="inlineStr">
        <is>
          <t>991000036829702656</t>
        </is>
      </c>
      <c r="AX1734" t="inlineStr">
        <is>
          <t>991000036829702656</t>
        </is>
      </c>
      <c r="AY1734" t="inlineStr">
        <is>
          <t>2260203500002656</t>
        </is>
      </c>
      <c r="AZ1734" t="inlineStr">
        <is>
          <t>BOOK</t>
        </is>
      </c>
      <c r="BB1734" t="inlineStr">
        <is>
          <t>9788481645088</t>
        </is>
      </c>
      <c r="BC1734" t="inlineStr">
        <is>
          <t>32285005591739</t>
        </is>
      </c>
      <c r="BD1734" t="inlineStr">
        <is>
          <t>893261334</t>
        </is>
      </c>
    </row>
    <row r="1735">
      <c r="A1735" t="inlineStr">
        <is>
          <t>No</t>
        </is>
      </c>
      <c r="B1735" t="inlineStr">
        <is>
          <t>DP48 .C339</t>
        </is>
      </c>
      <c r="C1735" t="inlineStr">
        <is>
          <t>0                      DP 0048000C  339</t>
        </is>
      </c>
      <c r="D1735" t="inlineStr">
        <is>
          <t>Españoles al margen. Selección y prólogo de Pedro Carrero Eras.</t>
        </is>
      </c>
      <c r="F1735" t="inlineStr">
        <is>
          <t>No</t>
        </is>
      </c>
      <c r="G1735" t="inlineStr">
        <is>
          <t>1</t>
        </is>
      </c>
      <c r="H1735" t="inlineStr">
        <is>
          <t>No</t>
        </is>
      </c>
      <c r="I1735" t="inlineStr">
        <is>
          <t>No</t>
        </is>
      </c>
      <c r="J1735" t="inlineStr">
        <is>
          <t>0</t>
        </is>
      </c>
      <c r="K1735" t="inlineStr">
        <is>
          <t>Castro, Américo, 1885-1972.</t>
        </is>
      </c>
      <c r="L1735" t="inlineStr">
        <is>
          <t>Madrid] Ediciones Jucar [1973]</t>
        </is>
      </c>
      <c r="M1735" t="inlineStr">
        <is>
          <t>1973</t>
        </is>
      </c>
      <c r="N1735" t="inlineStr">
        <is>
          <t>[1. ed.</t>
        </is>
      </c>
      <c r="O1735" t="inlineStr">
        <is>
          <t>spa</t>
        </is>
      </c>
      <c r="P1735" t="inlineStr">
        <is>
          <t xml:space="preserve">xx </t>
        </is>
      </c>
      <c r="Q1735" t="inlineStr">
        <is>
          <t>La Vela latina. Ensayo, 1</t>
        </is>
      </c>
      <c r="R1735" t="inlineStr">
        <is>
          <t xml:space="preserve">DP </t>
        </is>
      </c>
      <c r="S1735" t="n">
        <v>1</v>
      </c>
      <c r="T1735" t="n">
        <v>1</v>
      </c>
      <c r="U1735" t="inlineStr">
        <is>
          <t>2007-01-31</t>
        </is>
      </c>
      <c r="V1735" t="inlineStr">
        <is>
          <t>2007-01-31</t>
        </is>
      </c>
      <c r="W1735" t="inlineStr">
        <is>
          <t>1997-02-12</t>
        </is>
      </c>
      <c r="X1735" t="inlineStr">
        <is>
          <t>1997-02-12</t>
        </is>
      </c>
      <c r="Y1735" t="n">
        <v>133</v>
      </c>
      <c r="Z1735" t="n">
        <v>95</v>
      </c>
      <c r="AA1735" t="n">
        <v>119</v>
      </c>
      <c r="AB1735" t="n">
        <v>1</v>
      </c>
      <c r="AC1735" t="n">
        <v>1</v>
      </c>
      <c r="AD1735" t="n">
        <v>3</v>
      </c>
      <c r="AE1735" t="n">
        <v>3</v>
      </c>
      <c r="AF1735" t="n">
        <v>1</v>
      </c>
      <c r="AG1735" t="n">
        <v>1</v>
      </c>
      <c r="AH1735" t="n">
        <v>2</v>
      </c>
      <c r="AI1735" t="n">
        <v>2</v>
      </c>
      <c r="AJ1735" t="n">
        <v>2</v>
      </c>
      <c r="AK1735" t="n">
        <v>2</v>
      </c>
      <c r="AL1735" t="n">
        <v>0</v>
      </c>
      <c r="AM1735" t="n">
        <v>0</v>
      </c>
      <c r="AN1735" t="n">
        <v>0</v>
      </c>
      <c r="AO1735" t="n">
        <v>0</v>
      </c>
      <c r="AP1735" t="inlineStr">
        <is>
          <t>No</t>
        </is>
      </c>
      <c r="AQ1735" t="inlineStr">
        <is>
          <t>Yes</t>
        </is>
      </c>
      <c r="AR1735">
        <f>HYPERLINK("http://catalog.hathitrust.org/Record/001236253","HathiTrust Record")</f>
        <v/>
      </c>
      <c r="AS1735">
        <f>HYPERLINK("https://creighton-primo.hosted.exlibrisgroup.com/primo-explore/search?tab=default_tab&amp;search_scope=EVERYTHING&amp;vid=01CRU&amp;lang=en_US&amp;offset=0&amp;query=any,contains,991003369439702656","Catalog Record")</f>
        <v/>
      </c>
      <c r="AT1735">
        <f>HYPERLINK("http://www.worldcat.org/oclc/905026","WorldCat Record")</f>
        <v/>
      </c>
      <c r="AU1735" t="inlineStr">
        <is>
          <t>1841027:spa</t>
        </is>
      </c>
      <c r="AV1735" t="inlineStr">
        <is>
          <t>905026</t>
        </is>
      </c>
      <c r="AW1735" t="inlineStr">
        <is>
          <t>991003369439702656</t>
        </is>
      </c>
      <c r="AX1735" t="inlineStr">
        <is>
          <t>991003369439702656</t>
        </is>
      </c>
      <c r="AY1735" t="inlineStr">
        <is>
          <t>2263973420002656</t>
        </is>
      </c>
      <c r="AZ1735" t="inlineStr">
        <is>
          <t>BOOK</t>
        </is>
      </c>
      <c r="BB1735" t="inlineStr">
        <is>
          <t>9788433400154</t>
        </is>
      </c>
      <c r="BC1735" t="inlineStr">
        <is>
          <t>32285002436490</t>
        </is>
      </c>
      <c r="BD1735" t="inlineStr">
        <is>
          <t>893228008</t>
        </is>
      </c>
    </row>
    <row r="1736">
      <c r="A1736" t="inlineStr">
        <is>
          <t>No</t>
        </is>
      </c>
      <c r="B1736" t="inlineStr">
        <is>
          <t>DP48 .C36 1966</t>
        </is>
      </c>
      <c r="C1736" t="inlineStr">
        <is>
          <t>0                      DP 0048000C  36          1966</t>
        </is>
      </c>
      <c r="D1736" t="inlineStr">
        <is>
          <t>La realidad histórica de España.</t>
        </is>
      </c>
      <c r="F1736" t="inlineStr">
        <is>
          <t>No</t>
        </is>
      </c>
      <c r="G1736" t="inlineStr">
        <is>
          <t>1</t>
        </is>
      </c>
      <c r="H1736" t="inlineStr">
        <is>
          <t>No</t>
        </is>
      </c>
      <c r="I1736" t="inlineStr">
        <is>
          <t>No</t>
        </is>
      </c>
      <c r="J1736" t="inlineStr">
        <is>
          <t>0</t>
        </is>
      </c>
      <c r="K1736" t="inlineStr">
        <is>
          <t>Castro, Américo, 1885-1972.</t>
        </is>
      </c>
      <c r="L1736" t="inlineStr">
        <is>
          <t>México : Editorial Porrúa, 1966 [c1962]</t>
        </is>
      </c>
      <c r="M1736" t="inlineStr">
        <is>
          <t>1966</t>
        </is>
      </c>
      <c r="N1736" t="inlineStr">
        <is>
          <t>3. ed. renovada.</t>
        </is>
      </c>
      <c r="O1736" t="inlineStr">
        <is>
          <t>spa</t>
        </is>
      </c>
      <c r="P1736" t="inlineStr">
        <is>
          <t xml:space="preserve">mx </t>
        </is>
      </c>
      <c r="Q1736" t="inlineStr">
        <is>
          <t>Biblioteca Porrúa ; 4</t>
        </is>
      </c>
      <c r="R1736" t="inlineStr">
        <is>
          <t xml:space="preserve">DP </t>
        </is>
      </c>
      <c r="S1736" t="n">
        <v>2</v>
      </c>
      <c r="T1736" t="n">
        <v>2</v>
      </c>
      <c r="U1736" t="inlineStr">
        <is>
          <t>1996-09-22</t>
        </is>
      </c>
      <c r="V1736" t="inlineStr">
        <is>
          <t>1996-09-22</t>
        </is>
      </c>
      <c r="W1736" t="inlineStr">
        <is>
          <t>1991-10-23</t>
        </is>
      </c>
      <c r="X1736" t="inlineStr">
        <is>
          <t>1991-10-23</t>
        </is>
      </c>
      <c r="Y1736" t="n">
        <v>236</v>
      </c>
      <c r="Z1736" t="n">
        <v>203</v>
      </c>
      <c r="AA1736" t="n">
        <v>518</v>
      </c>
      <c r="AB1736" t="n">
        <v>2</v>
      </c>
      <c r="AC1736" t="n">
        <v>5</v>
      </c>
      <c r="AD1736" t="n">
        <v>12</v>
      </c>
      <c r="AE1736" t="n">
        <v>27</v>
      </c>
      <c r="AF1736" t="n">
        <v>4</v>
      </c>
      <c r="AG1736" t="n">
        <v>10</v>
      </c>
      <c r="AH1736" t="n">
        <v>3</v>
      </c>
      <c r="AI1736" t="n">
        <v>6</v>
      </c>
      <c r="AJ1736" t="n">
        <v>8</v>
      </c>
      <c r="AK1736" t="n">
        <v>14</v>
      </c>
      <c r="AL1736" t="n">
        <v>1</v>
      </c>
      <c r="AM1736" t="n">
        <v>4</v>
      </c>
      <c r="AN1736" t="n">
        <v>0</v>
      </c>
      <c r="AO1736" t="n">
        <v>0</v>
      </c>
      <c r="AP1736" t="inlineStr">
        <is>
          <t>No</t>
        </is>
      </c>
      <c r="AQ1736" t="inlineStr">
        <is>
          <t>Yes</t>
        </is>
      </c>
      <c r="AR1736">
        <f>HYPERLINK("http://catalog.hathitrust.org/Record/102123852","HathiTrust Record")</f>
        <v/>
      </c>
      <c r="AS1736">
        <f>HYPERLINK("https://creighton-primo.hosted.exlibrisgroup.com/primo-explore/search?tab=default_tab&amp;search_scope=EVERYTHING&amp;vid=01CRU&amp;lang=en_US&amp;offset=0&amp;query=any,contains,991002678529702656","Catalog Record")</f>
        <v/>
      </c>
      <c r="AT1736">
        <f>HYPERLINK("http://www.worldcat.org/oclc/397695","WorldCat Record")</f>
        <v/>
      </c>
      <c r="AU1736" t="inlineStr">
        <is>
          <t>348967299:spa</t>
        </is>
      </c>
      <c r="AV1736" t="inlineStr">
        <is>
          <t>397695</t>
        </is>
      </c>
      <c r="AW1736" t="inlineStr">
        <is>
          <t>991002678529702656</t>
        </is>
      </c>
      <c r="AX1736" t="inlineStr">
        <is>
          <t>991002678529702656</t>
        </is>
      </c>
      <c r="AY1736" t="inlineStr">
        <is>
          <t>2261630770002656</t>
        </is>
      </c>
      <c r="AZ1736" t="inlineStr">
        <is>
          <t>BOOK</t>
        </is>
      </c>
      <c r="BC1736" t="inlineStr">
        <is>
          <t>32285000776392</t>
        </is>
      </c>
      <c r="BD1736" t="inlineStr">
        <is>
          <t>893245488</t>
        </is>
      </c>
    </row>
    <row r="1737">
      <c r="A1737" t="inlineStr">
        <is>
          <t>No</t>
        </is>
      </c>
      <c r="B1737" t="inlineStr">
        <is>
          <t>DP48 .C365 1971</t>
        </is>
      </c>
      <c r="C1737" t="inlineStr">
        <is>
          <t>0                      DP 0048000C  365         1971</t>
        </is>
      </c>
      <c r="D1737" t="inlineStr">
        <is>
          <t>The Spaniards; an introduction to their history. Translated by Willard F. King and Selma Margaretten.</t>
        </is>
      </c>
      <c r="F1737" t="inlineStr">
        <is>
          <t>No</t>
        </is>
      </c>
      <c r="G1737" t="inlineStr">
        <is>
          <t>1</t>
        </is>
      </c>
      <c r="H1737" t="inlineStr">
        <is>
          <t>No</t>
        </is>
      </c>
      <c r="I1737" t="inlineStr">
        <is>
          <t>No</t>
        </is>
      </c>
      <c r="J1737" t="inlineStr">
        <is>
          <t>0</t>
        </is>
      </c>
      <c r="K1737" t="inlineStr">
        <is>
          <t>Castro, Américo, 1885-1972.</t>
        </is>
      </c>
      <c r="L1737" t="inlineStr">
        <is>
          <t>Berkeley, University of California Press, 1971.</t>
        </is>
      </c>
      <c r="M1737" t="inlineStr">
        <is>
          <t>1971</t>
        </is>
      </c>
      <c r="O1737" t="inlineStr">
        <is>
          <t>eng</t>
        </is>
      </c>
      <c r="P1737" t="inlineStr">
        <is>
          <t>cau</t>
        </is>
      </c>
      <c r="R1737" t="inlineStr">
        <is>
          <t xml:space="preserve">DP </t>
        </is>
      </c>
      <c r="S1737" t="n">
        <v>2</v>
      </c>
      <c r="T1737" t="n">
        <v>2</v>
      </c>
      <c r="U1737" t="inlineStr">
        <is>
          <t>1999-07-24</t>
        </is>
      </c>
      <c r="V1737" t="inlineStr">
        <is>
          <t>1999-07-24</t>
        </is>
      </c>
      <c r="W1737" t="inlineStr">
        <is>
          <t>1997-02-12</t>
        </is>
      </c>
      <c r="X1737" t="inlineStr">
        <is>
          <t>1997-02-12</t>
        </is>
      </c>
      <c r="Y1737" t="n">
        <v>865</v>
      </c>
      <c r="Z1737" t="n">
        <v>724</v>
      </c>
      <c r="AA1737" t="n">
        <v>763</v>
      </c>
      <c r="AB1737" t="n">
        <v>4</v>
      </c>
      <c r="AC1737" t="n">
        <v>4</v>
      </c>
      <c r="AD1737" t="n">
        <v>33</v>
      </c>
      <c r="AE1737" t="n">
        <v>35</v>
      </c>
      <c r="AF1737" t="n">
        <v>11</v>
      </c>
      <c r="AG1737" t="n">
        <v>13</v>
      </c>
      <c r="AH1737" t="n">
        <v>9</v>
      </c>
      <c r="AI1737" t="n">
        <v>9</v>
      </c>
      <c r="AJ1737" t="n">
        <v>20</v>
      </c>
      <c r="AK1737" t="n">
        <v>21</v>
      </c>
      <c r="AL1737" t="n">
        <v>3</v>
      </c>
      <c r="AM1737" t="n">
        <v>3</v>
      </c>
      <c r="AN1737" t="n">
        <v>0</v>
      </c>
      <c r="AO1737" t="n">
        <v>0</v>
      </c>
      <c r="AP1737" t="inlineStr">
        <is>
          <t>No</t>
        </is>
      </c>
      <c r="AQ1737" t="inlineStr">
        <is>
          <t>Yes</t>
        </is>
      </c>
      <c r="AR1737">
        <f>HYPERLINK("http://catalog.hathitrust.org/Record/001048517","HathiTrust Record")</f>
        <v/>
      </c>
      <c r="AS1737">
        <f>HYPERLINK("https://creighton-primo.hosted.exlibrisgroup.com/primo-explore/search?tab=default_tab&amp;search_scope=EVERYTHING&amp;vid=01CRU&amp;lang=en_US&amp;offset=0&amp;query=any,contains,991001210409702656","Catalog Record")</f>
        <v/>
      </c>
      <c r="AT1737">
        <f>HYPERLINK("http://www.worldcat.org/oclc/193158","WorldCat Record")</f>
        <v/>
      </c>
      <c r="AU1737" t="inlineStr">
        <is>
          <t>1356084:eng</t>
        </is>
      </c>
      <c r="AV1737" t="inlineStr">
        <is>
          <t>193158</t>
        </is>
      </c>
      <c r="AW1737" t="inlineStr">
        <is>
          <t>991001210409702656</t>
        </is>
      </c>
      <c r="AX1737" t="inlineStr">
        <is>
          <t>991001210409702656</t>
        </is>
      </c>
      <c r="AY1737" t="inlineStr">
        <is>
          <t>2270861670002656</t>
        </is>
      </c>
      <c r="AZ1737" t="inlineStr">
        <is>
          <t>BOOK</t>
        </is>
      </c>
      <c r="BB1737" t="inlineStr">
        <is>
          <t>9780520016170</t>
        </is>
      </c>
      <c r="BC1737" t="inlineStr">
        <is>
          <t>32285002436508</t>
        </is>
      </c>
      <c r="BD1737" t="inlineStr">
        <is>
          <t>893891403</t>
        </is>
      </c>
    </row>
    <row r="1738">
      <c r="A1738" t="inlineStr">
        <is>
          <t>No</t>
        </is>
      </c>
      <c r="B1738" t="inlineStr">
        <is>
          <t>DP48 .C8</t>
        </is>
      </c>
      <c r="C1738" t="inlineStr">
        <is>
          <t>0                      DP 0048000C  8</t>
        </is>
      </c>
      <c r="D1738" t="inlineStr">
        <is>
          <t>Spain : the root and the flower ; a history of the civilization of Spain and of the Spanish people.</t>
        </is>
      </c>
      <c r="F1738" t="inlineStr">
        <is>
          <t>No</t>
        </is>
      </c>
      <c r="G1738" t="inlineStr">
        <is>
          <t>1</t>
        </is>
      </c>
      <c r="H1738" t="inlineStr">
        <is>
          <t>No</t>
        </is>
      </c>
      <c r="I1738" t="inlineStr">
        <is>
          <t>No</t>
        </is>
      </c>
      <c r="J1738" t="inlineStr">
        <is>
          <t>0</t>
        </is>
      </c>
      <c r="K1738" t="inlineStr">
        <is>
          <t>Crow, John A., 1906-2001.</t>
        </is>
      </c>
      <c r="L1738" t="inlineStr">
        <is>
          <t>New York, Harper &amp; Row [1963]</t>
        </is>
      </c>
      <c r="M1738" t="inlineStr">
        <is>
          <t>1963</t>
        </is>
      </c>
      <c r="N1738" t="inlineStr">
        <is>
          <t>[1st ed.]</t>
        </is>
      </c>
      <c r="O1738" t="inlineStr">
        <is>
          <t>eng</t>
        </is>
      </c>
      <c r="P1738" t="inlineStr">
        <is>
          <t>nyu</t>
        </is>
      </c>
      <c r="R1738" t="inlineStr">
        <is>
          <t xml:space="preserve">DP </t>
        </is>
      </c>
      <c r="S1738" t="n">
        <v>2</v>
      </c>
      <c r="T1738" t="n">
        <v>2</v>
      </c>
      <c r="U1738" t="inlineStr">
        <is>
          <t>2008-07-10</t>
        </is>
      </c>
      <c r="V1738" t="inlineStr">
        <is>
          <t>2008-07-10</t>
        </is>
      </c>
      <c r="W1738" t="inlineStr">
        <is>
          <t>1996-08-02</t>
        </is>
      </c>
      <c r="X1738" t="inlineStr">
        <is>
          <t>1996-08-02</t>
        </is>
      </c>
      <c r="Y1738" t="n">
        <v>936</v>
      </c>
      <c r="Z1738" t="n">
        <v>861</v>
      </c>
      <c r="AA1738" t="n">
        <v>1147</v>
      </c>
      <c r="AB1738" t="n">
        <v>5</v>
      </c>
      <c r="AC1738" t="n">
        <v>8</v>
      </c>
      <c r="AD1738" t="n">
        <v>28</v>
      </c>
      <c r="AE1738" t="n">
        <v>34</v>
      </c>
      <c r="AF1738" t="n">
        <v>10</v>
      </c>
      <c r="AG1738" t="n">
        <v>12</v>
      </c>
      <c r="AH1738" t="n">
        <v>6</v>
      </c>
      <c r="AI1738" t="n">
        <v>7</v>
      </c>
      <c r="AJ1738" t="n">
        <v>12</v>
      </c>
      <c r="AK1738" t="n">
        <v>13</v>
      </c>
      <c r="AL1738" t="n">
        <v>3</v>
      </c>
      <c r="AM1738" t="n">
        <v>6</v>
      </c>
      <c r="AN1738" t="n">
        <v>0</v>
      </c>
      <c r="AO1738" t="n">
        <v>0</v>
      </c>
      <c r="AP1738" t="inlineStr">
        <is>
          <t>Yes</t>
        </is>
      </c>
      <c r="AQ1738" t="inlineStr">
        <is>
          <t>No</t>
        </is>
      </c>
      <c r="AR1738">
        <f>HYPERLINK("http://catalog.hathitrust.org/Record/001236256","HathiTrust Record")</f>
        <v/>
      </c>
      <c r="AS1738">
        <f>HYPERLINK("https://creighton-primo.hosted.exlibrisgroup.com/primo-explore/search?tab=default_tab&amp;search_scope=EVERYTHING&amp;vid=01CRU&amp;lang=en_US&amp;offset=0&amp;query=any,contains,991003394359702656","Catalog Record")</f>
        <v/>
      </c>
      <c r="AT1738">
        <f>HYPERLINK("http://www.worldcat.org/oclc/933180","WorldCat Record")</f>
        <v/>
      </c>
      <c r="AU1738" t="inlineStr">
        <is>
          <t>4202424632:eng</t>
        </is>
      </c>
      <c r="AV1738" t="inlineStr">
        <is>
          <t>933180</t>
        </is>
      </c>
      <c r="AW1738" t="inlineStr">
        <is>
          <t>991003394359702656</t>
        </is>
      </c>
      <c r="AX1738" t="inlineStr">
        <is>
          <t>991003394359702656</t>
        </is>
      </c>
      <c r="AY1738" t="inlineStr">
        <is>
          <t>2271941630002656</t>
        </is>
      </c>
      <c r="AZ1738" t="inlineStr">
        <is>
          <t>BOOK</t>
        </is>
      </c>
      <c r="BC1738" t="inlineStr">
        <is>
          <t>32285002209939</t>
        </is>
      </c>
      <c r="BD1738" t="inlineStr">
        <is>
          <t>893505537</t>
        </is>
      </c>
    </row>
    <row r="1739">
      <c r="A1739" t="inlineStr">
        <is>
          <t>No</t>
        </is>
      </c>
      <c r="B1739" t="inlineStr">
        <is>
          <t>DP48 .E5 1975</t>
        </is>
      </c>
      <c r="C1739" t="inlineStr">
        <is>
          <t>0                      DP 0048000E  5           1975</t>
        </is>
      </c>
      <c r="D1739" t="inlineStr">
        <is>
          <t>The soul of Spain / by Havelock Ellis.</t>
        </is>
      </c>
      <c r="F1739" t="inlineStr">
        <is>
          <t>No</t>
        </is>
      </c>
      <c r="G1739" t="inlineStr">
        <is>
          <t>1</t>
        </is>
      </c>
      <c r="H1739" t="inlineStr">
        <is>
          <t>No</t>
        </is>
      </c>
      <c r="I1739" t="inlineStr">
        <is>
          <t>No</t>
        </is>
      </c>
      <c r="J1739" t="inlineStr">
        <is>
          <t>0</t>
        </is>
      </c>
      <c r="K1739" t="inlineStr">
        <is>
          <t>Ellis, Havelock, 1859-1939.</t>
        </is>
      </c>
      <c r="L1739" t="inlineStr">
        <is>
          <t>Westport, Conn. : Greenwood Press, 1975.</t>
        </is>
      </c>
      <c r="M1739" t="inlineStr">
        <is>
          <t>1975</t>
        </is>
      </c>
      <c r="N1739" t="inlineStr">
        <is>
          <t>New ed. / with an introductory essay on the Spanish Civil War.</t>
        </is>
      </c>
      <c r="O1739" t="inlineStr">
        <is>
          <t>eng</t>
        </is>
      </c>
      <c r="P1739" t="inlineStr">
        <is>
          <t>ctu</t>
        </is>
      </c>
      <c r="R1739" t="inlineStr">
        <is>
          <t xml:space="preserve">DP </t>
        </is>
      </c>
      <c r="S1739" t="n">
        <v>12</v>
      </c>
      <c r="T1739" t="n">
        <v>12</v>
      </c>
      <c r="U1739" t="inlineStr">
        <is>
          <t>2000-04-09</t>
        </is>
      </c>
      <c r="V1739" t="inlineStr">
        <is>
          <t>2000-04-09</t>
        </is>
      </c>
      <c r="W1739" t="inlineStr">
        <is>
          <t>1992-04-06</t>
        </is>
      </c>
      <c r="X1739" t="inlineStr">
        <is>
          <t>1992-04-06</t>
        </is>
      </c>
      <c r="Y1739" t="n">
        <v>59</v>
      </c>
      <c r="Z1739" t="n">
        <v>49</v>
      </c>
      <c r="AA1739" t="n">
        <v>708</v>
      </c>
      <c r="AB1739" t="n">
        <v>2</v>
      </c>
      <c r="AC1739" t="n">
        <v>8</v>
      </c>
      <c r="AD1739" t="n">
        <v>3</v>
      </c>
      <c r="AE1739" t="n">
        <v>33</v>
      </c>
      <c r="AF1739" t="n">
        <v>0</v>
      </c>
      <c r="AG1739" t="n">
        <v>10</v>
      </c>
      <c r="AH1739" t="n">
        <v>1</v>
      </c>
      <c r="AI1739" t="n">
        <v>6</v>
      </c>
      <c r="AJ1739" t="n">
        <v>1</v>
      </c>
      <c r="AK1739" t="n">
        <v>17</v>
      </c>
      <c r="AL1739" t="n">
        <v>1</v>
      </c>
      <c r="AM1739" t="n">
        <v>6</v>
      </c>
      <c r="AN1739" t="n">
        <v>0</v>
      </c>
      <c r="AO1739" t="n">
        <v>0</v>
      </c>
      <c r="AP1739" t="inlineStr">
        <is>
          <t>No</t>
        </is>
      </c>
      <c r="AQ1739" t="inlineStr">
        <is>
          <t>Yes</t>
        </is>
      </c>
      <c r="AR1739">
        <f>HYPERLINK("http://catalog.hathitrust.org/Record/003945057","HathiTrust Record")</f>
        <v/>
      </c>
      <c r="AS1739">
        <f>HYPERLINK("https://creighton-primo.hosted.exlibrisgroup.com/primo-explore/search?tab=default_tab&amp;search_scope=EVERYTHING&amp;vid=01CRU&amp;lang=en_US&amp;offset=0&amp;query=any,contains,991004200569702656","Catalog Record")</f>
        <v/>
      </c>
      <c r="AT1739">
        <f>HYPERLINK("http://www.worldcat.org/oclc/2651137","WorldCat Record")</f>
        <v/>
      </c>
      <c r="AU1739" t="inlineStr">
        <is>
          <t>501429:eng</t>
        </is>
      </c>
      <c r="AV1739" t="inlineStr">
        <is>
          <t>2651137</t>
        </is>
      </c>
      <c r="AW1739" t="inlineStr">
        <is>
          <t>991004200569702656</t>
        </is>
      </c>
      <c r="AX1739" t="inlineStr">
        <is>
          <t>991004200569702656</t>
        </is>
      </c>
      <c r="AY1739" t="inlineStr">
        <is>
          <t>2261167100002656</t>
        </is>
      </c>
      <c r="AZ1739" t="inlineStr">
        <is>
          <t>BOOK</t>
        </is>
      </c>
      <c r="BB1739" t="inlineStr">
        <is>
          <t>9780837183732</t>
        </is>
      </c>
      <c r="BC1739" t="inlineStr">
        <is>
          <t>32285001034916</t>
        </is>
      </c>
      <c r="BD1739" t="inlineStr">
        <is>
          <t>893429775</t>
        </is>
      </c>
    </row>
    <row r="1740">
      <c r="A1740" t="inlineStr">
        <is>
          <t>No</t>
        </is>
      </c>
      <c r="B1740" t="inlineStr">
        <is>
          <t>DP48 .F8418 1992</t>
        </is>
      </c>
      <c r="C1740" t="inlineStr">
        <is>
          <t>0                      DP 0048000F  8418        1992</t>
        </is>
      </c>
      <c r="D1740" t="inlineStr">
        <is>
          <t>El espejo enterrado / Carlos Fuentes.</t>
        </is>
      </c>
      <c r="F1740" t="inlineStr">
        <is>
          <t>No</t>
        </is>
      </c>
      <c r="G1740" t="inlineStr">
        <is>
          <t>1</t>
        </is>
      </c>
      <c r="H1740" t="inlineStr">
        <is>
          <t>No</t>
        </is>
      </c>
      <c r="I1740" t="inlineStr">
        <is>
          <t>No</t>
        </is>
      </c>
      <c r="J1740" t="inlineStr">
        <is>
          <t>0</t>
        </is>
      </c>
      <c r="K1740" t="inlineStr">
        <is>
          <t>Fuentes, Carlos.</t>
        </is>
      </c>
      <c r="L1740" t="inlineStr">
        <is>
          <t>México : Fondo de Cultura Económica, 1992.</t>
        </is>
      </c>
      <c r="M1740" t="inlineStr">
        <is>
          <t>1992</t>
        </is>
      </c>
      <c r="N1740" t="inlineStr">
        <is>
          <t>1. ed.</t>
        </is>
      </c>
      <c r="O1740" t="inlineStr">
        <is>
          <t>spa</t>
        </is>
      </c>
      <c r="P1740" t="inlineStr">
        <is>
          <t xml:space="preserve">mx </t>
        </is>
      </c>
      <c r="Q1740" t="inlineStr">
        <is>
          <t>Colección Tierra firme</t>
        </is>
      </c>
      <c r="R1740" t="inlineStr">
        <is>
          <t xml:space="preserve">DP </t>
        </is>
      </c>
      <c r="S1740" t="n">
        <v>3</v>
      </c>
      <c r="T1740" t="n">
        <v>3</v>
      </c>
      <c r="U1740" t="inlineStr">
        <is>
          <t>2006-09-26</t>
        </is>
      </c>
      <c r="V1740" t="inlineStr">
        <is>
          <t>2006-09-26</t>
        </is>
      </c>
      <c r="W1740" t="inlineStr">
        <is>
          <t>1997-06-03</t>
        </is>
      </c>
      <c r="X1740" t="inlineStr">
        <is>
          <t>1997-06-03</t>
        </is>
      </c>
      <c r="Y1740" t="n">
        <v>401</v>
      </c>
      <c r="Z1740" t="n">
        <v>349</v>
      </c>
      <c r="AA1740" t="n">
        <v>658</v>
      </c>
      <c r="AB1740" t="n">
        <v>3</v>
      </c>
      <c r="AC1740" t="n">
        <v>6</v>
      </c>
      <c r="AD1740" t="n">
        <v>16</v>
      </c>
      <c r="AE1740" t="n">
        <v>25</v>
      </c>
      <c r="AF1740" t="n">
        <v>7</v>
      </c>
      <c r="AG1740" t="n">
        <v>12</v>
      </c>
      <c r="AH1740" t="n">
        <v>5</v>
      </c>
      <c r="AI1740" t="n">
        <v>6</v>
      </c>
      <c r="AJ1740" t="n">
        <v>6</v>
      </c>
      <c r="AK1740" t="n">
        <v>8</v>
      </c>
      <c r="AL1740" t="n">
        <v>2</v>
      </c>
      <c r="AM1740" t="n">
        <v>4</v>
      </c>
      <c r="AN1740" t="n">
        <v>0</v>
      </c>
      <c r="AO1740" t="n">
        <v>0</v>
      </c>
      <c r="AP1740" t="inlineStr">
        <is>
          <t>No</t>
        </is>
      </c>
      <c r="AQ1740" t="inlineStr">
        <is>
          <t>Yes</t>
        </is>
      </c>
      <c r="AR1740">
        <f>HYPERLINK("http://catalog.hathitrust.org/Record/002857835","HathiTrust Record")</f>
        <v/>
      </c>
      <c r="AS1740">
        <f>HYPERLINK("https://creighton-primo.hosted.exlibrisgroup.com/primo-explore/search?tab=default_tab&amp;search_scope=EVERYTHING&amp;vid=01CRU&amp;lang=en_US&amp;offset=0&amp;query=any,contains,991002116689702656","Catalog Record")</f>
        <v/>
      </c>
      <c r="AT1740">
        <f>HYPERLINK("http://www.worldcat.org/oclc/27137838","WorldCat Record")</f>
        <v/>
      </c>
      <c r="AU1740" t="inlineStr">
        <is>
          <t>646383:spa</t>
        </is>
      </c>
      <c r="AV1740" t="inlineStr">
        <is>
          <t>27137838</t>
        </is>
      </c>
      <c r="AW1740" t="inlineStr">
        <is>
          <t>991002116689702656</t>
        </is>
      </c>
      <c r="AX1740" t="inlineStr">
        <is>
          <t>991002116689702656</t>
        </is>
      </c>
      <c r="AY1740" t="inlineStr">
        <is>
          <t>2259220840002656</t>
        </is>
      </c>
      <c r="AZ1740" t="inlineStr">
        <is>
          <t>BOOK</t>
        </is>
      </c>
      <c r="BB1740" t="inlineStr">
        <is>
          <t>9789681637880</t>
        </is>
      </c>
      <c r="BC1740" t="inlineStr">
        <is>
          <t>32285002614195</t>
        </is>
      </c>
      <c r="BD1740" t="inlineStr">
        <is>
          <t>893809312</t>
        </is>
      </c>
    </row>
    <row r="1741">
      <c r="A1741" t="inlineStr">
        <is>
          <t>No</t>
        </is>
      </c>
      <c r="B1741" t="inlineStr">
        <is>
          <t>DP48 .G735 1997</t>
        </is>
      </c>
      <c r="C1741" t="inlineStr">
        <is>
          <t>0                      DP 0048000G  735         1997</t>
        </is>
      </c>
      <c r="D1741" t="inlineStr">
        <is>
          <t>Culture shock!. Spain / Marie Louise Graff.</t>
        </is>
      </c>
      <c r="F1741" t="inlineStr">
        <is>
          <t>No</t>
        </is>
      </c>
      <c r="G1741" t="inlineStr">
        <is>
          <t>1</t>
        </is>
      </c>
      <c r="H1741" t="inlineStr">
        <is>
          <t>No</t>
        </is>
      </c>
      <c r="I1741" t="inlineStr">
        <is>
          <t>No</t>
        </is>
      </c>
      <c r="J1741" t="inlineStr">
        <is>
          <t>0</t>
        </is>
      </c>
      <c r="K1741" t="inlineStr">
        <is>
          <t>Graff, Marie Louise.</t>
        </is>
      </c>
      <c r="L1741" t="inlineStr">
        <is>
          <t>Portland, Ore. : Graphic Arts Center Pub. Co., 1997, c1993.</t>
        </is>
      </c>
      <c r="M1741" t="inlineStr">
        <is>
          <t>1997</t>
        </is>
      </c>
      <c r="N1741" t="inlineStr">
        <is>
          <t>Rev.</t>
        </is>
      </c>
      <c r="O1741" t="inlineStr">
        <is>
          <t>eng</t>
        </is>
      </c>
      <c r="P1741" t="inlineStr">
        <is>
          <t>oru</t>
        </is>
      </c>
      <c r="R1741" t="inlineStr">
        <is>
          <t xml:space="preserve">DP </t>
        </is>
      </c>
      <c r="S1741" t="n">
        <v>15</v>
      </c>
      <c r="T1741" t="n">
        <v>15</v>
      </c>
      <c r="U1741" t="inlineStr">
        <is>
          <t>2009-12-07</t>
        </is>
      </c>
      <c r="V1741" t="inlineStr">
        <is>
          <t>2009-12-07</t>
        </is>
      </c>
      <c r="W1741" t="inlineStr">
        <is>
          <t>2000-11-01</t>
        </is>
      </c>
      <c r="X1741" t="inlineStr">
        <is>
          <t>2000-11-01</t>
        </is>
      </c>
      <c r="Y1741" t="n">
        <v>46</v>
      </c>
      <c r="Z1741" t="n">
        <v>43</v>
      </c>
      <c r="AA1741" t="n">
        <v>293</v>
      </c>
      <c r="AB1741" t="n">
        <v>1</v>
      </c>
      <c r="AC1741" t="n">
        <v>2</v>
      </c>
      <c r="AD1741" t="n">
        <v>1</v>
      </c>
      <c r="AE1741" t="n">
        <v>7</v>
      </c>
      <c r="AF1741" t="n">
        <v>0</v>
      </c>
      <c r="AG1741" t="n">
        <v>4</v>
      </c>
      <c r="AH1741" t="n">
        <v>1</v>
      </c>
      <c r="AI1741" t="n">
        <v>1</v>
      </c>
      <c r="AJ1741" t="n">
        <v>1</v>
      </c>
      <c r="AK1741" t="n">
        <v>3</v>
      </c>
      <c r="AL1741" t="n">
        <v>0</v>
      </c>
      <c r="AM1741" t="n">
        <v>1</v>
      </c>
      <c r="AN1741" t="n">
        <v>0</v>
      </c>
      <c r="AO1741" t="n">
        <v>0</v>
      </c>
      <c r="AP1741" t="inlineStr">
        <is>
          <t>No</t>
        </is>
      </c>
      <c r="AQ1741" t="inlineStr">
        <is>
          <t>Yes</t>
        </is>
      </c>
      <c r="AR1741">
        <f>HYPERLINK("http://catalog.hathitrust.org/Record/009818901","HathiTrust Record")</f>
        <v/>
      </c>
      <c r="AS1741">
        <f>HYPERLINK("https://creighton-primo.hosted.exlibrisgroup.com/primo-explore/search?tab=default_tab&amp;search_scope=EVERYTHING&amp;vid=01CRU&amp;lang=en_US&amp;offset=0&amp;query=any,contains,991003280979702656","Catalog Record")</f>
        <v/>
      </c>
      <c r="AT1741">
        <f>HYPERLINK("http://www.worldcat.org/oclc/39231912","WorldCat Record")</f>
        <v/>
      </c>
      <c r="AU1741" t="inlineStr">
        <is>
          <t>1112336326:eng</t>
        </is>
      </c>
      <c r="AV1741" t="inlineStr">
        <is>
          <t>39231912</t>
        </is>
      </c>
      <c r="AW1741" t="inlineStr">
        <is>
          <t>991003280979702656</t>
        </is>
      </c>
      <c r="AX1741" t="inlineStr">
        <is>
          <t>991003280979702656</t>
        </is>
      </c>
      <c r="AY1741" t="inlineStr">
        <is>
          <t>2261818060002656</t>
        </is>
      </c>
      <c r="AZ1741" t="inlineStr">
        <is>
          <t>BOOK</t>
        </is>
      </c>
      <c r="BB1741" t="inlineStr">
        <is>
          <t>9781558681064</t>
        </is>
      </c>
      <c r="BC1741" t="inlineStr">
        <is>
          <t>32285004262043</t>
        </is>
      </c>
      <c r="BD1741" t="inlineStr">
        <is>
          <t>893799554</t>
        </is>
      </c>
    </row>
    <row r="1742">
      <c r="A1742" t="inlineStr">
        <is>
          <t>No</t>
        </is>
      </c>
      <c r="B1742" t="inlineStr">
        <is>
          <t>DP48 .O42 1969</t>
        </is>
      </c>
      <c r="C1742" t="inlineStr">
        <is>
          <t>0                      DP 0048000O  42          1969</t>
        </is>
      </c>
      <c r="D1742" t="inlineStr">
        <is>
          <t>A history of Iberian civilization / translated by Aubrey F. G. Bell. With a pref. by S. de Madariaga.</t>
        </is>
      </c>
      <c r="F1742" t="inlineStr">
        <is>
          <t>No</t>
        </is>
      </c>
      <c r="G1742" t="inlineStr">
        <is>
          <t>1</t>
        </is>
      </c>
      <c r="H1742" t="inlineStr">
        <is>
          <t>No</t>
        </is>
      </c>
      <c r="I1742" t="inlineStr">
        <is>
          <t>No</t>
        </is>
      </c>
      <c r="J1742" t="inlineStr">
        <is>
          <t>0</t>
        </is>
      </c>
      <c r="K1742" t="inlineStr">
        <is>
          <t>Oliveira Martins, J. P. (Joaquim Pedro), 1845-1894.</t>
        </is>
      </c>
      <c r="L1742" t="inlineStr">
        <is>
          <t>New York : Cooper Square Publishers, 1969 [c1930]</t>
        </is>
      </c>
      <c r="M1742" t="inlineStr">
        <is>
          <t>1969</t>
        </is>
      </c>
      <c r="O1742" t="inlineStr">
        <is>
          <t>eng</t>
        </is>
      </c>
      <c r="P1742" t="inlineStr">
        <is>
          <t>nyu</t>
        </is>
      </c>
      <c r="R1742" t="inlineStr">
        <is>
          <t xml:space="preserve">DP </t>
        </is>
      </c>
      <c r="S1742" t="n">
        <v>1</v>
      </c>
      <c r="T1742" t="n">
        <v>1</v>
      </c>
      <c r="U1742" t="inlineStr">
        <is>
          <t>2008-09-04</t>
        </is>
      </c>
      <c r="V1742" t="inlineStr">
        <is>
          <t>2008-09-04</t>
        </is>
      </c>
      <c r="W1742" t="inlineStr">
        <is>
          <t>1992-04-06</t>
        </is>
      </c>
      <c r="X1742" t="inlineStr">
        <is>
          <t>1992-04-06</t>
        </is>
      </c>
      <c r="Y1742" t="n">
        <v>334</v>
      </c>
      <c r="Z1742" t="n">
        <v>291</v>
      </c>
      <c r="AA1742" t="n">
        <v>387</v>
      </c>
      <c r="AB1742" t="n">
        <v>2</v>
      </c>
      <c r="AC1742" t="n">
        <v>2</v>
      </c>
      <c r="AD1742" t="n">
        <v>12</v>
      </c>
      <c r="AE1742" t="n">
        <v>14</v>
      </c>
      <c r="AF1742" t="n">
        <v>2</v>
      </c>
      <c r="AG1742" t="n">
        <v>3</v>
      </c>
      <c r="AH1742" t="n">
        <v>2</v>
      </c>
      <c r="AI1742" t="n">
        <v>3</v>
      </c>
      <c r="AJ1742" t="n">
        <v>9</v>
      </c>
      <c r="AK1742" t="n">
        <v>10</v>
      </c>
      <c r="AL1742" t="n">
        <v>1</v>
      </c>
      <c r="AM1742" t="n">
        <v>1</v>
      </c>
      <c r="AN1742" t="n">
        <v>0</v>
      </c>
      <c r="AO1742" t="n">
        <v>0</v>
      </c>
      <c r="AP1742" t="inlineStr">
        <is>
          <t>No</t>
        </is>
      </c>
      <c r="AQ1742" t="inlineStr">
        <is>
          <t>Yes</t>
        </is>
      </c>
      <c r="AR1742">
        <f>HYPERLINK("http://catalog.hathitrust.org/Record/006041582","HathiTrust Record")</f>
        <v/>
      </c>
      <c r="AS1742">
        <f>HYPERLINK("https://creighton-primo.hosted.exlibrisgroup.com/primo-explore/search?tab=default_tab&amp;search_scope=EVERYTHING&amp;vid=01CRU&amp;lang=en_US&amp;offset=0&amp;query=any,contains,991000064509702656","Catalog Record")</f>
        <v/>
      </c>
      <c r="AT1742">
        <f>HYPERLINK("http://www.worldcat.org/oclc/26165","WorldCat Record")</f>
        <v/>
      </c>
      <c r="AU1742" t="inlineStr">
        <is>
          <t>4494977633:eng</t>
        </is>
      </c>
      <c r="AV1742" t="inlineStr">
        <is>
          <t>26165</t>
        </is>
      </c>
      <c r="AW1742" t="inlineStr">
        <is>
          <t>991000064509702656</t>
        </is>
      </c>
      <c r="AX1742" t="inlineStr">
        <is>
          <t>991000064509702656</t>
        </is>
      </c>
      <c r="AY1742" t="inlineStr">
        <is>
          <t>2265644870002656</t>
        </is>
      </c>
      <c r="AZ1742" t="inlineStr">
        <is>
          <t>BOOK</t>
        </is>
      </c>
      <c r="BB1742" t="inlineStr">
        <is>
          <t>9780815403005</t>
        </is>
      </c>
      <c r="BC1742" t="inlineStr">
        <is>
          <t>32285001034890</t>
        </is>
      </c>
      <c r="BD1742" t="inlineStr">
        <is>
          <t>893714255</t>
        </is>
      </c>
    </row>
    <row r="1743">
      <c r="A1743" t="inlineStr">
        <is>
          <t>No</t>
        </is>
      </c>
      <c r="B1743" t="inlineStr">
        <is>
          <t>DP48 .Q84 1987</t>
        </is>
      </c>
      <c r="C1743" t="inlineStr">
        <is>
          <t>0                      DP 0048000Q  84          1987</t>
        </is>
      </c>
      <c r="D1743" t="inlineStr">
        <is>
          <t>Curso de civilización Española / Sebastián Quesada Marco.</t>
        </is>
      </c>
      <c r="F1743" t="inlineStr">
        <is>
          <t>No</t>
        </is>
      </c>
      <c r="G1743" t="inlineStr">
        <is>
          <t>1</t>
        </is>
      </c>
      <c r="H1743" t="inlineStr">
        <is>
          <t>No</t>
        </is>
      </c>
      <c r="I1743" t="inlineStr">
        <is>
          <t>No</t>
        </is>
      </c>
      <c r="J1743" t="inlineStr">
        <is>
          <t>0</t>
        </is>
      </c>
      <c r="K1743" t="inlineStr">
        <is>
          <t>Quesada Marco, Sebastián.</t>
        </is>
      </c>
      <c r="L1743" t="inlineStr">
        <is>
          <t>Madrid : Sociedad General Española de Librería, c1987.</t>
        </is>
      </c>
      <c r="M1743" t="inlineStr">
        <is>
          <t>1987</t>
        </is>
      </c>
      <c r="N1743" t="inlineStr">
        <is>
          <t>1a ed.</t>
        </is>
      </c>
      <c r="O1743" t="inlineStr">
        <is>
          <t>spa</t>
        </is>
      </c>
      <c r="P1743" t="inlineStr">
        <is>
          <t xml:space="preserve">sp </t>
        </is>
      </c>
      <c r="R1743" t="inlineStr">
        <is>
          <t xml:space="preserve">DP </t>
        </is>
      </c>
      <c r="S1743" t="n">
        <v>0</v>
      </c>
      <c r="T1743" t="n">
        <v>0</v>
      </c>
      <c r="U1743" t="inlineStr">
        <is>
          <t>2007-05-31</t>
        </is>
      </c>
      <c r="V1743" t="inlineStr">
        <is>
          <t>2007-05-31</t>
        </is>
      </c>
      <c r="W1743" t="inlineStr">
        <is>
          <t>1991-09-13</t>
        </is>
      </c>
      <c r="X1743" t="inlineStr">
        <is>
          <t>1991-09-13</t>
        </is>
      </c>
      <c r="Y1743" t="n">
        <v>53</v>
      </c>
      <c r="Z1743" t="n">
        <v>22</v>
      </c>
      <c r="AA1743" t="n">
        <v>75</v>
      </c>
      <c r="AB1743" t="n">
        <v>1</v>
      </c>
      <c r="AC1743" t="n">
        <v>3</v>
      </c>
      <c r="AD1743" t="n">
        <v>1</v>
      </c>
      <c r="AE1743" t="n">
        <v>5</v>
      </c>
      <c r="AF1743" t="n">
        <v>0</v>
      </c>
      <c r="AG1743" t="n">
        <v>2</v>
      </c>
      <c r="AH1743" t="n">
        <v>0</v>
      </c>
      <c r="AI1743" t="n">
        <v>0</v>
      </c>
      <c r="AJ1743" t="n">
        <v>1</v>
      </c>
      <c r="AK1743" t="n">
        <v>1</v>
      </c>
      <c r="AL1743" t="n">
        <v>0</v>
      </c>
      <c r="AM1743" t="n">
        <v>2</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HYPERLINK("https://creighton-primo.hosted.exlibrisgroup.com/primo-explore/search?tab=default_tab&amp;search_scope=EVERYTHING&amp;vid=01CRU&amp;lang=en_US&amp;offset=0&amp;query=any,contains,991001329339702656","Catalog Record")</f>
        <v/>
      </c>
      <c r="AT1743">
        <f>HYPERLINK("http://www.worldcat.org/oclc/18309827","WorldCat Record")</f>
        <v/>
      </c>
      <c r="AU1743" t="inlineStr">
        <is>
          <t>17328254:spa</t>
        </is>
      </c>
      <c r="AV1743" t="inlineStr">
        <is>
          <t>18309827</t>
        </is>
      </c>
      <c r="AW1743" t="inlineStr">
        <is>
          <t>991001329339702656</t>
        </is>
      </c>
      <c r="AX1743" t="inlineStr">
        <is>
          <t>991001329339702656</t>
        </is>
      </c>
      <c r="AY1743" t="inlineStr">
        <is>
          <t>2265947460002656</t>
        </is>
      </c>
      <c r="AZ1743" t="inlineStr">
        <is>
          <t>BOOK</t>
        </is>
      </c>
      <c r="BB1743" t="inlineStr">
        <is>
          <t>9788471433701</t>
        </is>
      </c>
      <c r="BC1743" t="inlineStr">
        <is>
          <t>32285000651801</t>
        </is>
      </c>
      <c r="BD1743" t="inlineStr">
        <is>
          <t>893334255</t>
        </is>
      </c>
    </row>
    <row r="1744">
      <c r="A1744" t="inlineStr">
        <is>
          <t>No</t>
        </is>
      </c>
      <c r="B1744" t="inlineStr">
        <is>
          <t>DP48 .R46 2001</t>
        </is>
      </c>
      <c r="C1744" t="inlineStr">
        <is>
          <t>0                      DP 0048000R  46          2001</t>
        </is>
      </c>
      <c r="D1744" t="inlineStr">
        <is>
          <t>Spanish studies : an introduction / Bill Richardson.</t>
        </is>
      </c>
      <c r="F1744" t="inlineStr">
        <is>
          <t>No</t>
        </is>
      </c>
      <c r="G1744" t="inlineStr">
        <is>
          <t>1</t>
        </is>
      </c>
      <c r="H1744" t="inlineStr">
        <is>
          <t>No</t>
        </is>
      </c>
      <c r="I1744" t="inlineStr">
        <is>
          <t>No</t>
        </is>
      </c>
      <c r="J1744" t="inlineStr">
        <is>
          <t>0</t>
        </is>
      </c>
      <c r="K1744" t="inlineStr">
        <is>
          <t>Richardson, Bill, 1953-</t>
        </is>
      </c>
      <c r="L1744" t="inlineStr">
        <is>
          <t>London : Arnold ; New York : Oxford University Press, 2001.</t>
        </is>
      </c>
      <c r="M1744" t="inlineStr">
        <is>
          <t>2001</t>
        </is>
      </c>
      <c r="O1744" t="inlineStr">
        <is>
          <t>eng</t>
        </is>
      </c>
      <c r="P1744" t="inlineStr">
        <is>
          <t>enk</t>
        </is>
      </c>
      <c r="R1744" t="inlineStr">
        <is>
          <t xml:space="preserve">DP </t>
        </is>
      </c>
      <c r="S1744" t="n">
        <v>8</v>
      </c>
      <c r="T1744" t="n">
        <v>8</v>
      </c>
      <c r="U1744" t="inlineStr">
        <is>
          <t>2009-12-07</t>
        </is>
      </c>
      <c r="V1744" t="inlineStr">
        <is>
          <t>2009-12-07</t>
        </is>
      </c>
      <c r="W1744" t="inlineStr">
        <is>
          <t>2003-03-25</t>
        </is>
      </c>
      <c r="X1744" t="inlineStr">
        <is>
          <t>2003-03-25</t>
        </is>
      </c>
      <c r="Y1744" t="n">
        <v>302</v>
      </c>
      <c r="Z1744" t="n">
        <v>223</v>
      </c>
      <c r="AA1744" t="n">
        <v>228</v>
      </c>
      <c r="AB1744" t="n">
        <v>2</v>
      </c>
      <c r="AC1744" t="n">
        <v>2</v>
      </c>
      <c r="AD1744" t="n">
        <v>17</v>
      </c>
      <c r="AE1744" t="n">
        <v>17</v>
      </c>
      <c r="AF1744" t="n">
        <v>8</v>
      </c>
      <c r="AG1744" t="n">
        <v>8</v>
      </c>
      <c r="AH1744" t="n">
        <v>5</v>
      </c>
      <c r="AI1744" t="n">
        <v>5</v>
      </c>
      <c r="AJ1744" t="n">
        <v>9</v>
      </c>
      <c r="AK1744" t="n">
        <v>9</v>
      </c>
      <c r="AL1744" t="n">
        <v>1</v>
      </c>
      <c r="AM1744" t="n">
        <v>1</v>
      </c>
      <c r="AN1744" t="n">
        <v>0</v>
      </c>
      <c r="AO1744" t="n">
        <v>0</v>
      </c>
      <c r="AP1744" t="inlineStr">
        <is>
          <t>No</t>
        </is>
      </c>
      <c r="AQ1744" t="inlineStr">
        <is>
          <t>No</t>
        </is>
      </c>
      <c r="AS1744">
        <f>HYPERLINK("https://creighton-primo.hosted.exlibrisgroup.com/primo-explore/search?tab=default_tab&amp;search_scope=EVERYTHING&amp;vid=01CRU&amp;lang=en_US&amp;offset=0&amp;query=any,contains,991004025689702656","Catalog Record")</f>
        <v/>
      </c>
      <c r="AT1744">
        <f>HYPERLINK("http://www.worldcat.org/oclc/45735613","WorldCat Record")</f>
        <v/>
      </c>
      <c r="AU1744" t="inlineStr">
        <is>
          <t>34703047:eng</t>
        </is>
      </c>
      <c r="AV1744" t="inlineStr">
        <is>
          <t>45735613</t>
        </is>
      </c>
      <c r="AW1744" t="inlineStr">
        <is>
          <t>991004025689702656</t>
        </is>
      </c>
      <c r="AX1744" t="inlineStr">
        <is>
          <t>991004025689702656</t>
        </is>
      </c>
      <c r="AY1744" t="inlineStr">
        <is>
          <t>2267552850002656</t>
        </is>
      </c>
      <c r="AZ1744" t="inlineStr">
        <is>
          <t>BOOK</t>
        </is>
      </c>
      <c r="BB1744" t="inlineStr">
        <is>
          <t>9780340760376</t>
        </is>
      </c>
      <c r="BC1744" t="inlineStr">
        <is>
          <t>32285004686514</t>
        </is>
      </c>
      <c r="BD1744" t="inlineStr">
        <is>
          <t>893775510</t>
        </is>
      </c>
    </row>
    <row r="1745">
      <c r="A1745" t="inlineStr">
        <is>
          <t>No</t>
        </is>
      </c>
      <c r="B1745" t="inlineStr">
        <is>
          <t>DP48 .S3</t>
        </is>
      </c>
      <c r="C1745" t="inlineStr">
        <is>
          <t>0                      DP 0048000S  3</t>
        </is>
      </c>
      <c r="D1745" t="inlineStr">
        <is>
          <t>Spain, a historical enigma / Claudio Sánchez-Albornoz ; translated by Colette Joly Dees &amp; David Sven Reher.</t>
        </is>
      </c>
      <c r="F1745" t="inlineStr">
        <is>
          <t>Yes</t>
        </is>
      </c>
      <c r="G1745" t="inlineStr">
        <is>
          <t>1</t>
        </is>
      </c>
      <c r="H1745" t="inlineStr">
        <is>
          <t>No</t>
        </is>
      </c>
      <c r="I1745" t="inlineStr">
        <is>
          <t>No</t>
        </is>
      </c>
      <c r="J1745" t="inlineStr">
        <is>
          <t>0</t>
        </is>
      </c>
      <c r="K1745" t="inlineStr">
        <is>
          <t>Sánchez-Albornoz, Claudio, 1893-1984.</t>
        </is>
      </c>
      <c r="L1745" t="inlineStr">
        <is>
          <t>Madrid : Fundación Universitaria Española, 1975.</t>
        </is>
      </c>
      <c r="M1745" t="inlineStr">
        <is>
          <t>1975</t>
        </is>
      </c>
      <c r="O1745" t="inlineStr">
        <is>
          <t>eng</t>
        </is>
      </c>
      <c r="P1745" t="inlineStr">
        <is>
          <t xml:space="preserve">sp </t>
        </is>
      </c>
      <c r="Q1745" t="inlineStr">
        <is>
          <t>Publications of the Spanish University Foundation : Hispanism series ; 2</t>
        </is>
      </c>
      <c r="R1745" t="inlineStr">
        <is>
          <t xml:space="preserve">DP </t>
        </is>
      </c>
      <c r="S1745" t="n">
        <v>1</v>
      </c>
      <c r="T1745" t="n">
        <v>1</v>
      </c>
      <c r="U1745" t="inlineStr">
        <is>
          <t>1999-04-19</t>
        </is>
      </c>
      <c r="V1745" t="inlineStr">
        <is>
          <t>1999-04-19</t>
        </is>
      </c>
      <c r="W1745" t="inlineStr">
        <is>
          <t>1997-02-12</t>
        </is>
      </c>
      <c r="X1745" t="inlineStr">
        <is>
          <t>1997-02-12</t>
        </is>
      </c>
      <c r="Y1745" t="n">
        <v>205</v>
      </c>
      <c r="Z1745" t="n">
        <v>178</v>
      </c>
      <c r="AA1745" t="n">
        <v>186</v>
      </c>
      <c r="AB1745" t="n">
        <v>1</v>
      </c>
      <c r="AC1745" t="n">
        <v>1</v>
      </c>
      <c r="AD1745" t="n">
        <v>15</v>
      </c>
      <c r="AE1745" t="n">
        <v>15</v>
      </c>
      <c r="AF1745" t="n">
        <v>3</v>
      </c>
      <c r="AG1745" t="n">
        <v>3</v>
      </c>
      <c r="AH1745" t="n">
        <v>5</v>
      </c>
      <c r="AI1745" t="n">
        <v>5</v>
      </c>
      <c r="AJ1745" t="n">
        <v>9</v>
      </c>
      <c r="AK1745" t="n">
        <v>9</v>
      </c>
      <c r="AL1745" t="n">
        <v>0</v>
      </c>
      <c r="AM1745" t="n">
        <v>0</v>
      </c>
      <c r="AN1745" t="n">
        <v>0</v>
      </c>
      <c r="AO1745" t="n">
        <v>0</v>
      </c>
      <c r="AP1745" t="inlineStr">
        <is>
          <t>No</t>
        </is>
      </c>
      <c r="AQ1745" t="inlineStr">
        <is>
          <t>Yes</t>
        </is>
      </c>
      <c r="AR1745">
        <f>HYPERLINK("http://catalog.hathitrust.org/Record/000036995","HathiTrust Record")</f>
        <v/>
      </c>
      <c r="AS1745">
        <f>HYPERLINK("https://creighton-primo.hosted.exlibrisgroup.com/primo-explore/search?tab=default_tab&amp;search_scope=EVERYTHING&amp;vid=01CRU&amp;lang=en_US&amp;offset=0&amp;query=any,contains,991004348299702656","Catalog Record")</f>
        <v/>
      </c>
      <c r="AT1745">
        <f>HYPERLINK("http://www.worldcat.org/oclc/3107459","WorldCat Record")</f>
        <v/>
      </c>
      <c r="AU1745" t="inlineStr">
        <is>
          <t>3373325288:eng</t>
        </is>
      </c>
      <c r="AV1745" t="inlineStr">
        <is>
          <t>3107459</t>
        </is>
      </c>
      <c r="AW1745" t="inlineStr">
        <is>
          <t>991004348299702656</t>
        </is>
      </c>
      <c r="AX1745" t="inlineStr">
        <is>
          <t>991004348299702656</t>
        </is>
      </c>
      <c r="AY1745" t="inlineStr">
        <is>
          <t>2270759150002656</t>
        </is>
      </c>
      <c r="AZ1745" t="inlineStr">
        <is>
          <t>BOOK</t>
        </is>
      </c>
      <c r="BB1745" t="inlineStr">
        <is>
          <t>9788473920995</t>
        </is>
      </c>
      <c r="BC1745" t="inlineStr">
        <is>
          <t>32285002436599</t>
        </is>
      </c>
      <c r="BD1745" t="inlineStr">
        <is>
          <t>893411423</t>
        </is>
      </c>
    </row>
    <row r="1746">
      <c r="A1746" t="inlineStr">
        <is>
          <t>No</t>
        </is>
      </c>
      <c r="B1746" t="inlineStr">
        <is>
          <t>DP48 .S358 1981</t>
        </is>
      </c>
      <c r="C1746" t="inlineStr">
        <is>
          <t>0                      DP 0048000S  358         1981</t>
        </is>
      </c>
      <c r="D1746" t="inlineStr">
        <is>
          <t>España : un enigma histórico / Claudio Sánchez-Albornoz.</t>
        </is>
      </c>
      <c r="E1746" t="inlineStr">
        <is>
          <t>V.1</t>
        </is>
      </c>
      <c r="F1746" t="inlineStr">
        <is>
          <t>Yes</t>
        </is>
      </c>
      <c r="G1746" t="inlineStr">
        <is>
          <t>1</t>
        </is>
      </c>
      <c r="H1746" t="inlineStr">
        <is>
          <t>No</t>
        </is>
      </c>
      <c r="I1746" t="inlineStr">
        <is>
          <t>No</t>
        </is>
      </c>
      <c r="J1746" t="inlineStr">
        <is>
          <t>0</t>
        </is>
      </c>
      <c r="K1746" t="inlineStr">
        <is>
          <t>Sánchez-Albornoz, Claudio, 1893-1984.</t>
        </is>
      </c>
      <c r="L1746" t="inlineStr">
        <is>
          <t>Barcelona : Hispano Americana, 1981.</t>
        </is>
      </c>
      <c r="M1746" t="inlineStr">
        <is>
          <t>1981</t>
        </is>
      </c>
      <c r="N1746" t="inlineStr">
        <is>
          <t>8a ed.</t>
        </is>
      </c>
      <c r="O1746" t="inlineStr">
        <is>
          <t>spa</t>
        </is>
      </c>
      <c r="P1746" t="inlineStr">
        <is>
          <t xml:space="preserve">sp </t>
        </is>
      </c>
      <c r="R1746" t="inlineStr">
        <is>
          <t xml:space="preserve">DP </t>
        </is>
      </c>
      <c r="S1746" t="n">
        <v>2</v>
      </c>
      <c r="T1746" t="n">
        <v>4</v>
      </c>
      <c r="U1746" t="inlineStr">
        <is>
          <t>2007-10-31</t>
        </is>
      </c>
      <c r="V1746" t="inlineStr">
        <is>
          <t>2007-10-31</t>
        </is>
      </c>
      <c r="W1746" t="inlineStr">
        <is>
          <t>1991-09-13</t>
        </is>
      </c>
      <c r="X1746" t="inlineStr">
        <is>
          <t>1991-09-13</t>
        </is>
      </c>
      <c r="Y1746" t="n">
        <v>8</v>
      </c>
      <c r="Z1746" t="n">
        <v>8</v>
      </c>
      <c r="AA1746" t="n">
        <v>300</v>
      </c>
      <c r="AB1746" t="n">
        <v>1</v>
      </c>
      <c r="AC1746" t="n">
        <v>3</v>
      </c>
      <c r="AD1746" t="n">
        <v>0</v>
      </c>
      <c r="AE1746" t="n">
        <v>15</v>
      </c>
      <c r="AF1746" t="n">
        <v>0</v>
      </c>
      <c r="AG1746" t="n">
        <v>3</v>
      </c>
      <c r="AH1746" t="n">
        <v>0</v>
      </c>
      <c r="AI1746" t="n">
        <v>4</v>
      </c>
      <c r="AJ1746" t="n">
        <v>0</v>
      </c>
      <c r="AK1746" t="n">
        <v>10</v>
      </c>
      <c r="AL1746" t="n">
        <v>0</v>
      </c>
      <c r="AM1746" t="n">
        <v>2</v>
      </c>
      <c r="AN1746" t="n">
        <v>0</v>
      </c>
      <c r="AO1746" t="n">
        <v>0</v>
      </c>
      <c r="AP1746" t="inlineStr">
        <is>
          <t>No</t>
        </is>
      </c>
      <c r="AQ1746" t="inlineStr">
        <is>
          <t>No</t>
        </is>
      </c>
      <c r="AS1746">
        <f>HYPERLINK("https://creighton-primo.hosted.exlibrisgroup.com/primo-explore/search?tab=default_tab&amp;search_scope=EVERYTHING&amp;vid=01CRU&amp;lang=en_US&amp;offset=0&amp;query=any,contains,991005252819702656","Catalog Record")</f>
        <v/>
      </c>
      <c r="AT1746">
        <f>HYPERLINK("http://www.worldcat.org/oclc/8498743","WorldCat Record")</f>
        <v/>
      </c>
      <c r="AU1746" t="inlineStr">
        <is>
          <t>10226989331:spa</t>
        </is>
      </c>
      <c r="AV1746" t="inlineStr">
        <is>
          <t>8498743</t>
        </is>
      </c>
      <c r="AW1746" t="inlineStr">
        <is>
          <t>991005252819702656</t>
        </is>
      </c>
      <c r="AX1746" t="inlineStr">
        <is>
          <t>991005252819702656</t>
        </is>
      </c>
      <c r="AY1746" t="inlineStr">
        <is>
          <t>2264257970002656</t>
        </is>
      </c>
      <c r="AZ1746" t="inlineStr">
        <is>
          <t>BOOK</t>
        </is>
      </c>
      <c r="BB1746" t="inlineStr">
        <is>
          <t>9788435001175</t>
        </is>
      </c>
      <c r="BC1746" t="inlineStr">
        <is>
          <t>32285000651819</t>
        </is>
      </c>
      <c r="BD1746" t="inlineStr">
        <is>
          <t>893254717</t>
        </is>
      </c>
    </row>
    <row r="1747">
      <c r="A1747" t="inlineStr">
        <is>
          <t>No</t>
        </is>
      </c>
      <c r="B1747" t="inlineStr">
        <is>
          <t>DP48 .S358 1981</t>
        </is>
      </c>
      <c r="C1747" t="inlineStr">
        <is>
          <t>0                      DP 0048000S  358         1981</t>
        </is>
      </c>
      <c r="D1747" t="inlineStr">
        <is>
          <t>España : un enigma histórico / Claudio Sánchez-Albornoz.</t>
        </is>
      </c>
      <c r="E1747" t="inlineStr">
        <is>
          <t>V.2</t>
        </is>
      </c>
      <c r="F1747" t="inlineStr">
        <is>
          <t>Yes</t>
        </is>
      </c>
      <c r="G1747" t="inlineStr">
        <is>
          <t>1</t>
        </is>
      </c>
      <c r="H1747" t="inlineStr">
        <is>
          <t>No</t>
        </is>
      </c>
      <c r="I1747" t="inlineStr">
        <is>
          <t>No</t>
        </is>
      </c>
      <c r="J1747" t="inlineStr">
        <is>
          <t>0</t>
        </is>
      </c>
      <c r="K1747" t="inlineStr">
        <is>
          <t>Sánchez-Albornoz, Claudio, 1893-1984.</t>
        </is>
      </c>
      <c r="L1747" t="inlineStr">
        <is>
          <t>Barcelona : Hispano Americana, 1981.</t>
        </is>
      </c>
      <c r="M1747" t="inlineStr">
        <is>
          <t>1981</t>
        </is>
      </c>
      <c r="N1747" t="inlineStr">
        <is>
          <t>8a ed.</t>
        </is>
      </c>
      <c r="O1747" t="inlineStr">
        <is>
          <t>spa</t>
        </is>
      </c>
      <c r="P1747" t="inlineStr">
        <is>
          <t xml:space="preserve">sp </t>
        </is>
      </c>
      <c r="R1747" t="inlineStr">
        <is>
          <t xml:space="preserve">DP </t>
        </is>
      </c>
      <c r="S1747" t="n">
        <v>2</v>
      </c>
      <c r="T1747" t="n">
        <v>4</v>
      </c>
      <c r="U1747" t="inlineStr">
        <is>
          <t>2007-10-31</t>
        </is>
      </c>
      <c r="V1747" t="inlineStr">
        <is>
          <t>2007-10-31</t>
        </is>
      </c>
      <c r="W1747" t="inlineStr">
        <is>
          <t>1991-09-13</t>
        </is>
      </c>
      <c r="X1747" t="inlineStr">
        <is>
          <t>1991-09-13</t>
        </is>
      </c>
      <c r="Y1747" t="n">
        <v>8</v>
      </c>
      <c r="Z1747" t="n">
        <v>8</v>
      </c>
      <c r="AA1747" t="n">
        <v>300</v>
      </c>
      <c r="AB1747" t="n">
        <v>1</v>
      </c>
      <c r="AC1747" t="n">
        <v>3</v>
      </c>
      <c r="AD1747" t="n">
        <v>0</v>
      </c>
      <c r="AE1747" t="n">
        <v>15</v>
      </c>
      <c r="AF1747" t="n">
        <v>0</v>
      </c>
      <c r="AG1747" t="n">
        <v>3</v>
      </c>
      <c r="AH1747" t="n">
        <v>0</v>
      </c>
      <c r="AI1747" t="n">
        <v>4</v>
      </c>
      <c r="AJ1747" t="n">
        <v>0</v>
      </c>
      <c r="AK1747" t="n">
        <v>10</v>
      </c>
      <c r="AL1747" t="n">
        <v>0</v>
      </c>
      <c r="AM1747" t="n">
        <v>2</v>
      </c>
      <c r="AN1747" t="n">
        <v>0</v>
      </c>
      <c r="AO1747" t="n">
        <v>0</v>
      </c>
      <c r="AP1747" t="inlineStr">
        <is>
          <t>No</t>
        </is>
      </c>
      <c r="AQ1747" t="inlineStr">
        <is>
          <t>No</t>
        </is>
      </c>
      <c r="AS1747">
        <f>HYPERLINK("https://creighton-primo.hosted.exlibrisgroup.com/primo-explore/search?tab=default_tab&amp;search_scope=EVERYTHING&amp;vid=01CRU&amp;lang=en_US&amp;offset=0&amp;query=any,contains,991005252819702656","Catalog Record")</f>
        <v/>
      </c>
      <c r="AT1747">
        <f>HYPERLINK("http://www.worldcat.org/oclc/8498743","WorldCat Record")</f>
        <v/>
      </c>
      <c r="AU1747" t="inlineStr">
        <is>
          <t>10226989331:spa</t>
        </is>
      </c>
      <c r="AV1747" t="inlineStr">
        <is>
          <t>8498743</t>
        </is>
      </c>
      <c r="AW1747" t="inlineStr">
        <is>
          <t>991005252819702656</t>
        </is>
      </c>
      <c r="AX1747" t="inlineStr">
        <is>
          <t>991005252819702656</t>
        </is>
      </c>
      <c r="AY1747" t="inlineStr">
        <is>
          <t>2264257970002656</t>
        </is>
      </c>
      <c r="AZ1747" t="inlineStr">
        <is>
          <t>BOOK</t>
        </is>
      </c>
      <c r="BB1747" t="inlineStr">
        <is>
          <t>9788435001175</t>
        </is>
      </c>
      <c r="BC1747" t="inlineStr">
        <is>
          <t>32285000651827</t>
        </is>
      </c>
      <c r="BD1747" t="inlineStr">
        <is>
          <t>893242443</t>
        </is>
      </c>
    </row>
    <row r="1748">
      <c r="A1748" t="inlineStr">
        <is>
          <t>No</t>
        </is>
      </c>
      <c r="B1748" t="inlineStr">
        <is>
          <t>DP52 .G27 1949</t>
        </is>
      </c>
      <c r="C1748" t="inlineStr">
        <is>
          <t>0                      DP 0052000G  27          1949</t>
        </is>
      </c>
      <c r="D1748" t="inlineStr">
        <is>
          <t>Idearium español. El porvenir de España / Angel Ganivet.</t>
        </is>
      </c>
      <c r="F1748" t="inlineStr">
        <is>
          <t>No</t>
        </is>
      </c>
      <c r="G1748" t="inlineStr">
        <is>
          <t>1</t>
        </is>
      </c>
      <c r="H1748" t="inlineStr">
        <is>
          <t>No</t>
        </is>
      </c>
      <c r="I1748" t="inlineStr">
        <is>
          <t>No</t>
        </is>
      </c>
      <c r="J1748" t="inlineStr">
        <is>
          <t>0</t>
        </is>
      </c>
      <c r="K1748" t="inlineStr">
        <is>
          <t>Ganivet, Angel, 1865-1898.</t>
        </is>
      </c>
      <c r="L1748" t="inlineStr">
        <is>
          <t>Buenos Aires : Espasa-Calpe Argentina, 1949.</t>
        </is>
      </c>
      <c r="M1748" t="inlineStr">
        <is>
          <t>1949</t>
        </is>
      </c>
      <c r="N1748" t="inlineStr">
        <is>
          <t>4. ed.</t>
        </is>
      </c>
      <c r="O1748" t="inlineStr">
        <is>
          <t>spa</t>
        </is>
      </c>
      <c r="P1748" t="inlineStr">
        <is>
          <t xml:space="preserve">ag </t>
        </is>
      </c>
      <c r="Q1748" t="inlineStr">
        <is>
          <t>Colección Austral ; 139</t>
        </is>
      </c>
      <c r="R1748" t="inlineStr">
        <is>
          <t xml:space="preserve">DP </t>
        </is>
      </c>
      <c r="S1748" t="n">
        <v>2</v>
      </c>
      <c r="T1748" t="n">
        <v>2</v>
      </c>
      <c r="U1748" t="inlineStr">
        <is>
          <t>2007-01-31</t>
        </is>
      </c>
      <c r="V1748" t="inlineStr">
        <is>
          <t>2007-01-31</t>
        </is>
      </c>
      <c r="W1748" t="inlineStr">
        <is>
          <t>1997-02-13</t>
        </is>
      </c>
      <c r="X1748" t="inlineStr">
        <is>
          <t>1997-02-13</t>
        </is>
      </c>
      <c r="Y1748" t="n">
        <v>39</v>
      </c>
      <c r="Z1748" t="n">
        <v>25</v>
      </c>
      <c r="AA1748" t="n">
        <v>196</v>
      </c>
      <c r="AB1748" t="n">
        <v>1</v>
      </c>
      <c r="AC1748" t="n">
        <v>2</v>
      </c>
      <c r="AD1748" t="n">
        <v>1</v>
      </c>
      <c r="AE1748" t="n">
        <v>12</v>
      </c>
      <c r="AF1748" t="n">
        <v>0</v>
      </c>
      <c r="AG1748" t="n">
        <v>4</v>
      </c>
      <c r="AH1748" t="n">
        <v>0</v>
      </c>
      <c r="AI1748" t="n">
        <v>4</v>
      </c>
      <c r="AJ1748" t="n">
        <v>1</v>
      </c>
      <c r="AK1748" t="n">
        <v>6</v>
      </c>
      <c r="AL1748" t="n">
        <v>0</v>
      </c>
      <c r="AM1748" t="n">
        <v>1</v>
      </c>
      <c r="AN1748" t="n">
        <v>0</v>
      </c>
      <c r="AO1748" t="n">
        <v>0</v>
      </c>
      <c r="AP1748" t="inlineStr">
        <is>
          <t>No</t>
        </is>
      </c>
      <c r="AQ1748" t="inlineStr">
        <is>
          <t>No</t>
        </is>
      </c>
      <c r="AS1748">
        <f>HYPERLINK("https://creighton-primo.hosted.exlibrisgroup.com/primo-explore/search?tab=default_tab&amp;search_scope=EVERYTHING&amp;vid=01CRU&amp;lang=en_US&amp;offset=0&amp;query=any,contains,991004441689702656","Catalog Record")</f>
        <v/>
      </c>
      <c r="AT1748">
        <f>HYPERLINK("http://www.worldcat.org/oclc/3466960","WorldCat Record")</f>
        <v/>
      </c>
      <c r="AU1748" t="inlineStr">
        <is>
          <t>4917535657:spa</t>
        </is>
      </c>
      <c r="AV1748" t="inlineStr">
        <is>
          <t>3466960</t>
        </is>
      </c>
      <c r="AW1748" t="inlineStr">
        <is>
          <t>991004441689702656</t>
        </is>
      </c>
      <c r="AX1748" t="inlineStr">
        <is>
          <t>991004441689702656</t>
        </is>
      </c>
      <c r="AY1748" t="inlineStr">
        <is>
          <t>2255290210002656</t>
        </is>
      </c>
      <c r="AZ1748" t="inlineStr">
        <is>
          <t>BOOK</t>
        </is>
      </c>
      <c r="BC1748" t="inlineStr">
        <is>
          <t>32285002436771</t>
        </is>
      </c>
      <c r="BD1748" t="inlineStr">
        <is>
          <t>893526102</t>
        </is>
      </c>
    </row>
    <row r="1749">
      <c r="A1749" t="inlineStr">
        <is>
          <t>No</t>
        </is>
      </c>
      <c r="B1749" t="inlineStr">
        <is>
          <t>DP52 .G2713 1976</t>
        </is>
      </c>
      <c r="C1749" t="inlineStr">
        <is>
          <t>0                      DP 0052000G  2713        1976</t>
        </is>
      </c>
      <c r="D1749" t="inlineStr">
        <is>
          <t>Spain : an interpretation / Angel Ganivet ; with introd. by R. M. Nadal.</t>
        </is>
      </c>
      <c r="F1749" t="inlineStr">
        <is>
          <t>No</t>
        </is>
      </c>
      <c r="G1749" t="inlineStr">
        <is>
          <t>1</t>
        </is>
      </c>
      <c r="H1749" t="inlineStr">
        <is>
          <t>No</t>
        </is>
      </c>
      <c r="I1749" t="inlineStr">
        <is>
          <t>No</t>
        </is>
      </c>
      <c r="J1749" t="inlineStr">
        <is>
          <t>0</t>
        </is>
      </c>
      <c r="K1749" t="inlineStr">
        <is>
          <t>Ganivet, Angel, 1865-1898.</t>
        </is>
      </c>
      <c r="L1749" t="inlineStr">
        <is>
          <t>New York : AMS Press, 1976.</t>
        </is>
      </c>
      <c r="M1749" t="inlineStr">
        <is>
          <t>1976</t>
        </is>
      </c>
      <c r="O1749" t="inlineStr">
        <is>
          <t>eng</t>
        </is>
      </c>
      <c r="P1749" t="inlineStr">
        <is>
          <t>nyu</t>
        </is>
      </c>
      <c r="R1749" t="inlineStr">
        <is>
          <t xml:space="preserve">DP </t>
        </is>
      </c>
      <c r="S1749" t="n">
        <v>5</v>
      </c>
      <c r="T1749" t="n">
        <v>5</v>
      </c>
      <c r="U1749" t="inlineStr">
        <is>
          <t>2007-01-31</t>
        </is>
      </c>
      <c r="V1749" t="inlineStr">
        <is>
          <t>2007-01-31</t>
        </is>
      </c>
      <c r="W1749" t="inlineStr">
        <is>
          <t>1997-02-13</t>
        </is>
      </c>
      <c r="X1749" t="inlineStr">
        <is>
          <t>1997-02-13</t>
        </is>
      </c>
      <c r="Y1749" t="n">
        <v>89</v>
      </c>
      <c r="Z1749" t="n">
        <v>80</v>
      </c>
      <c r="AA1749" t="n">
        <v>281</v>
      </c>
      <c r="AB1749" t="n">
        <v>1</v>
      </c>
      <c r="AC1749" t="n">
        <v>4</v>
      </c>
      <c r="AD1749" t="n">
        <v>3</v>
      </c>
      <c r="AE1749" t="n">
        <v>18</v>
      </c>
      <c r="AF1749" t="n">
        <v>2</v>
      </c>
      <c r="AG1749" t="n">
        <v>9</v>
      </c>
      <c r="AH1749" t="n">
        <v>1</v>
      </c>
      <c r="AI1749" t="n">
        <v>4</v>
      </c>
      <c r="AJ1749" t="n">
        <v>1</v>
      </c>
      <c r="AK1749" t="n">
        <v>8</v>
      </c>
      <c r="AL1749" t="n">
        <v>0</v>
      </c>
      <c r="AM1749" t="n">
        <v>3</v>
      </c>
      <c r="AN1749" t="n">
        <v>0</v>
      </c>
      <c r="AO1749" t="n">
        <v>0</v>
      </c>
      <c r="AP1749" t="inlineStr">
        <is>
          <t>No</t>
        </is>
      </c>
      <c r="AQ1749" t="inlineStr">
        <is>
          <t>Yes</t>
        </is>
      </c>
      <c r="AR1749">
        <f>HYPERLINK("http://catalog.hathitrust.org/Record/004409164","HathiTrust Record")</f>
        <v/>
      </c>
      <c r="AS1749">
        <f>HYPERLINK("https://creighton-primo.hosted.exlibrisgroup.com/primo-explore/search?tab=default_tab&amp;search_scope=EVERYTHING&amp;vid=01CRU&amp;lang=en_US&amp;offset=0&amp;query=any,contains,991005369679702656","Catalog Record")</f>
        <v/>
      </c>
      <c r="AT1749">
        <f>HYPERLINK("http://www.worldcat.org/oclc/2387789","WorldCat Record")</f>
        <v/>
      </c>
      <c r="AU1749" t="inlineStr">
        <is>
          <t>4820413999:eng</t>
        </is>
      </c>
      <c r="AV1749" t="inlineStr">
        <is>
          <t>2387789</t>
        </is>
      </c>
      <c r="AW1749" t="inlineStr">
        <is>
          <t>991005369679702656</t>
        </is>
      </c>
      <c r="AX1749" t="inlineStr">
        <is>
          <t>991005369679702656</t>
        </is>
      </c>
      <c r="AY1749" t="inlineStr">
        <is>
          <t>2258662950002656</t>
        </is>
      </c>
      <c r="AZ1749" t="inlineStr">
        <is>
          <t>BOOK</t>
        </is>
      </c>
      <c r="BB1749" t="inlineStr">
        <is>
          <t>9780404147556</t>
        </is>
      </c>
      <c r="BC1749" t="inlineStr">
        <is>
          <t>32285002436789</t>
        </is>
      </c>
      <c r="BD1749" t="inlineStr">
        <is>
          <t>893628724</t>
        </is>
      </c>
    </row>
    <row r="1750">
      <c r="A1750" t="inlineStr">
        <is>
          <t>No</t>
        </is>
      </c>
      <c r="B1750" t="inlineStr">
        <is>
          <t>DP52 .L573 2008</t>
        </is>
      </c>
      <c r="C1750" t="inlineStr">
        <is>
          <t>0                      DP 0052000L  573         2008</t>
        </is>
      </c>
      <c r="D1750" t="inlineStr">
        <is>
          <t>La llave de las Españas : estudio sobre tradiciones e identidades políticas hispánicas / Juan Esteban Constaín Croce ... [et al.].</t>
        </is>
      </c>
      <c r="F1750" t="inlineStr">
        <is>
          <t>No</t>
        </is>
      </c>
      <c r="G1750" t="inlineStr">
        <is>
          <t>1</t>
        </is>
      </c>
      <c r="H1750" t="inlineStr">
        <is>
          <t>No</t>
        </is>
      </c>
      <c r="I1750" t="inlineStr">
        <is>
          <t>No</t>
        </is>
      </c>
      <c r="J1750" t="inlineStr">
        <is>
          <t>0</t>
        </is>
      </c>
      <c r="L1750" t="inlineStr">
        <is>
          <t>Bogotá, D.C. : Editorial Universidad del Rosario, 2008.</t>
        </is>
      </c>
      <c r="M1750" t="inlineStr">
        <is>
          <t>2008</t>
        </is>
      </c>
      <c r="N1750" t="inlineStr">
        <is>
          <t>1. ed.</t>
        </is>
      </c>
      <c r="O1750" t="inlineStr">
        <is>
          <t>spa</t>
        </is>
      </c>
      <c r="P1750" t="inlineStr">
        <is>
          <t xml:space="preserve">ck </t>
        </is>
      </c>
      <c r="R1750" t="inlineStr">
        <is>
          <t xml:space="preserve">DP </t>
        </is>
      </c>
      <c r="S1750" t="n">
        <v>1</v>
      </c>
      <c r="T1750" t="n">
        <v>1</v>
      </c>
      <c r="U1750" t="inlineStr">
        <is>
          <t>2009-04-22</t>
        </is>
      </c>
      <c r="V1750" t="inlineStr">
        <is>
          <t>2009-04-22</t>
        </is>
      </c>
      <c r="W1750" t="inlineStr">
        <is>
          <t>2009-04-22</t>
        </is>
      </c>
      <c r="X1750" t="inlineStr">
        <is>
          <t>2009-04-22</t>
        </is>
      </c>
      <c r="Y1750" t="n">
        <v>28</v>
      </c>
      <c r="Z1750" t="n">
        <v>22</v>
      </c>
      <c r="AA1750" t="n">
        <v>49</v>
      </c>
      <c r="AB1750" t="n">
        <v>1</v>
      </c>
      <c r="AC1750" t="n">
        <v>1</v>
      </c>
      <c r="AD1750" t="n">
        <v>0</v>
      </c>
      <c r="AE1750" t="n">
        <v>2</v>
      </c>
      <c r="AF1750" t="n">
        <v>0</v>
      </c>
      <c r="AG1750" t="n">
        <v>1</v>
      </c>
      <c r="AH1750" t="n">
        <v>0</v>
      </c>
      <c r="AI1750" t="n">
        <v>1</v>
      </c>
      <c r="AJ1750" t="n">
        <v>0</v>
      </c>
      <c r="AK1750" t="n">
        <v>1</v>
      </c>
      <c r="AL1750" t="n">
        <v>0</v>
      </c>
      <c r="AM1750" t="n">
        <v>0</v>
      </c>
      <c r="AN1750" t="n">
        <v>0</v>
      </c>
      <c r="AO1750" t="n">
        <v>0</v>
      </c>
      <c r="AP1750" t="inlineStr">
        <is>
          <t>No</t>
        </is>
      </c>
      <c r="AQ1750" t="inlineStr">
        <is>
          <t>No</t>
        </is>
      </c>
      <c r="AS1750">
        <f>HYPERLINK("https://creighton-primo.hosted.exlibrisgroup.com/primo-explore/search?tab=default_tab&amp;search_scope=EVERYTHING&amp;vid=01CRU&amp;lang=en_US&amp;offset=0&amp;query=any,contains,991005285819702656","Catalog Record")</f>
        <v/>
      </c>
      <c r="AT1750">
        <f>HYPERLINK("http://www.worldcat.org/oclc/317290336","WorldCat Record")</f>
        <v/>
      </c>
      <c r="AU1750" t="inlineStr">
        <is>
          <t>2056253086:spa</t>
        </is>
      </c>
      <c r="AV1750" t="inlineStr">
        <is>
          <t>317290336</t>
        </is>
      </c>
      <c r="AW1750" t="inlineStr">
        <is>
          <t>991005285819702656</t>
        </is>
      </c>
      <c r="AX1750" t="inlineStr">
        <is>
          <t>991005285819702656</t>
        </is>
      </c>
      <c r="AY1750" t="inlineStr">
        <is>
          <t>2258260270002656</t>
        </is>
      </c>
      <c r="AZ1750" t="inlineStr">
        <is>
          <t>BOOK</t>
        </is>
      </c>
      <c r="BB1750" t="inlineStr">
        <is>
          <t>9789588378169</t>
        </is>
      </c>
      <c r="BC1750" t="inlineStr">
        <is>
          <t>32285005501837</t>
        </is>
      </c>
      <c r="BD1750" t="inlineStr">
        <is>
          <t>893514386</t>
        </is>
      </c>
    </row>
    <row r="1751">
      <c r="A1751" t="inlineStr">
        <is>
          <t>No</t>
        </is>
      </c>
      <c r="B1751" t="inlineStr">
        <is>
          <t>DP52 .S38</t>
        </is>
      </c>
      <c r="C1751" t="inlineStr">
        <is>
          <t>0                      DP 0052000S  38</t>
        </is>
      </c>
      <c r="D1751" t="inlineStr">
        <is>
          <t>The history of the Blacks, the Jews, and the Moors in Spain / Lee Anne Durham Seminario.</t>
        </is>
      </c>
      <c r="F1751" t="inlineStr">
        <is>
          <t>No</t>
        </is>
      </c>
      <c r="G1751" t="inlineStr">
        <is>
          <t>1</t>
        </is>
      </c>
      <c r="H1751" t="inlineStr">
        <is>
          <t>No</t>
        </is>
      </c>
      <c r="I1751" t="inlineStr">
        <is>
          <t>No</t>
        </is>
      </c>
      <c r="J1751" t="inlineStr">
        <is>
          <t>0</t>
        </is>
      </c>
      <c r="K1751" t="inlineStr">
        <is>
          <t>Seminario, Lee Anne Durham, 1916-</t>
        </is>
      </c>
      <c r="L1751" t="inlineStr">
        <is>
          <t>Madrid : Playor, c1975.</t>
        </is>
      </c>
      <c r="M1751" t="inlineStr">
        <is>
          <t>1975</t>
        </is>
      </c>
      <c r="O1751" t="inlineStr">
        <is>
          <t>eng</t>
        </is>
      </c>
      <c r="P1751" t="inlineStr">
        <is>
          <t xml:space="preserve">sp </t>
        </is>
      </c>
      <c r="Q1751" t="inlineStr">
        <is>
          <t>Colección Plaza mayor scholar</t>
        </is>
      </c>
      <c r="R1751" t="inlineStr">
        <is>
          <t xml:space="preserve">DP </t>
        </is>
      </c>
      <c r="S1751" t="n">
        <v>6</v>
      </c>
      <c r="T1751" t="n">
        <v>6</v>
      </c>
      <c r="U1751" t="inlineStr">
        <is>
          <t>2005-11-07</t>
        </is>
      </c>
      <c r="V1751" t="inlineStr">
        <is>
          <t>2005-11-07</t>
        </is>
      </c>
      <c r="W1751" t="inlineStr">
        <is>
          <t>1997-02-13</t>
        </is>
      </c>
      <c r="X1751" t="inlineStr">
        <is>
          <t>1997-02-13</t>
        </is>
      </c>
      <c r="Y1751" t="n">
        <v>168</v>
      </c>
      <c r="Z1751" t="n">
        <v>152</v>
      </c>
      <c r="AA1751" t="n">
        <v>155</v>
      </c>
      <c r="AB1751" t="n">
        <v>2</v>
      </c>
      <c r="AC1751" t="n">
        <v>2</v>
      </c>
      <c r="AD1751" t="n">
        <v>5</v>
      </c>
      <c r="AE1751" t="n">
        <v>5</v>
      </c>
      <c r="AF1751" t="n">
        <v>1</v>
      </c>
      <c r="AG1751" t="n">
        <v>1</v>
      </c>
      <c r="AH1751" t="n">
        <v>3</v>
      </c>
      <c r="AI1751" t="n">
        <v>3</v>
      </c>
      <c r="AJ1751" t="n">
        <v>2</v>
      </c>
      <c r="AK1751" t="n">
        <v>2</v>
      </c>
      <c r="AL1751" t="n">
        <v>1</v>
      </c>
      <c r="AM1751" t="n">
        <v>1</v>
      </c>
      <c r="AN1751" t="n">
        <v>0</v>
      </c>
      <c r="AO1751" t="n">
        <v>0</v>
      </c>
      <c r="AP1751" t="inlineStr">
        <is>
          <t>No</t>
        </is>
      </c>
      <c r="AQ1751" t="inlineStr">
        <is>
          <t>Yes</t>
        </is>
      </c>
      <c r="AR1751">
        <f>HYPERLINK("http://catalog.hathitrust.org/Record/001236338","HathiTrust Record")</f>
        <v/>
      </c>
      <c r="AS1751">
        <f>HYPERLINK("https://creighton-primo.hosted.exlibrisgroup.com/primo-explore/search?tab=default_tab&amp;search_scope=EVERYTHING&amp;vid=01CRU&amp;lang=en_US&amp;offset=0&amp;query=any,contains,991003966589702656","Catalog Record")</f>
        <v/>
      </c>
      <c r="AT1751">
        <f>HYPERLINK("http://www.worldcat.org/oclc/1986031","WorldCat Record")</f>
        <v/>
      </c>
      <c r="AU1751" t="inlineStr">
        <is>
          <t>3070285:eng</t>
        </is>
      </c>
      <c r="AV1751" t="inlineStr">
        <is>
          <t>1986031</t>
        </is>
      </c>
      <c r="AW1751" t="inlineStr">
        <is>
          <t>991003966589702656</t>
        </is>
      </c>
      <c r="AX1751" t="inlineStr">
        <is>
          <t>991003966589702656</t>
        </is>
      </c>
      <c r="AY1751" t="inlineStr">
        <is>
          <t>2265239020002656</t>
        </is>
      </c>
      <c r="AZ1751" t="inlineStr">
        <is>
          <t>BOOK</t>
        </is>
      </c>
      <c r="BB1751" t="inlineStr">
        <is>
          <t>9788439937098</t>
        </is>
      </c>
      <c r="BC1751" t="inlineStr">
        <is>
          <t>32285002436797</t>
        </is>
      </c>
      <c r="BD1751" t="inlineStr">
        <is>
          <t>893775436</t>
        </is>
      </c>
    </row>
    <row r="1752">
      <c r="A1752" t="inlineStr">
        <is>
          <t>No</t>
        </is>
      </c>
      <c r="B1752" t="inlineStr">
        <is>
          <t>DP52 .V37 1999</t>
        </is>
      </c>
      <c r="C1752" t="inlineStr">
        <is>
          <t>0                      DP 0052000V  37          1999</t>
        </is>
      </c>
      <c r="D1752" t="inlineStr">
        <is>
          <t>La novela de España : los intelectuales y el problema español / Javier Varela.</t>
        </is>
      </c>
      <c r="F1752" t="inlineStr">
        <is>
          <t>No</t>
        </is>
      </c>
      <c r="G1752" t="inlineStr">
        <is>
          <t>1</t>
        </is>
      </c>
      <c r="H1752" t="inlineStr">
        <is>
          <t>No</t>
        </is>
      </c>
      <c r="I1752" t="inlineStr">
        <is>
          <t>No</t>
        </is>
      </c>
      <c r="J1752" t="inlineStr">
        <is>
          <t>0</t>
        </is>
      </c>
      <c r="K1752" t="inlineStr">
        <is>
          <t>Varela, Javier.</t>
        </is>
      </c>
      <c r="L1752" t="inlineStr">
        <is>
          <t>Madrid : Taurus, c1999.</t>
        </is>
      </c>
      <c r="M1752" t="inlineStr">
        <is>
          <t>1999</t>
        </is>
      </c>
      <c r="O1752" t="inlineStr">
        <is>
          <t>spa</t>
        </is>
      </c>
      <c r="P1752" t="inlineStr">
        <is>
          <t xml:space="preserve">sp </t>
        </is>
      </c>
      <c r="Q1752" t="inlineStr">
        <is>
          <t>Pensamiento</t>
        </is>
      </c>
      <c r="R1752" t="inlineStr">
        <is>
          <t xml:space="preserve">DP </t>
        </is>
      </c>
      <c r="S1752" t="n">
        <v>1</v>
      </c>
      <c r="T1752" t="n">
        <v>1</v>
      </c>
      <c r="U1752" t="inlineStr">
        <is>
          <t>2010-06-28</t>
        </is>
      </c>
      <c r="V1752" t="inlineStr">
        <is>
          <t>2010-06-28</t>
        </is>
      </c>
      <c r="W1752" t="inlineStr">
        <is>
          <t>2002-05-14</t>
        </is>
      </c>
      <c r="X1752" t="inlineStr">
        <is>
          <t>2002-05-14</t>
        </is>
      </c>
      <c r="Y1752" t="n">
        <v>90</v>
      </c>
      <c r="Z1752" t="n">
        <v>62</v>
      </c>
      <c r="AA1752" t="n">
        <v>67</v>
      </c>
      <c r="AB1752" t="n">
        <v>1</v>
      </c>
      <c r="AC1752" t="n">
        <v>1</v>
      </c>
      <c r="AD1752" t="n">
        <v>0</v>
      </c>
      <c r="AE1752" t="n">
        <v>0</v>
      </c>
      <c r="AF1752" t="n">
        <v>0</v>
      </c>
      <c r="AG1752" t="n">
        <v>0</v>
      </c>
      <c r="AH1752" t="n">
        <v>0</v>
      </c>
      <c r="AI1752" t="n">
        <v>0</v>
      </c>
      <c r="AJ1752" t="n">
        <v>0</v>
      </c>
      <c r="AK1752" t="n">
        <v>0</v>
      </c>
      <c r="AL1752" t="n">
        <v>0</v>
      </c>
      <c r="AM1752" t="n">
        <v>0</v>
      </c>
      <c r="AN1752" t="n">
        <v>0</v>
      </c>
      <c r="AO1752" t="n">
        <v>0</v>
      </c>
      <c r="AP1752" t="inlineStr">
        <is>
          <t>No</t>
        </is>
      </c>
      <c r="AQ1752" t="inlineStr">
        <is>
          <t>Yes</t>
        </is>
      </c>
      <c r="AR1752">
        <f>HYPERLINK("http://catalog.hathitrust.org/Record/004119730","HathiTrust Record")</f>
        <v/>
      </c>
      <c r="AS1752">
        <f>HYPERLINK("https://creighton-primo.hosted.exlibrisgroup.com/primo-explore/search?tab=default_tab&amp;search_scope=EVERYTHING&amp;vid=01CRU&amp;lang=en_US&amp;offset=0&amp;query=any,contains,991003805779702656","Catalog Record")</f>
        <v/>
      </c>
      <c r="AT1752">
        <f>HYPERLINK("http://www.worldcat.org/oclc/45493364","WorldCat Record")</f>
        <v/>
      </c>
      <c r="AU1752" t="inlineStr">
        <is>
          <t>366088537:spa</t>
        </is>
      </c>
      <c r="AV1752" t="inlineStr">
        <is>
          <t>45493364</t>
        </is>
      </c>
      <c r="AW1752" t="inlineStr">
        <is>
          <t>991003805779702656</t>
        </is>
      </c>
      <c r="AX1752" t="inlineStr">
        <is>
          <t>991003805779702656</t>
        </is>
      </c>
      <c r="AY1752" t="inlineStr">
        <is>
          <t>2262023860002656</t>
        </is>
      </c>
      <c r="AZ1752" t="inlineStr">
        <is>
          <t>BOOK</t>
        </is>
      </c>
      <c r="BB1752" t="inlineStr">
        <is>
          <t>9788430603466</t>
        </is>
      </c>
      <c r="BC1752" t="inlineStr">
        <is>
          <t>32285004487970</t>
        </is>
      </c>
      <c r="BD1752" t="inlineStr">
        <is>
          <t>893617790</t>
        </is>
      </c>
    </row>
    <row r="1753">
      <c r="A1753" t="inlineStr">
        <is>
          <t>No</t>
        </is>
      </c>
      <c r="B1753" t="inlineStr">
        <is>
          <t>DP53.I2 A75</t>
        </is>
      </c>
      <c r="C1753" t="inlineStr">
        <is>
          <t>0                      DP 0053000I  2                  A  75</t>
        </is>
      </c>
      <c r="D1753" t="inlineStr">
        <is>
          <t>The Iberians / Antonio Arribas</t>
        </is>
      </c>
      <c r="F1753" t="inlineStr">
        <is>
          <t>No</t>
        </is>
      </c>
      <c r="G1753" t="inlineStr">
        <is>
          <t>1</t>
        </is>
      </c>
      <c r="H1753" t="inlineStr">
        <is>
          <t>No</t>
        </is>
      </c>
      <c r="I1753" t="inlineStr">
        <is>
          <t>No</t>
        </is>
      </c>
      <c r="J1753" t="inlineStr">
        <is>
          <t>0</t>
        </is>
      </c>
      <c r="K1753" t="inlineStr">
        <is>
          <t>Arribas, Antonio, 1926-</t>
        </is>
      </c>
      <c r="L1753" t="inlineStr">
        <is>
          <t>New York : Praeger, 1963.</t>
        </is>
      </c>
      <c r="M1753" t="inlineStr">
        <is>
          <t>1963</t>
        </is>
      </c>
      <c r="O1753" t="inlineStr">
        <is>
          <t>eng</t>
        </is>
      </c>
      <c r="P1753" t="inlineStr">
        <is>
          <t>nyu</t>
        </is>
      </c>
      <c r="Q1753" t="inlineStr">
        <is>
          <t>Ancient peoples and places ; v. 36</t>
        </is>
      </c>
      <c r="R1753" t="inlineStr">
        <is>
          <t xml:space="preserve">DP </t>
        </is>
      </c>
      <c r="S1753" t="n">
        <v>1</v>
      </c>
      <c r="T1753" t="n">
        <v>1</v>
      </c>
      <c r="U1753" t="inlineStr">
        <is>
          <t>2008-09-14</t>
        </is>
      </c>
      <c r="V1753" t="inlineStr">
        <is>
          <t>2008-09-14</t>
        </is>
      </c>
      <c r="W1753" t="inlineStr">
        <is>
          <t>1997-02-13</t>
        </is>
      </c>
      <c r="X1753" t="inlineStr">
        <is>
          <t>1997-02-13</t>
        </is>
      </c>
      <c r="Y1753" t="n">
        <v>41</v>
      </c>
      <c r="Z1753" t="n">
        <v>35</v>
      </c>
      <c r="AA1753" t="n">
        <v>842</v>
      </c>
      <c r="AB1753" t="n">
        <v>1</v>
      </c>
      <c r="AC1753" t="n">
        <v>6</v>
      </c>
      <c r="AD1753" t="n">
        <v>1</v>
      </c>
      <c r="AE1753" t="n">
        <v>34</v>
      </c>
      <c r="AF1753" t="n">
        <v>0</v>
      </c>
      <c r="AG1753" t="n">
        <v>13</v>
      </c>
      <c r="AH1753" t="n">
        <v>0</v>
      </c>
      <c r="AI1753" t="n">
        <v>9</v>
      </c>
      <c r="AJ1753" t="n">
        <v>1</v>
      </c>
      <c r="AK1753" t="n">
        <v>18</v>
      </c>
      <c r="AL1753" t="n">
        <v>0</v>
      </c>
      <c r="AM1753" t="n">
        <v>5</v>
      </c>
      <c r="AN1753" t="n">
        <v>0</v>
      </c>
      <c r="AO1753" t="n">
        <v>0</v>
      </c>
      <c r="AP1753" t="inlineStr">
        <is>
          <t>No</t>
        </is>
      </c>
      <c r="AQ1753" t="inlineStr">
        <is>
          <t>No</t>
        </is>
      </c>
      <c r="AS1753">
        <f>HYPERLINK("https://creighton-primo.hosted.exlibrisgroup.com/primo-explore/search?tab=default_tab&amp;search_scope=EVERYTHING&amp;vid=01CRU&amp;lang=en_US&amp;offset=0&amp;query=any,contains,991000626269702656","Catalog Record")</f>
        <v/>
      </c>
      <c r="AT1753">
        <f>HYPERLINK("http://www.worldcat.org/oclc/12025507","WorldCat Record")</f>
        <v/>
      </c>
      <c r="AU1753" t="inlineStr">
        <is>
          <t>9349236378:eng</t>
        </is>
      </c>
      <c r="AV1753" t="inlineStr">
        <is>
          <t>12025507</t>
        </is>
      </c>
      <c r="AW1753" t="inlineStr">
        <is>
          <t>991000626269702656</t>
        </is>
      </c>
      <c r="AX1753" t="inlineStr">
        <is>
          <t>991000626269702656</t>
        </is>
      </c>
      <c r="AY1753" t="inlineStr">
        <is>
          <t>2271587940002656</t>
        </is>
      </c>
      <c r="AZ1753" t="inlineStr">
        <is>
          <t>BOOK</t>
        </is>
      </c>
      <c r="BC1753" t="inlineStr">
        <is>
          <t>32285002436813</t>
        </is>
      </c>
      <c r="BD1753" t="inlineStr">
        <is>
          <t>893407372</t>
        </is>
      </c>
    </row>
    <row r="1754">
      <c r="A1754" t="inlineStr">
        <is>
          <t>No</t>
        </is>
      </c>
      <c r="B1754" t="inlineStr">
        <is>
          <t>DP53.M65 F54 2008</t>
        </is>
      </c>
      <c r="C1754" t="inlineStr">
        <is>
          <t>0                      DP 0053000M  65                 F  54          2008</t>
        </is>
      </c>
      <c r="D1754" t="inlineStr">
        <is>
          <t>The return of the Moor : Spanish responses to contemporary Moroccan immigration / Daniela Flesler.</t>
        </is>
      </c>
      <c r="F1754" t="inlineStr">
        <is>
          <t>No</t>
        </is>
      </c>
      <c r="G1754" t="inlineStr">
        <is>
          <t>1</t>
        </is>
      </c>
      <c r="H1754" t="inlineStr">
        <is>
          <t>No</t>
        </is>
      </c>
      <c r="I1754" t="inlineStr">
        <is>
          <t>No</t>
        </is>
      </c>
      <c r="J1754" t="inlineStr">
        <is>
          <t>0</t>
        </is>
      </c>
      <c r="K1754" t="inlineStr">
        <is>
          <t>Flesler, Daniela, 1971-</t>
        </is>
      </c>
      <c r="L1754" t="inlineStr">
        <is>
          <t>West Lafayette, Ind. : Purdue University Press, c2008.</t>
        </is>
      </c>
      <c r="M1754" t="inlineStr">
        <is>
          <t>2008</t>
        </is>
      </c>
      <c r="O1754" t="inlineStr">
        <is>
          <t>eng</t>
        </is>
      </c>
      <c r="P1754" t="inlineStr">
        <is>
          <t>inu</t>
        </is>
      </c>
      <c r="Q1754" t="inlineStr">
        <is>
          <t>Purdue studies in romance literatures</t>
        </is>
      </c>
      <c r="R1754" t="inlineStr">
        <is>
          <t xml:space="preserve">DP </t>
        </is>
      </c>
      <c r="S1754" t="n">
        <v>3</v>
      </c>
      <c r="T1754" t="n">
        <v>3</v>
      </c>
      <c r="U1754" t="inlineStr">
        <is>
          <t>2010-05-17</t>
        </is>
      </c>
      <c r="V1754" t="inlineStr">
        <is>
          <t>2010-05-17</t>
        </is>
      </c>
      <c r="W1754" t="inlineStr">
        <is>
          <t>2009-03-16</t>
        </is>
      </c>
      <c r="X1754" t="inlineStr">
        <is>
          <t>2009-03-16</t>
        </is>
      </c>
      <c r="Y1754" t="n">
        <v>217</v>
      </c>
      <c r="Z1754" t="n">
        <v>174</v>
      </c>
      <c r="AA1754" t="n">
        <v>240</v>
      </c>
      <c r="AB1754" t="n">
        <v>1</v>
      </c>
      <c r="AC1754" t="n">
        <v>1</v>
      </c>
      <c r="AD1754" t="n">
        <v>8</v>
      </c>
      <c r="AE1754" t="n">
        <v>12</v>
      </c>
      <c r="AF1754" t="n">
        <v>2</v>
      </c>
      <c r="AG1754" t="n">
        <v>5</v>
      </c>
      <c r="AH1754" t="n">
        <v>4</v>
      </c>
      <c r="AI1754" t="n">
        <v>5</v>
      </c>
      <c r="AJ1754" t="n">
        <v>3</v>
      </c>
      <c r="AK1754" t="n">
        <v>4</v>
      </c>
      <c r="AL1754" t="n">
        <v>0</v>
      </c>
      <c r="AM1754" t="n">
        <v>0</v>
      </c>
      <c r="AN1754" t="n">
        <v>0</v>
      </c>
      <c r="AO1754" t="n">
        <v>0</v>
      </c>
      <c r="AP1754" t="inlineStr">
        <is>
          <t>No</t>
        </is>
      </c>
      <c r="AQ1754" t="inlineStr">
        <is>
          <t>Yes</t>
        </is>
      </c>
      <c r="AR1754">
        <f>HYPERLINK("http://catalog.hathitrust.org/Record/007149878","HathiTrust Record")</f>
        <v/>
      </c>
      <c r="AS1754">
        <f>HYPERLINK("https://creighton-primo.hosted.exlibrisgroup.com/primo-explore/search?tab=default_tab&amp;search_scope=EVERYTHING&amp;vid=01CRU&amp;lang=en_US&amp;offset=0&amp;query=any,contains,991005299179702656","Catalog Record")</f>
        <v/>
      </c>
      <c r="AT1754">
        <f>HYPERLINK("http://www.worldcat.org/oclc/193900113","WorldCat Record")</f>
        <v/>
      </c>
      <c r="AU1754" t="inlineStr">
        <is>
          <t>815108630:eng</t>
        </is>
      </c>
      <c r="AV1754" t="inlineStr">
        <is>
          <t>193900113</t>
        </is>
      </c>
      <c r="AW1754" t="inlineStr">
        <is>
          <t>991005299179702656</t>
        </is>
      </c>
      <c r="AX1754" t="inlineStr">
        <is>
          <t>991005299179702656</t>
        </is>
      </c>
      <c r="AY1754" t="inlineStr">
        <is>
          <t>2267406300002656</t>
        </is>
      </c>
      <c r="AZ1754" t="inlineStr">
        <is>
          <t>BOOK</t>
        </is>
      </c>
      <c r="BB1754" t="inlineStr">
        <is>
          <t>9781557534835</t>
        </is>
      </c>
      <c r="BC1754" t="inlineStr">
        <is>
          <t>32285005509319</t>
        </is>
      </c>
      <c r="BD1754" t="inlineStr">
        <is>
          <t>893701345</t>
        </is>
      </c>
    </row>
    <row r="1755">
      <c r="A1755" t="inlineStr">
        <is>
          <t>No</t>
        </is>
      </c>
      <c r="B1755" t="inlineStr">
        <is>
          <t>DP538 .H5</t>
        </is>
      </c>
      <c r="C1755" t="inlineStr">
        <is>
          <t>0                      DP 0538000H  5</t>
        </is>
      </c>
      <c r="D1755" t="inlineStr">
        <is>
          <t>History of Portugal.</t>
        </is>
      </c>
      <c r="F1755" t="inlineStr">
        <is>
          <t>No</t>
        </is>
      </c>
      <c r="G1755" t="inlineStr">
        <is>
          <t>1</t>
        </is>
      </c>
      <c r="H1755" t="inlineStr">
        <is>
          <t>No</t>
        </is>
      </c>
      <c r="I1755" t="inlineStr">
        <is>
          <t>No</t>
        </is>
      </c>
      <c r="J1755" t="inlineStr">
        <is>
          <t>0</t>
        </is>
      </c>
      <c r="K1755" t="inlineStr">
        <is>
          <t>Portugal. Direcção-Geral da Informação.</t>
        </is>
      </c>
      <c r="L1755" t="inlineStr">
        <is>
          <t>[Lisboa, Secretaria de Estado da Informação e Turismo, 1971 or 2]</t>
        </is>
      </c>
      <c r="M1755" t="inlineStr">
        <is>
          <t>1971</t>
        </is>
      </c>
      <c r="O1755" t="inlineStr">
        <is>
          <t>eng</t>
        </is>
      </c>
      <c r="P1755" t="inlineStr">
        <is>
          <t xml:space="preserve">po </t>
        </is>
      </c>
      <c r="R1755" t="inlineStr">
        <is>
          <t xml:space="preserve">DP </t>
        </is>
      </c>
      <c r="S1755" t="n">
        <v>1</v>
      </c>
      <c r="T1755" t="n">
        <v>1</v>
      </c>
      <c r="U1755" t="inlineStr">
        <is>
          <t>2001-03-12</t>
        </is>
      </c>
      <c r="V1755" t="inlineStr">
        <is>
          <t>2001-03-12</t>
        </is>
      </c>
      <c r="W1755" t="inlineStr">
        <is>
          <t>1996-08-01</t>
        </is>
      </c>
      <c r="X1755" t="inlineStr">
        <is>
          <t>1996-08-01</t>
        </is>
      </c>
      <c r="Y1755" t="n">
        <v>57</v>
      </c>
      <c r="Z1755" t="n">
        <v>52</v>
      </c>
      <c r="AA1755" t="n">
        <v>53</v>
      </c>
      <c r="AB1755" t="n">
        <v>1</v>
      </c>
      <c r="AC1755" t="n">
        <v>1</v>
      </c>
      <c r="AD1755" t="n">
        <v>2</v>
      </c>
      <c r="AE1755" t="n">
        <v>2</v>
      </c>
      <c r="AF1755" t="n">
        <v>1</v>
      </c>
      <c r="AG1755" t="n">
        <v>1</v>
      </c>
      <c r="AH1755" t="n">
        <v>1</v>
      </c>
      <c r="AI1755" t="n">
        <v>1</v>
      </c>
      <c r="AJ1755" t="n">
        <v>0</v>
      </c>
      <c r="AK1755" t="n">
        <v>0</v>
      </c>
      <c r="AL1755" t="n">
        <v>0</v>
      </c>
      <c r="AM1755" t="n">
        <v>0</v>
      </c>
      <c r="AN1755" t="n">
        <v>0</v>
      </c>
      <c r="AO1755" t="n">
        <v>0</v>
      </c>
      <c r="AP1755" t="inlineStr">
        <is>
          <t>No</t>
        </is>
      </c>
      <c r="AQ1755" t="inlineStr">
        <is>
          <t>No</t>
        </is>
      </c>
      <c r="AS1755">
        <f>HYPERLINK("https://creighton-primo.hosted.exlibrisgroup.com/primo-explore/search?tab=default_tab&amp;search_scope=EVERYTHING&amp;vid=01CRU&amp;lang=en_US&amp;offset=0&amp;query=any,contains,991003057069702656","Catalog Record")</f>
        <v/>
      </c>
      <c r="AT1755">
        <f>HYPERLINK("http://www.worldcat.org/oclc/615178","WorldCat Record")</f>
        <v/>
      </c>
      <c r="AU1755" t="inlineStr">
        <is>
          <t>1686052:eng</t>
        </is>
      </c>
      <c r="AV1755" t="inlineStr">
        <is>
          <t>615178</t>
        </is>
      </c>
      <c r="AW1755" t="inlineStr">
        <is>
          <t>991003057069702656</t>
        </is>
      </c>
      <c r="AX1755" t="inlineStr">
        <is>
          <t>991003057069702656</t>
        </is>
      </c>
      <c r="AY1755" t="inlineStr">
        <is>
          <t>2267274380002656</t>
        </is>
      </c>
      <c r="AZ1755" t="inlineStr">
        <is>
          <t>BOOK</t>
        </is>
      </c>
      <c r="BC1755" t="inlineStr">
        <is>
          <t>32285002209269</t>
        </is>
      </c>
      <c r="BD1755" t="inlineStr">
        <is>
          <t>893809808</t>
        </is>
      </c>
    </row>
    <row r="1756">
      <c r="A1756" t="inlineStr">
        <is>
          <t>No</t>
        </is>
      </c>
      <c r="B1756" t="inlineStr">
        <is>
          <t>DP559 .M16</t>
        </is>
      </c>
      <c r="C1756" t="inlineStr">
        <is>
          <t>0                      DP 0559000M  16</t>
        </is>
      </c>
      <c r="D1756" t="inlineStr">
        <is>
          <t>The history of Portugal, from the commencement of the monarchy to the reign of Alfonso III. (Compiled from Portuguese histories.) By Edward McMurdo.</t>
        </is>
      </c>
      <c r="E1756" t="inlineStr">
        <is>
          <t>V.2</t>
        </is>
      </c>
      <c r="F1756" t="inlineStr">
        <is>
          <t>Yes</t>
        </is>
      </c>
      <c r="G1756" t="inlineStr">
        <is>
          <t>1</t>
        </is>
      </c>
      <c r="H1756" t="inlineStr">
        <is>
          <t>No</t>
        </is>
      </c>
      <c r="I1756" t="inlineStr">
        <is>
          <t>No</t>
        </is>
      </c>
      <c r="J1756" t="inlineStr">
        <is>
          <t>0</t>
        </is>
      </c>
      <c r="K1756" t="inlineStr">
        <is>
          <t>McMurdo, Edward.</t>
        </is>
      </c>
      <c r="L1756" t="inlineStr">
        <is>
          <t>London, S. Low, Marston, Searle, &amp; Rivington, 1888-89.</t>
        </is>
      </c>
      <c r="M1756" t="inlineStr">
        <is>
          <t>1888</t>
        </is>
      </c>
      <c r="O1756" t="inlineStr">
        <is>
          <t>eng</t>
        </is>
      </c>
      <c r="P1756" t="inlineStr">
        <is>
          <t xml:space="preserve">xx </t>
        </is>
      </c>
      <c r="R1756" t="inlineStr">
        <is>
          <t xml:space="preserve">DP </t>
        </is>
      </c>
      <c r="S1756" t="n">
        <v>0</v>
      </c>
      <c r="T1756" t="n">
        <v>0</v>
      </c>
      <c r="U1756" t="inlineStr">
        <is>
          <t>2008-08-28</t>
        </is>
      </c>
      <c r="V1756" t="inlineStr">
        <is>
          <t>2008-08-28</t>
        </is>
      </c>
      <c r="W1756" t="inlineStr">
        <is>
          <t>1997-02-14</t>
        </is>
      </c>
      <c r="X1756" t="inlineStr">
        <is>
          <t>1997-02-14</t>
        </is>
      </c>
      <c r="Y1756" t="n">
        <v>22</v>
      </c>
      <c r="Z1756" t="n">
        <v>18</v>
      </c>
      <c r="AA1756" t="n">
        <v>25</v>
      </c>
      <c r="AB1756" t="n">
        <v>1</v>
      </c>
      <c r="AC1756" t="n">
        <v>1</v>
      </c>
      <c r="AD1756" t="n">
        <v>0</v>
      </c>
      <c r="AE1756" t="n">
        <v>0</v>
      </c>
      <c r="AF1756" t="n">
        <v>0</v>
      </c>
      <c r="AG1756" t="n">
        <v>0</v>
      </c>
      <c r="AH1756" t="n">
        <v>0</v>
      </c>
      <c r="AI1756" t="n">
        <v>0</v>
      </c>
      <c r="AJ1756" t="n">
        <v>0</v>
      </c>
      <c r="AK1756" t="n">
        <v>0</v>
      </c>
      <c r="AL1756" t="n">
        <v>0</v>
      </c>
      <c r="AM1756" t="n">
        <v>0</v>
      </c>
      <c r="AN1756" t="n">
        <v>0</v>
      </c>
      <c r="AO1756" t="n">
        <v>0</v>
      </c>
      <c r="AP1756" t="inlineStr">
        <is>
          <t>Yes</t>
        </is>
      </c>
      <c r="AQ1756" t="inlineStr">
        <is>
          <t>No</t>
        </is>
      </c>
      <c r="AR1756">
        <f>HYPERLINK("http://catalog.hathitrust.org/Record/001237657","HathiTrust Record")</f>
        <v/>
      </c>
      <c r="AS1756">
        <f>HYPERLINK("https://creighton-primo.hosted.exlibrisgroup.com/primo-explore/search?tab=default_tab&amp;search_scope=EVERYTHING&amp;vid=01CRU&amp;lang=en_US&amp;offset=0&amp;query=any,contains,991003209029702656","Catalog Record")</f>
        <v/>
      </c>
      <c r="AT1756">
        <f>HYPERLINK("http://www.worldcat.org/oclc/734909","WorldCat Record")</f>
        <v/>
      </c>
      <c r="AU1756" t="inlineStr">
        <is>
          <t>1774948:eng</t>
        </is>
      </c>
      <c r="AV1756" t="inlineStr">
        <is>
          <t>734909</t>
        </is>
      </c>
      <c r="AW1756" t="inlineStr">
        <is>
          <t>991003209029702656</t>
        </is>
      </c>
      <c r="AX1756" t="inlineStr">
        <is>
          <t>991003209029702656</t>
        </is>
      </c>
      <c r="AY1756" t="inlineStr">
        <is>
          <t>2259631440002656</t>
        </is>
      </c>
      <c r="AZ1756" t="inlineStr">
        <is>
          <t>BOOK</t>
        </is>
      </c>
      <c r="BC1756" t="inlineStr">
        <is>
          <t>32285002465077</t>
        </is>
      </c>
      <c r="BD1756" t="inlineStr">
        <is>
          <t>893604534</t>
        </is>
      </c>
    </row>
    <row r="1757">
      <c r="A1757" t="inlineStr">
        <is>
          <t>No</t>
        </is>
      </c>
      <c r="B1757" t="inlineStr">
        <is>
          <t>DP559 .M16</t>
        </is>
      </c>
      <c r="C1757" t="inlineStr">
        <is>
          <t>0                      DP 0559000M  16</t>
        </is>
      </c>
      <c r="D1757" t="inlineStr">
        <is>
          <t>The history of Portugal, from the commencement of the monarchy to the reign of Alfonso III. (Compiled from Portuguese histories.) By Edward McMurdo.</t>
        </is>
      </c>
      <c r="E1757" t="inlineStr">
        <is>
          <t>V.1</t>
        </is>
      </c>
      <c r="F1757" t="inlineStr">
        <is>
          <t>Yes</t>
        </is>
      </c>
      <c r="G1757" t="inlineStr">
        <is>
          <t>1</t>
        </is>
      </c>
      <c r="H1757" t="inlineStr">
        <is>
          <t>No</t>
        </is>
      </c>
      <c r="I1757" t="inlineStr">
        <is>
          <t>No</t>
        </is>
      </c>
      <c r="J1757" t="inlineStr">
        <is>
          <t>0</t>
        </is>
      </c>
      <c r="K1757" t="inlineStr">
        <is>
          <t>McMurdo, Edward.</t>
        </is>
      </c>
      <c r="L1757" t="inlineStr">
        <is>
          <t>London, S. Low, Marston, Searle, &amp; Rivington, 1888-89.</t>
        </is>
      </c>
      <c r="M1757" t="inlineStr">
        <is>
          <t>1888</t>
        </is>
      </c>
      <c r="O1757" t="inlineStr">
        <is>
          <t>eng</t>
        </is>
      </c>
      <c r="P1757" t="inlineStr">
        <is>
          <t xml:space="preserve">xx </t>
        </is>
      </c>
      <c r="R1757" t="inlineStr">
        <is>
          <t xml:space="preserve">DP </t>
        </is>
      </c>
      <c r="S1757" t="n">
        <v>0</v>
      </c>
      <c r="T1757" t="n">
        <v>0</v>
      </c>
      <c r="U1757" t="inlineStr">
        <is>
          <t>2008-08-28</t>
        </is>
      </c>
      <c r="V1757" t="inlineStr">
        <is>
          <t>2008-08-28</t>
        </is>
      </c>
      <c r="W1757" t="inlineStr">
        <is>
          <t>1997-02-14</t>
        </is>
      </c>
      <c r="X1757" t="inlineStr">
        <is>
          <t>1997-02-14</t>
        </is>
      </c>
      <c r="Y1757" t="n">
        <v>22</v>
      </c>
      <c r="Z1757" t="n">
        <v>18</v>
      </c>
      <c r="AA1757" t="n">
        <v>25</v>
      </c>
      <c r="AB1757" t="n">
        <v>1</v>
      </c>
      <c r="AC1757" t="n">
        <v>1</v>
      </c>
      <c r="AD1757" t="n">
        <v>0</v>
      </c>
      <c r="AE1757" t="n">
        <v>0</v>
      </c>
      <c r="AF1757" t="n">
        <v>0</v>
      </c>
      <c r="AG1757" t="n">
        <v>0</v>
      </c>
      <c r="AH1757" t="n">
        <v>0</v>
      </c>
      <c r="AI1757" t="n">
        <v>0</v>
      </c>
      <c r="AJ1757" t="n">
        <v>0</v>
      </c>
      <c r="AK1757" t="n">
        <v>0</v>
      </c>
      <c r="AL1757" t="n">
        <v>0</v>
      </c>
      <c r="AM1757" t="n">
        <v>0</v>
      </c>
      <c r="AN1757" t="n">
        <v>0</v>
      </c>
      <c r="AO1757" t="n">
        <v>0</v>
      </c>
      <c r="AP1757" t="inlineStr">
        <is>
          <t>Yes</t>
        </is>
      </c>
      <c r="AQ1757" t="inlineStr">
        <is>
          <t>No</t>
        </is>
      </c>
      <c r="AR1757">
        <f>HYPERLINK("http://catalog.hathitrust.org/Record/001237657","HathiTrust Record")</f>
        <v/>
      </c>
      <c r="AS1757">
        <f>HYPERLINK("https://creighton-primo.hosted.exlibrisgroup.com/primo-explore/search?tab=default_tab&amp;search_scope=EVERYTHING&amp;vid=01CRU&amp;lang=en_US&amp;offset=0&amp;query=any,contains,991003209029702656","Catalog Record")</f>
        <v/>
      </c>
      <c r="AT1757">
        <f>HYPERLINK("http://www.worldcat.org/oclc/734909","WorldCat Record")</f>
        <v/>
      </c>
      <c r="AU1757" t="inlineStr">
        <is>
          <t>1774948:eng</t>
        </is>
      </c>
      <c r="AV1757" t="inlineStr">
        <is>
          <t>734909</t>
        </is>
      </c>
      <c r="AW1757" t="inlineStr">
        <is>
          <t>991003209029702656</t>
        </is>
      </c>
      <c r="AX1757" t="inlineStr">
        <is>
          <t>991003209029702656</t>
        </is>
      </c>
      <c r="AY1757" t="inlineStr">
        <is>
          <t>2259631440002656</t>
        </is>
      </c>
      <c r="AZ1757" t="inlineStr">
        <is>
          <t>BOOK</t>
        </is>
      </c>
      <c r="BC1757" t="inlineStr">
        <is>
          <t>32285002465069</t>
        </is>
      </c>
      <c r="BD1757" t="inlineStr">
        <is>
          <t>893604535</t>
        </is>
      </c>
    </row>
    <row r="1758">
      <c r="A1758" t="inlineStr">
        <is>
          <t>No</t>
        </is>
      </c>
      <c r="B1758" t="inlineStr">
        <is>
          <t>DP56 .D5 1979</t>
        </is>
      </c>
      <c r="C1758" t="inlineStr">
        <is>
          <t>0                      DP 0056000D  5           1979</t>
        </is>
      </c>
      <c r="D1758" t="inlineStr">
        <is>
          <t>Diccionario de historia de España / dirigido por Germán Bleiberg.</t>
        </is>
      </c>
      <c r="E1758" t="inlineStr">
        <is>
          <t>V.2</t>
        </is>
      </c>
      <c r="F1758" t="inlineStr">
        <is>
          <t>Yes</t>
        </is>
      </c>
      <c r="G1758" t="inlineStr">
        <is>
          <t>1</t>
        </is>
      </c>
      <c r="H1758" t="inlineStr">
        <is>
          <t>No</t>
        </is>
      </c>
      <c r="I1758" t="inlineStr">
        <is>
          <t>No</t>
        </is>
      </c>
      <c r="J1758" t="inlineStr">
        <is>
          <t>0</t>
        </is>
      </c>
      <c r="L1758" t="inlineStr">
        <is>
          <t>Madrid : Alianza, 1979</t>
        </is>
      </c>
      <c r="M1758" t="inlineStr">
        <is>
          <t>1979</t>
        </is>
      </c>
      <c r="O1758" t="inlineStr">
        <is>
          <t>spa</t>
        </is>
      </c>
      <c r="P1758" t="inlineStr">
        <is>
          <t xml:space="preserve">sp </t>
        </is>
      </c>
      <c r="Q1758" t="inlineStr">
        <is>
          <t>Alianza diccionarios</t>
        </is>
      </c>
      <c r="R1758" t="inlineStr">
        <is>
          <t xml:space="preserve">DP </t>
        </is>
      </c>
      <c r="S1758" t="n">
        <v>0</v>
      </c>
      <c r="T1758" t="n">
        <v>2</v>
      </c>
      <c r="V1758" t="inlineStr">
        <is>
          <t>1996-09-22</t>
        </is>
      </c>
      <c r="W1758" t="inlineStr">
        <is>
          <t>1991-09-13</t>
        </is>
      </c>
      <c r="X1758" t="inlineStr">
        <is>
          <t>1991-09-13</t>
        </is>
      </c>
      <c r="Y1758" t="n">
        <v>78</v>
      </c>
      <c r="Z1758" t="n">
        <v>64</v>
      </c>
      <c r="AA1758" t="n">
        <v>281</v>
      </c>
      <c r="AB1758" t="n">
        <v>2</v>
      </c>
      <c r="AC1758" t="n">
        <v>2</v>
      </c>
      <c r="AD1758" t="n">
        <v>3</v>
      </c>
      <c r="AE1758" t="n">
        <v>15</v>
      </c>
      <c r="AF1758" t="n">
        <v>0</v>
      </c>
      <c r="AG1758" t="n">
        <v>4</v>
      </c>
      <c r="AH1758" t="n">
        <v>1</v>
      </c>
      <c r="AI1758" t="n">
        <v>6</v>
      </c>
      <c r="AJ1758" t="n">
        <v>2</v>
      </c>
      <c r="AK1758" t="n">
        <v>10</v>
      </c>
      <c r="AL1758" t="n">
        <v>1</v>
      </c>
      <c r="AM1758" t="n">
        <v>1</v>
      </c>
      <c r="AN1758" t="n">
        <v>0</v>
      </c>
      <c r="AO1758" t="n">
        <v>0</v>
      </c>
      <c r="AP1758" t="inlineStr">
        <is>
          <t>No</t>
        </is>
      </c>
      <c r="AQ1758" t="inlineStr">
        <is>
          <t>No</t>
        </is>
      </c>
      <c r="AS1758">
        <f>HYPERLINK("https://creighton-primo.hosted.exlibrisgroup.com/primo-explore/search?tab=default_tab&amp;search_scope=EVERYTHING&amp;vid=01CRU&amp;lang=en_US&amp;offset=0&amp;query=any,contains,991004878829702656","Catalog Record")</f>
        <v/>
      </c>
      <c r="AT1758">
        <f>HYPERLINK("http://www.worldcat.org/oclc/5801049","WorldCat Record")</f>
        <v/>
      </c>
      <c r="AU1758" t="inlineStr">
        <is>
          <t>53546400:spa</t>
        </is>
      </c>
      <c r="AV1758" t="inlineStr">
        <is>
          <t>5801049</t>
        </is>
      </c>
      <c r="AW1758" t="inlineStr">
        <is>
          <t>991004878829702656</t>
        </is>
      </c>
      <c r="AX1758" t="inlineStr">
        <is>
          <t>991004878829702656</t>
        </is>
      </c>
      <c r="AY1758" t="inlineStr">
        <is>
          <t>2260911180002656</t>
        </is>
      </c>
      <c r="AZ1758" t="inlineStr">
        <is>
          <t>BOOK</t>
        </is>
      </c>
      <c r="BB1758" t="inlineStr">
        <is>
          <t>9788420652986</t>
        </is>
      </c>
      <c r="BC1758" t="inlineStr">
        <is>
          <t>32285000651876</t>
        </is>
      </c>
      <c r="BD1758" t="inlineStr">
        <is>
          <t>893594197</t>
        </is>
      </c>
    </row>
    <row r="1759">
      <c r="A1759" t="inlineStr">
        <is>
          <t>No</t>
        </is>
      </c>
      <c r="B1759" t="inlineStr">
        <is>
          <t>DP56 .D5 1979</t>
        </is>
      </c>
      <c r="C1759" t="inlineStr">
        <is>
          <t>0                      DP 0056000D  5           1979</t>
        </is>
      </c>
      <c r="D1759" t="inlineStr">
        <is>
          <t>Diccionario de historia de España / dirigido por Germán Bleiberg.</t>
        </is>
      </c>
      <c r="E1759" t="inlineStr">
        <is>
          <t>V.1</t>
        </is>
      </c>
      <c r="F1759" t="inlineStr">
        <is>
          <t>Yes</t>
        </is>
      </c>
      <c r="G1759" t="inlineStr">
        <is>
          <t>1</t>
        </is>
      </c>
      <c r="H1759" t="inlineStr">
        <is>
          <t>No</t>
        </is>
      </c>
      <c r="I1759" t="inlineStr">
        <is>
          <t>No</t>
        </is>
      </c>
      <c r="J1759" t="inlineStr">
        <is>
          <t>0</t>
        </is>
      </c>
      <c r="L1759" t="inlineStr">
        <is>
          <t>Madrid : Alianza, 1979</t>
        </is>
      </c>
      <c r="M1759" t="inlineStr">
        <is>
          <t>1979</t>
        </is>
      </c>
      <c r="O1759" t="inlineStr">
        <is>
          <t>spa</t>
        </is>
      </c>
      <c r="P1759" t="inlineStr">
        <is>
          <t xml:space="preserve">sp </t>
        </is>
      </c>
      <c r="Q1759" t="inlineStr">
        <is>
          <t>Alianza diccionarios</t>
        </is>
      </c>
      <c r="R1759" t="inlineStr">
        <is>
          <t xml:space="preserve">DP </t>
        </is>
      </c>
      <c r="S1759" t="n">
        <v>2</v>
      </c>
      <c r="T1759" t="n">
        <v>2</v>
      </c>
      <c r="U1759" t="inlineStr">
        <is>
          <t>1996-09-22</t>
        </is>
      </c>
      <c r="V1759" t="inlineStr">
        <is>
          <t>1996-09-22</t>
        </is>
      </c>
      <c r="W1759" t="inlineStr">
        <is>
          <t>1991-09-13</t>
        </is>
      </c>
      <c r="X1759" t="inlineStr">
        <is>
          <t>1991-09-13</t>
        </is>
      </c>
      <c r="Y1759" t="n">
        <v>78</v>
      </c>
      <c r="Z1759" t="n">
        <v>64</v>
      </c>
      <c r="AA1759" t="n">
        <v>281</v>
      </c>
      <c r="AB1759" t="n">
        <v>2</v>
      </c>
      <c r="AC1759" t="n">
        <v>2</v>
      </c>
      <c r="AD1759" t="n">
        <v>3</v>
      </c>
      <c r="AE1759" t="n">
        <v>15</v>
      </c>
      <c r="AF1759" t="n">
        <v>0</v>
      </c>
      <c r="AG1759" t="n">
        <v>4</v>
      </c>
      <c r="AH1759" t="n">
        <v>1</v>
      </c>
      <c r="AI1759" t="n">
        <v>6</v>
      </c>
      <c r="AJ1759" t="n">
        <v>2</v>
      </c>
      <c r="AK1759" t="n">
        <v>10</v>
      </c>
      <c r="AL1759" t="n">
        <v>1</v>
      </c>
      <c r="AM1759" t="n">
        <v>1</v>
      </c>
      <c r="AN1759" t="n">
        <v>0</v>
      </c>
      <c r="AO1759" t="n">
        <v>0</v>
      </c>
      <c r="AP1759" t="inlineStr">
        <is>
          <t>No</t>
        </is>
      </c>
      <c r="AQ1759" t="inlineStr">
        <is>
          <t>No</t>
        </is>
      </c>
      <c r="AS1759">
        <f>HYPERLINK("https://creighton-primo.hosted.exlibrisgroup.com/primo-explore/search?tab=default_tab&amp;search_scope=EVERYTHING&amp;vid=01CRU&amp;lang=en_US&amp;offset=0&amp;query=any,contains,991004878829702656","Catalog Record")</f>
        <v/>
      </c>
      <c r="AT1759">
        <f>HYPERLINK("http://www.worldcat.org/oclc/5801049","WorldCat Record")</f>
        <v/>
      </c>
      <c r="AU1759" t="inlineStr">
        <is>
          <t>53546400:spa</t>
        </is>
      </c>
      <c r="AV1759" t="inlineStr">
        <is>
          <t>5801049</t>
        </is>
      </c>
      <c r="AW1759" t="inlineStr">
        <is>
          <t>991004878829702656</t>
        </is>
      </c>
      <c r="AX1759" t="inlineStr">
        <is>
          <t>991004878829702656</t>
        </is>
      </c>
      <c r="AY1759" t="inlineStr">
        <is>
          <t>2260911180002656</t>
        </is>
      </c>
      <c r="AZ1759" t="inlineStr">
        <is>
          <t>BOOK</t>
        </is>
      </c>
      <c r="BB1759" t="inlineStr">
        <is>
          <t>9788420652986</t>
        </is>
      </c>
      <c r="BC1759" t="inlineStr">
        <is>
          <t>32285000651868</t>
        </is>
      </c>
      <c r="BD1759" t="inlineStr">
        <is>
          <t>893619183</t>
        </is>
      </c>
    </row>
    <row r="1760">
      <c r="A1760" t="inlineStr">
        <is>
          <t>No</t>
        </is>
      </c>
      <c r="B1760" t="inlineStr">
        <is>
          <t>DP58 .P8 1971</t>
        </is>
      </c>
      <c r="C1760" t="inlineStr">
        <is>
          <t>0                      DP 0058000P  8           1971</t>
        </is>
      </c>
      <c r="D1760" t="inlineStr">
        <is>
          <t>Claros varones de Castilla / [by] Fernando del Pulgar ; a critical edition, with introduction and notes by Robert Brian Tate.</t>
        </is>
      </c>
      <c r="F1760" t="inlineStr">
        <is>
          <t>No</t>
        </is>
      </c>
      <c r="G1760" t="inlineStr">
        <is>
          <t>1</t>
        </is>
      </c>
      <c r="H1760" t="inlineStr">
        <is>
          <t>No</t>
        </is>
      </c>
      <c r="I1760" t="inlineStr">
        <is>
          <t>No</t>
        </is>
      </c>
      <c r="J1760" t="inlineStr">
        <is>
          <t>0</t>
        </is>
      </c>
      <c r="K1760" t="inlineStr">
        <is>
          <t>Pulgar, Fernando del, 1436?-1492.</t>
        </is>
      </c>
      <c r="L1760" t="inlineStr">
        <is>
          <t>Oxford : Clarendon Press, 1971.</t>
        </is>
      </c>
      <c r="M1760" t="inlineStr">
        <is>
          <t>1971</t>
        </is>
      </c>
      <c r="O1760" t="inlineStr">
        <is>
          <t>spa</t>
        </is>
      </c>
      <c r="P1760" t="inlineStr">
        <is>
          <t>enk</t>
        </is>
      </c>
      <c r="R1760" t="inlineStr">
        <is>
          <t xml:space="preserve">DP </t>
        </is>
      </c>
      <c r="S1760" t="n">
        <v>1</v>
      </c>
      <c r="T1760" t="n">
        <v>1</v>
      </c>
      <c r="U1760" t="inlineStr">
        <is>
          <t>2005-03-02</t>
        </is>
      </c>
      <c r="V1760" t="inlineStr">
        <is>
          <t>2005-03-02</t>
        </is>
      </c>
      <c r="W1760" t="inlineStr">
        <is>
          <t>2005-03-02</t>
        </is>
      </c>
      <c r="X1760" t="inlineStr">
        <is>
          <t>2005-03-02</t>
        </is>
      </c>
      <c r="Y1760" t="n">
        <v>228</v>
      </c>
      <c r="Z1760" t="n">
        <v>168</v>
      </c>
      <c r="AA1760" t="n">
        <v>556</v>
      </c>
      <c r="AB1760" t="n">
        <v>2</v>
      </c>
      <c r="AC1760" t="n">
        <v>4</v>
      </c>
      <c r="AD1760" t="n">
        <v>11</v>
      </c>
      <c r="AE1760" t="n">
        <v>33</v>
      </c>
      <c r="AF1760" t="n">
        <v>1</v>
      </c>
      <c r="AG1760" t="n">
        <v>14</v>
      </c>
      <c r="AH1760" t="n">
        <v>3</v>
      </c>
      <c r="AI1760" t="n">
        <v>6</v>
      </c>
      <c r="AJ1760" t="n">
        <v>7</v>
      </c>
      <c r="AK1760" t="n">
        <v>19</v>
      </c>
      <c r="AL1760" t="n">
        <v>1</v>
      </c>
      <c r="AM1760" t="n">
        <v>3</v>
      </c>
      <c r="AN1760" t="n">
        <v>0</v>
      </c>
      <c r="AO1760" t="n">
        <v>0</v>
      </c>
      <c r="AP1760" t="inlineStr">
        <is>
          <t>No</t>
        </is>
      </c>
      <c r="AQ1760" t="inlineStr">
        <is>
          <t>Yes</t>
        </is>
      </c>
      <c r="AR1760">
        <f>HYPERLINK("http://catalog.hathitrust.org/Record/001236345","HathiTrust Record")</f>
        <v/>
      </c>
      <c r="AS1760">
        <f>HYPERLINK("https://creighton-primo.hosted.exlibrisgroup.com/primo-explore/search?tab=default_tab&amp;search_scope=EVERYTHING&amp;vid=01CRU&amp;lang=en_US&amp;offset=0&amp;query=any,contains,991004489979702656","Catalog Record")</f>
        <v/>
      </c>
      <c r="AT1760">
        <f>HYPERLINK("http://www.worldcat.org/oclc/152137","WorldCat Record")</f>
        <v/>
      </c>
      <c r="AU1760" t="inlineStr">
        <is>
          <t>1174595:spa</t>
        </is>
      </c>
      <c r="AV1760" t="inlineStr">
        <is>
          <t>152137</t>
        </is>
      </c>
      <c r="AW1760" t="inlineStr">
        <is>
          <t>991004489979702656</t>
        </is>
      </c>
      <c r="AX1760" t="inlineStr">
        <is>
          <t>991004489979702656</t>
        </is>
      </c>
      <c r="AY1760" t="inlineStr">
        <is>
          <t>2271835560002656</t>
        </is>
      </c>
      <c r="AZ1760" t="inlineStr">
        <is>
          <t>BOOK</t>
        </is>
      </c>
      <c r="BB1760" t="inlineStr">
        <is>
          <t>9780198157021</t>
        </is>
      </c>
      <c r="BC1760" t="inlineStr">
        <is>
          <t>32285005028740</t>
        </is>
      </c>
      <c r="BD1760" t="inlineStr">
        <is>
          <t>893593738</t>
        </is>
      </c>
    </row>
    <row r="1761">
      <c r="A1761" t="inlineStr">
        <is>
          <t>No</t>
        </is>
      </c>
      <c r="B1761" t="inlineStr">
        <is>
          <t>DP605 .S55</t>
        </is>
      </c>
      <c r="C1761" t="inlineStr">
        <is>
          <t>0                      DP 0605000S  55</t>
        </is>
      </c>
      <c r="D1761" t="inlineStr">
        <is>
          <t>A projected Portuguese voyage to China in 1512 and new notices relative to Tome Pires in Canton / by Ronald Bishop Smith.</t>
        </is>
      </c>
      <c r="F1761" t="inlineStr">
        <is>
          <t>No</t>
        </is>
      </c>
      <c r="G1761" t="inlineStr">
        <is>
          <t>1</t>
        </is>
      </c>
      <c r="H1761" t="inlineStr">
        <is>
          <t>No</t>
        </is>
      </c>
      <c r="I1761" t="inlineStr">
        <is>
          <t>No</t>
        </is>
      </c>
      <c r="J1761" t="inlineStr">
        <is>
          <t>0</t>
        </is>
      </c>
      <c r="K1761" t="inlineStr">
        <is>
          <t>Smith, Ronald Bishop.</t>
        </is>
      </c>
      <c r="L1761" t="inlineStr">
        <is>
          <t>Bethesda, Md. : Decatur Press, 1972.</t>
        </is>
      </c>
      <c r="M1761" t="inlineStr">
        <is>
          <t>1972</t>
        </is>
      </c>
      <c r="O1761" t="inlineStr">
        <is>
          <t>eng</t>
        </is>
      </c>
      <c r="P1761" t="inlineStr">
        <is>
          <t xml:space="preserve">xx </t>
        </is>
      </c>
      <c r="R1761" t="inlineStr">
        <is>
          <t xml:space="preserve">DP </t>
        </is>
      </c>
      <c r="S1761" t="n">
        <v>0</v>
      </c>
      <c r="T1761" t="n">
        <v>0</v>
      </c>
      <c r="U1761" t="inlineStr">
        <is>
          <t>2008-07-02</t>
        </is>
      </c>
      <c r="V1761" t="inlineStr">
        <is>
          <t>2008-07-02</t>
        </is>
      </c>
      <c r="W1761" t="inlineStr">
        <is>
          <t>1991-10-23</t>
        </is>
      </c>
      <c r="X1761" t="inlineStr">
        <is>
          <t>1991-10-23</t>
        </is>
      </c>
      <c r="Y1761" t="n">
        <v>78</v>
      </c>
      <c r="Z1761" t="n">
        <v>72</v>
      </c>
      <c r="AA1761" t="n">
        <v>108</v>
      </c>
      <c r="AB1761" t="n">
        <v>1</v>
      </c>
      <c r="AC1761" t="n">
        <v>1</v>
      </c>
      <c r="AD1761" t="n">
        <v>5</v>
      </c>
      <c r="AE1761" t="n">
        <v>11</v>
      </c>
      <c r="AF1761" t="n">
        <v>3</v>
      </c>
      <c r="AG1761" t="n">
        <v>4</v>
      </c>
      <c r="AH1761" t="n">
        <v>1</v>
      </c>
      <c r="AI1761" t="n">
        <v>3</v>
      </c>
      <c r="AJ1761" t="n">
        <v>5</v>
      </c>
      <c r="AK1761" t="n">
        <v>9</v>
      </c>
      <c r="AL1761" t="n">
        <v>0</v>
      </c>
      <c r="AM1761" t="n">
        <v>0</v>
      </c>
      <c r="AN1761" t="n">
        <v>0</v>
      </c>
      <c r="AO1761" t="n">
        <v>0</v>
      </c>
      <c r="AP1761" t="inlineStr">
        <is>
          <t>No</t>
        </is>
      </c>
      <c r="AQ1761" t="inlineStr">
        <is>
          <t>No</t>
        </is>
      </c>
      <c r="AS1761">
        <f>HYPERLINK("https://creighton-primo.hosted.exlibrisgroup.com/primo-explore/search?tab=default_tab&amp;search_scope=EVERYTHING&amp;vid=01CRU&amp;lang=en_US&amp;offset=0&amp;query=any,contains,991004287489702656","Catalog Record")</f>
        <v/>
      </c>
      <c r="AT1761">
        <f>HYPERLINK("http://www.worldcat.org/oclc/2930104","WorldCat Record")</f>
        <v/>
      </c>
      <c r="AU1761" t="inlineStr">
        <is>
          <t>6783383:eng</t>
        </is>
      </c>
      <c r="AV1761" t="inlineStr">
        <is>
          <t>2930104</t>
        </is>
      </c>
      <c r="AW1761" t="inlineStr">
        <is>
          <t>991004287489702656</t>
        </is>
      </c>
      <c r="AX1761" t="inlineStr">
        <is>
          <t>991004287489702656</t>
        </is>
      </c>
      <c r="AY1761" t="inlineStr">
        <is>
          <t>2263013890002656</t>
        </is>
      </c>
      <c r="AZ1761" t="inlineStr">
        <is>
          <t>BOOK</t>
        </is>
      </c>
      <c r="BC1761" t="inlineStr">
        <is>
          <t>32285000653799</t>
        </is>
      </c>
      <c r="BD1761" t="inlineStr">
        <is>
          <t>893888509</t>
        </is>
      </c>
    </row>
    <row r="1762">
      <c r="A1762" t="inlineStr">
        <is>
          <t>No</t>
        </is>
      </c>
      <c r="B1762" t="inlineStr">
        <is>
          <t>DP63 .T3 1970</t>
        </is>
      </c>
      <c r="C1762" t="inlineStr">
        <is>
          <t>0                      DP 0063000T  3           1970</t>
        </is>
      </c>
      <c r="D1762" t="inlineStr">
        <is>
          <t>Ensayos sobre la historiografía peninsular del siglo XV / Robert B. Tate ; versión española de Jesús Díaz.</t>
        </is>
      </c>
      <c r="F1762" t="inlineStr">
        <is>
          <t>No</t>
        </is>
      </c>
      <c r="G1762" t="inlineStr">
        <is>
          <t>1</t>
        </is>
      </c>
      <c r="H1762" t="inlineStr">
        <is>
          <t>No</t>
        </is>
      </c>
      <c r="I1762" t="inlineStr">
        <is>
          <t>No</t>
        </is>
      </c>
      <c r="J1762" t="inlineStr">
        <is>
          <t>0</t>
        </is>
      </c>
      <c r="K1762" t="inlineStr">
        <is>
          <t>Tate, Robert Brian.</t>
        </is>
      </c>
      <c r="L1762" t="inlineStr">
        <is>
          <t>Madrid : Editorial Gredos, c1970.</t>
        </is>
      </c>
      <c r="M1762" t="inlineStr">
        <is>
          <t>1970</t>
        </is>
      </c>
      <c r="O1762" t="inlineStr">
        <is>
          <t>spa</t>
        </is>
      </c>
      <c r="P1762" t="inlineStr">
        <is>
          <t xml:space="preserve">sp </t>
        </is>
      </c>
      <c r="Q1762" t="inlineStr">
        <is>
          <t>Biblioteca románica hispánica : Estudios y ensayos ; 145</t>
        </is>
      </c>
      <c r="R1762" t="inlineStr">
        <is>
          <t xml:space="preserve">DP </t>
        </is>
      </c>
      <c r="S1762" t="n">
        <v>4</v>
      </c>
      <c r="T1762" t="n">
        <v>4</v>
      </c>
      <c r="U1762" t="inlineStr">
        <is>
          <t>2000-08-28</t>
        </is>
      </c>
      <c r="V1762" t="inlineStr">
        <is>
          <t>2000-08-28</t>
        </is>
      </c>
      <c r="W1762" t="inlineStr">
        <is>
          <t>1997-02-13</t>
        </is>
      </c>
      <c r="X1762" t="inlineStr">
        <is>
          <t>1997-02-13</t>
        </is>
      </c>
      <c r="Y1762" t="n">
        <v>204</v>
      </c>
      <c r="Z1762" t="n">
        <v>130</v>
      </c>
      <c r="AA1762" t="n">
        <v>132</v>
      </c>
      <c r="AB1762" t="n">
        <v>1</v>
      </c>
      <c r="AC1762" t="n">
        <v>1</v>
      </c>
      <c r="AD1762" t="n">
        <v>6</v>
      </c>
      <c r="AE1762" t="n">
        <v>6</v>
      </c>
      <c r="AF1762" t="n">
        <v>0</v>
      </c>
      <c r="AG1762" t="n">
        <v>0</v>
      </c>
      <c r="AH1762" t="n">
        <v>4</v>
      </c>
      <c r="AI1762" t="n">
        <v>4</v>
      </c>
      <c r="AJ1762" t="n">
        <v>4</v>
      </c>
      <c r="AK1762" t="n">
        <v>4</v>
      </c>
      <c r="AL1762" t="n">
        <v>0</v>
      </c>
      <c r="AM1762" t="n">
        <v>0</v>
      </c>
      <c r="AN1762" t="n">
        <v>0</v>
      </c>
      <c r="AO1762" t="n">
        <v>0</v>
      </c>
      <c r="AP1762" t="inlineStr">
        <is>
          <t>No</t>
        </is>
      </c>
      <c r="AQ1762" t="inlineStr">
        <is>
          <t>Yes</t>
        </is>
      </c>
      <c r="AR1762">
        <f>HYPERLINK("http://catalog.hathitrust.org/Record/001245830","HathiTrust Record")</f>
        <v/>
      </c>
      <c r="AS1762">
        <f>HYPERLINK("https://creighton-primo.hosted.exlibrisgroup.com/primo-explore/search?tab=default_tab&amp;search_scope=EVERYTHING&amp;vid=01CRU&amp;lang=en_US&amp;offset=0&amp;query=any,contains,991005354449702656","Catalog Record")</f>
        <v/>
      </c>
      <c r="AT1762">
        <f>HYPERLINK("http://www.worldcat.org/oclc/318548","WorldCat Record")</f>
        <v/>
      </c>
      <c r="AU1762" t="inlineStr">
        <is>
          <t>8910714383:spa</t>
        </is>
      </c>
      <c r="AV1762" t="inlineStr">
        <is>
          <t>318548</t>
        </is>
      </c>
      <c r="AW1762" t="inlineStr">
        <is>
          <t>991005354449702656</t>
        </is>
      </c>
      <c r="AX1762" t="inlineStr">
        <is>
          <t>991005354449702656</t>
        </is>
      </c>
      <c r="AY1762" t="inlineStr">
        <is>
          <t>2270454530002656</t>
        </is>
      </c>
      <c r="AZ1762" t="inlineStr">
        <is>
          <t>BOOK</t>
        </is>
      </c>
      <c r="BC1762" t="inlineStr">
        <is>
          <t>32285002436862</t>
        </is>
      </c>
      <c r="BD1762" t="inlineStr">
        <is>
          <t>893242584</t>
        </is>
      </c>
    </row>
    <row r="1763">
      <c r="A1763" t="inlineStr">
        <is>
          <t>No</t>
        </is>
      </c>
      <c r="B1763" t="inlineStr">
        <is>
          <t>DP64 .C3</t>
        </is>
      </c>
      <c r="C1763" t="inlineStr">
        <is>
          <t>0                      DP 0064000C  3</t>
        </is>
      </c>
      <c r="D1763" t="inlineStr">
        <is>
          <t>De Alfonso X al conde de Barcelos; cuatro estudios sobre el nacimiento de la historiografía romance en Castilla y Portugal [por] Diego Catalán Mz. Pidal.</t>
        </is>
      </c>
      <c r="F1763" t="inlineStr">
        <is>
          <t>No</t>
        </is>
      </c>
      <c r="G1763" t="inlineStr">
        <is>
          <t>1</t>
        </is>
      </c>
      <c r="H1763" t="inlineStr">
        <is>
          <t>No</t>
        </is>
      </c>
      <c r="I1763" t="inlineStr">
        <is>
          <t>No</t>
        </is>
      </c>
      <c r="J1763" t="inlineStr">
        <is>
          <t>0</t>
        </is>
      </c>
      <c r="K1763" t="inlineStr">
        <is>
          <t>Catalán, Diego, 1928-2008.</t>
        </is>
      </c>
      <c r="L1763" t="inlineStr">
        <is>
          <t>[Madrid] Editorial Gredos, 1962.</t>
        </is>
      </c>
      <c r="M1763" t="inlineStr">
        <is>
          <t>1962</t>
        </is>
      </c>
      <c r="O1763" t="inlineStr">
        <is>
          <t>spa</t>
        </is>
      </c>
      <c r="P1763" t="inlineStr">
        <is>
          <t xml:space="preserve">sp </t>
        </is>
      </c>
      <c r="R1763" t="inlineStr">
        <is>
          <t xml:space="preserve">DP </t>
        </is>
      </c>
      <c r="S1763" t="n">
        <v>3</v>
      </c>
      <c r="T1763" t="n">
        <v>3</v>
      </c>
      <c r="U1763" t="inlineStr">
        <is>
          <t>1996-09-28</t>
        </is>
      </c>
      <c r="V1763" t="inlineStr">
        <is>
          <t>1996-09-28</t>
        </is>
      </c>
      <c r="W1763" t="inlineStr">
        <is>
          <t>1996-08-02</t>
        </is>
      </c>
      <c r="X1763" t="inlineStr">
        <is>
          <t>1996-08-02</t>
        </is>
      </c>
      <c r="Y1763" t="n">
        <v>235</v>
      </c>
      <c r="Z1763" t="n">
        <v>189</v>
      </c>
      <c r="AA1763" t="n">
        <v>197</v>
      </c>
      <c r="AB1763" t="n">
        <v>2</v>
      </c>
      <c r="AC1763" t="n">
        <v>2</v>
      </c>
      <c r="AD1763" t="n">
        <v>10</v>
      </c>
      <c r="AE1763" t="n">
        <v>10</v>
      </c>
      <c r="AF1763" t="n">
        <v>0</v>
      </c>
      <c r="AG1763" t="n">
        <v>0</v>
      </c>
      <c r="AH1763" t="n">
        <v>3</v>
      </c>
      <c r="AI1763" t="n">
        <v>3</v>
      </c>
      <c r="AJ1763" t="n">
        <v>7</v>
      </c>
      <c r="AK1763" t="n">
        <v>7</v>
      </c>
      <c r="AL1763" t="n">
        <v>1</v>
      </c>
      <c r="AM1763" t="n">
        <v>1</v>
      </c>
      <c r="AN1763" t="n">
        <v>0</v>
      </c>
      <c r="AO1763" t="n">
        <v>0</v>
      </c>
      <c r="AP1763" t="inlineStr">
        <is>
          <t>No</t>
        </is>
      </c>
      <c r="AQ1763" t="inlineStr">
        <is>
          <t>Yes</t>
        </is>
      </c>
      <c r="AR1763">
        <f>HYPERLINK("http://catalog.hathitrust.org/Record/001858458","HathiTrust Record")</f>
        <v/>
      </c>
      <c r="AS1763">
        <f>HYPERLINK("https://creighton-primo.hosted.exlibrisgroup.com/primo-explore/search?tab=default_tab&amp;search_scope=EVERYTHING&amp;vid=01CRU&amp;lang=en_US&amp;offset=0&amp;query=any,contains,991002820779702656","Catalog Record")</f>
        <v/>
      </c>
      <c r="AT1763">
        <f>HYPERLINK("http://www.worldcat.org/oclc/466502","WorldCat Record")</f>
        <v/>
      </c>
      <c r="AU1763" t="inlineStr">
        <is>
          <t>365277968:spa</t>
        </is>
      </c>
      <c r="AV1763" t="inlineStr">
        <is>
          <t>466502</t>
        </is>
      </c>
      <c r="AW1763" t="inlineStr">
        <is>
          <t>991002820779702656</t>
        </is>
      </c>
      <c r="AX1763" t="inlineStr">
        <is>
          <t>991002820779702656</t>
        </is>
      </c>
      <c r="AY1763" t="inlineStr">
        <is>
          <t>2259917500002656</t>
        </is>
      </c>
      <c r="AZ1763" t="inlineStr">
        <is>
          <t>BOOK</t>
        </is>
      </c>
      <c r="BC1763" t="inlineStr">
        <is>
          <t>32285002270055</t>
        </is>
      </c>
      <c r="BD1763" t="inlineStr">
        <is>
          <t>893239546</t>
        </is>
      </c>
    </row>
    <row r="1764">
      <c r="A1764" t="inlineStr">
        <is>
          <t>No</t>
        </is>
      </c>
      <c r="B1764" t="inlineStr">
        <is>
          <t>DP64 .C75</t>
        </is>
      </c>
      <c r="C1764" t="inlineStr">
        <is>
          <t>0                      DP 0064000C  75</t>
        </is>
      </c>
      <c r="D1764" t="inlineStr">
        <is>
          <t>Cronica Mozarabe de 754 / edicion critica y traduccion por Jose Eduardo Lopez Pereira.</t>
        </is>
      </c>
      <c r="F1764" t="inlineStr">
        <is>
          <t>No</t>
        </is>
      </c>
      <c r="G1764" t="inlineStr">
        <is>
          <t>1</t>
        </is>
      </c>
      <c r="H1764" t="inlineStr">
        <is>
          <t>No</t>
        </is>
      </c>
      <c r="I1764" t="inlineStr">
        <is>
          <t>No</t>
        </is>
      </c>
      <c r="J1764" t="inlineStr">
        <is>
          <t>0</t>
        </is>
      </c>
      <c r="L1764" t="inlineStr">
        <is>
          <t>Zaragoza : Anubar Ediciones, 1980.</t>
        </is>
      </c>
      <c r="M1764" t="inlineStr">
        <is>
          <t>1980</t>
        </is>
      </c>
      <c r="O1764" t="inlineStr">
        <is>
          <t>spa</t>
        </is>
      </c>
      <c r="P1764" t="inlineStr">
        <is>
          <t xml:space="preserve">sp </t>
        </is>
      </c>
      <c r="Q1764" t="inlineStr">
        <is>
          <t>Textos medievales ; 58</t>
        </is>
      </c>
      <c r="R1764" t="inlineStr">
        <is>
          <t xml:space="preserve">DP </t>
        </is>
      </c>
      <c r="S1764" t="n">
        <v>2</v>
      </c>
      <c r="T1764" t="n">
        <v>2</v>
      </c>
      <c r="U1764" t="inlineStr">
        <is>
          <t>1997-01-07</t>
        </is>
      </c>
      <c r="V1764" t="inlineStr">
        <is>
          <t>1997-01-07</t>
        </is>
      </c>
      <c r="W1764" t="inlineStr">
        <is>
          <t>1991-09-13</t>
        </is>
      </c>
      <c r="X1764" t="inlineStr">
        <is>
          <t>1991-09-13</t>
        </is>
      </c>
      <c r="Y1764" t="n">
        <v>81</v>
      </c>
      <c r="Z1764" t="n">
        <v>46</v>
      </c>
      <c r="AA1764" t="n">
        <v>53</v>
      </c>
      <c r="AB1764" t="n">
        <v>1</v>
      </c>
      <c r="AC1764" t="n">
        <v>1</v>
      </c>
      <c r="AD1764" t="n">
        <v>3</v>
      </c>
      <c r="AE1764" t="n">
        <v>3</v>
      </c>
      <c r="AF1764" t="n">
        <v>0</v>
      </c>
      <c r="AG1764" t="n">
        <v>0</v>
      </c>
      <c r="AH1764" t="n">
        <v>2</v>
      </c>
      <c r="AI1764" t="n">
        <v>2</v>
      </c>
      <c r="AJ1764" t="n">
        <v>1</v>
      </c>
      <c r="AK1764" t="n">
        <v>1</v>
      </c>
      <c r="AL1764" t="n">
        <v>0</v>
      </c>
      <c r="AM1764" t="n">
        <v>0</v>
      </c>
      <c r="AN1764" t="n">
        <v>0</v>
      </c>
      <c r="AO1764" t="n">
        <v>0</v>
      </c>
      <c r="AP1764" t="inlineStr">
        <is>
          <t>No</t>
        </is>
      </c>
      <c r="AQ1764" t="inlineStr">
        <is>
          <t>Yes</t>
        </is>
      </c>
      <c r="AR1764">
        <f>HYPERLINK("http://catalog.hathitrust.org/Record/000375072","HathiTrust Record")</f>
        <v/>
      </c>
      <c r="AS1764">
        <f>HYPERLINK("https://creighton-primo.hosted.exlibrisgroup.com/primo-explore/search?tab=default_tab&amp;search_scope=EVERYTHING&amp;vid=01CRU&amp;lang=en_US&amp;offset=0&amp;query=any,contains,991005241309702656","Catalog Record")</f>
        <v/>
      </c>
      <c r="AT1764">
        <f>HYPERLINK("http://www.worldcat.org/oclc/8420737","WorldCat Record")</f>
        <v/>
      </c>
      <c r="AU1764" t="inlineStr">
        <is>
          <t>148048378:spa</t>
        </is>
      </c>
      <c r="AV1764" t="inlineStr">
        <is>
          <t>8420737</t>
        </is>
      </c>
      <c r="AW1764" t="inlineStr">
        <is>
          <t>991005241309702656</t>
        </is>
      </c>
      <c r="AX1764" t="inlineStr">
        <is>
          <t>991005241309702656</t>
        </is>
      </c>
      <c r="AY1764" t="inlineStr">
        <is>
          <t>2256132160002656</t>
        </is>
      </c>
      <c r="AZ1764" t="inlineStr">
        <is>
          <t>BOOK</t>
        </is>
      </c>
      <c r="BC1764" t="inlineStr">
        <is>
          <t>32285000651926</t>
        </is>
      </c>
      <c r="BD1764" t="inlineStr">
        <is>
          <t>893789671</t>
        </is>
      </c>
    </row>
    <row r="1765">
      <c r="A1765" t="inlineStr">
        <is>
          <t>No</t>
        </is>
      </c>
      <c r="B1765" t="inlineStr">
        <is>
          <t>DP64 .L67</t>
        </is>
      </c>
      <c r="C1765" t="inlineStr">
        <is>
          <t>0                      DP 0064000L  67</t>
        </is>
      </c>
      <c r="D1765" t="inlineStr">
        <is>
          <t>Estudio crítico sobre la Crónica Mozárabe de 754 / José Eduardo López Pereira.</t>
        </is>
      </c>
      <c r="F1765" t="inlineStr">
        <is>
          <t>No</t>
        </is>
      </c>
      <c r="G1765" t="inlineStr">
        <is>
          <t>1</t>
        </is>
      </c>
      <c r="H1765" t="inlineStr">
        <is>
          <t>No</t>
        </is>
      </c>
      <c r="I1765" t="inlineStr">
        <is>
          <t>No</t>
        </is>
      </c>
      <c r="J1765" t="inlineStr">
        <is>
          <t>0</t>
        </is>
      </c>
      <c r="K1765" t="inlineStr">
        <is>
          <t>López Pereira, José Eduardo.</t>
        </is>
      </c>
      <c r="L1765" t="inlineStr">
        <is>
          <t>Zaragoza : [Anubar Ediciónes], 1980.</t>
        </is>
      </c>
      <c r="M1765" t="inlineStr">
        <is>
          <t>1980</t>
        </is>
      </c>
      <c r="O1765" t="inlineStr">
        <is>
          <t>spa</t>
        </is>
      </c>
      <c r="P1765" t="inlineStr">
        <is>
          <t xml:space="preserve">sp </t>
        </is>
      </c>
      <c r="R1765" t="inlineStr">
        <is>
          <t xml:space="preserve">DP </t>
        </is>
      </c>
      <c r="S1765" t="n">
        <v>0</v>
      </c>
      <c r="T1765" t="n">
        <v>0</v>
      </c>
      <c r="U1765" t="inlineStr">
        <is>
          <t>2009-11-12</t>
        </is>
      </c>
      <c r="V1765" t="inlineStr">
        <is>
          <t>2009-11-12</t>
        </is>
      </c>
      <c r="W1765" t="inlineStr">
        <is>
          <t>1991-09-13</t>
        </is>
      </c>
      <c r="X1765" t="inlineStr">
        <is>
          <t>1991-09-13</t>
        </is>
      </c>
      <c r="Y1765" t="n">
        <v>49</v>
      </c>
      <c r="Z1765" t="n">
        <v>30</v>
      </c>
      <c r="AA1765" t="n">
        <v>37</v>
      </c>
      <c r="AB1765" t="n">
        <v>1</v>
      </c>
      <c r="AC1765" t="n">
        <v>1</v>
      </c>
      <c r="AD1765" t="n">
        <v>2</v>
      </c>
      <c r="AE1765" t="n">
        <v>2</v>
      </c>
      <c r="AF1765" t="n">
        <v>0</v>
      </c>
      <c r="AG1765" t="n">
        <v>0</v>
      </c>
      <c r="AH1765" t="n">
        <v>1</v>
      </c>
      <c r="AI1765" t="n">
        <v>1</v>
      </c>
      <c r="AJ1765" t="n">
        <v>1</v>
      </c>
      <c r="AK1765" t="n">
        <v>1</v>
      </c>
      <c r="AL1765" t="n">
        <v>0</v>
      </c>
      <c r="AM1765" t="n">
        <v>0</v>
      </c>
      <c r="AN1765" t="n">
        <v>0</v>
      </c>
      <c r="AO1765" t="n">
        <v>0</v>
      </c>
      <c r="AP1765" t="inlineStr">
        <is>
          <t>No</t>
        </is>
      </c>
      <c r="AQ1765" t="inlineStr">
        <is>
          <t>Yes</t>
        </is>
      </c>
      <c r="AR1765">
        <f>HYPERLINK("http://catalog.hathitrust.org/Record/000416041","HathiTrust Record")</f>
        <v/>
      </c>
      <c r="AS1765">
        <f>HYPERLINK("https://creighton-primo.hosted.exlibrisgroup.com/primo-explore/search?tab=default_tab&amp;search_scope=EVERYTHING&amp;vid=01CRU&amp;lang=en_US&amp;offset=0&amp;query=any,contains,991000006199702656","Catalog Record")</f>
        <v/>
      </c>
      <c r="AT1765">
        <f>HYPERLINK("http://www.worldcat.org/oclc/8526806","WorldCat Record")</f>
        <v/>
      </c>
      <c r="AU1765" t="inlineStr">
        <is>
          <t>32531420:spa</t>
        </is>
      </c>
      <c r="AV1765" t="inlineStr">
        <is>
          <t>8526806</t>
        </is>
      </c>
      <c r="AW1765" t="inlineStr">
        <is>
          <t>991000006199702656</t>
        </is>
      </c>
      <c r="AX1765" t="inlineStr">
        <is>
          <t>991000006199702656</t>
        </is>
      </c>
      <c r="AY1765" t="inlineStr">
        <is>
          <t>2262604120002656</t>
        </is>
      </c>
      <c r="AZ1765" t="inlineStr">
        <is>
          <t>BOOK</t>
        </is>
      </c>
      <c r="BB1765" t="inlineStr">
        <is>
          <t>9788470131691</t>
        </is>
      </c>
      <c r="BC1765" t="inlineStr">
        <is>
          <t>32285000651934</t>
        </is>
      </c>
      <c r="BD1765" t="inlineStr">
        <is>
          <t>893802403</t>
        </is>
      </c>
    </row>
    <row r="1766">
      <c r="A1766" t="inlineStr">
        <is>
          <t>No</t>
        </is>
      </c>
      <c r="B1766" t="inlineStr">
        <is>
          <t>DP66 .D423</t>
        </is>
      </c>
      <c r="C1766" t="inlineStr">
        <is>
          <t>0                      DP 0066000D  423</t>
        </is>
      </c>
      <c r="D1766" t="inlineStr">
        <is>
          <t>A history of Spain / translated from the French by Elaine P. Halperin.</t>
        </is>
      </c>
      <c r="F1766" t="inlineStr">
        <is>
          <t>No</t>
        </is>
      </c>
      <c r="G1766" t="inlineStr">
        <is>
          <t>1</t>
        </is>
      </c>
      <c r="H1766" t="inlineStr">
        <is>
          <t>No</t>
        </is>
      </c>
      <c r="I1766" t="inlineStr">
        <is>
          <t>No</t>
        </is>
      </c>
      <c r="J1766" t="inlineStr">
        <is>
          <t>0</t>
        </is>
      </c>
      <c r="K1766" t="inlineStr">
        <is>
          <t>Descola, Jean.</t>
        </is>
      </c>
      <c r="L1766" t="inlineStr">
        <is>
          <t>New York : Knopf, 1963 [c1962]</t>
        </is>
      </c>
      <c r="M1766" t="inlineStr">
        <is>
          <t>1963</t>
        </is>
      </c>
      <c r="N1766" t="inlineStr">
        <is>
          <t>[1st American ed.]</t>
        </is>
      </c>
      <c r="O1766" t="inlineStr">
        <is>
          <t>eng</t>
        </is>
      </c>
      <c r="P1766" t="inlineStr">
        <is>
          <t>nyu</t>
        </is>
      </c>
      <c r="R1766" t="inlineStr">
        <is>
          <t xml:space="preserve">DP </t>
        </is>
      </c>
      <c r="S1766" t="n">
        <v>2</v>
      </c>
      <c r="T1766" t="n">
        <v>2</v>
      </c>
      <c r="U1766" t="inlineStr">
        <is>
          <t>2001-10-28</t>
        </is>
      </c>
      <c r="V1766" t="inlineStr">
        <is>
          <t>2001-10-28</t>
        </is>
      </c>
      <c r="W1766" t="inlineStr">
        <is>
          <t>1991-10-25</t>
        </is>
      </c>
      <c r="X1766" t="inlineStr">
        <is>
          <t>1991-10-25</t>
        </is>
      </c>
      <c r="Y1766" t="n">
        <v>696</v>
      </c>
      <c r="Z1766" t="n">
        <v>684</v>
      </c>
      <c r="AA1766" t="n">
        <v>834</v>
      </c>
      <c r="AB1766" t="n">
        <v>5</v>
      </c>
      <c r="AC1766" t="n">
        <v>6</v>
      </c>
      <c r="AD1766" t="n">
        <v>30</v>
      </c>
      <c r="AE1766" t="n">
        <v>37</v>
      </c>
      <c r="AF1766" t="n">
        <v>12</v>
      </c>
      <c r="AG1766" t="n">
        <v>17</v>
      </c>
      <c r="AH1766" t="n">
        <v>7</v>
      </c>
      <c r="AI1766" t="n">
        <v>8</v>
      </c>
      <c r="AJ1766" t="n">
        <v>15</v>
      </c>
      <c r="AK1766" t="n">
        <v>19</v>
      </c>
      <c r="AL1766" t="n">
        <v>4</v>
      </c>
      <c r="AM1766" t="n">
        <v>5</v>
      </c>
      <c r="AN1766" t="n">
        <v>0</v>
      </c>
      <c r="AO1766" t="n">
        <v>0</v>
      </c>
      <c r="AP1766" t="inlineStr">
        <is>
          <t>No</t>
        </is>
      </c>
      <c r="AQ1766" t="inlineStr">
        <is>
          <t>No</t>
        </is>
      </c>
      <c r="AR1766">
        <f>HYPERLINK("http://catalog.hathitrust.org/Record/001236396","HathiTrust Record")</f>
        <v/>
      </c>
      <c r="AS1766">
        <f>HYPERLINK("https://creighton-primo.hosted.exlibrisgroup.com/primo-explore/search?tab=default_tab&amp;search_scope=EVERYTHING&amp;vid=01CRU&amp;lang=en_US&amp;offset=0&amp;query=any,contains,991002674119702656","Catalog Record")</f>
        <v/>
      </c>
      <c r="AT1766">
        <f>HYPERLINK("http://www.worldcat.org/oclc/396390","WorldCat Record")</f>
        <v/>
      </c>
      <c r="AU1766" t="inlineStr">
        <is>
          <t>1541287:eng</t>
        </is>
      </c>
      <c r="AV1766" t="inlineStr">
        <is>
          <t>396390</t>
        </is>
      </c>
      <c r="AW1766" t="inlineStr">
        <is>
          <t>991002674119702656</t>
        </is>
      </c>
      <c r="AX1766" t="inlineStr">
        <is>
          <t>991002674119702656</t>
        </is>
      </c>
      <c r="AY1766" t="inlineStr">
        <is>
          <t>2261000610002656</t>
        </is>
      </c>
      <c r="AZ1766" t="inlineStr">
        <is>
          <t>BOOK</t>
        </is>
      </c>
      <c r="BC1766" t="inlineStr">
        <is>
          <t>32285000800036</t>
        </is>
      </c>
      <c r="BD1766" t="inlineStr">
        <is>
          <t>893421654</t>
        </is>
      </c>
    </row>
    <row r="1767">
      <c r="A1767" t="inlineStr">
        <is>
          <t>No</t>
        </is>
      </c>
      <c r="B1767" t="inlineStr">
        <is>
          <t>DP66 .G27</t>
        </is>
      </c>
      <c r="C1767" t="inlineStr">
        <is>
          <t>0                      DP 0066000G  27</t>
        </is>
      </c>
      <c r="D1767" t="inlineStr">
        <is>
          <t>Curso de historia de las instituciones españolas : de los orígenes al final de la Edad Media.</t>
        </is>
      </c>
      <c r="F1767" t="inlineStr">
        <is>
          <t>No</t>
        </is>
      </c>
      <c r="G1767" t="inlineStr">
        <is>
          <t>1</t>
        </is>
      </c>
      <c r="H1767" t="inlineStr">
        <is>
          <t>No</t>
        </is>
      </c>
      <c r="I1767" t="inlineStr">
        <is>
          <t>No</t>
        </is>
      </c>
      <c r="J1767" t="inlineStr">
        <is>
          <t>0</t>
        </is>
      </c>
      <c r="K1767" t="inlineStr">
        <is>
          <t>Valdeavellano, Luis G. de (Luis García de), 1904-1985.</t>
        </is>
      </c>
      <c r="L1767" t="inlineStr">
        <is>
          <t>Madrid : Revista de Occidente, 1968.</t>
        </is>
      </c>
      <c r="M1767" t="inlineStr">
        <is>
          <t>1968</t>
        </is>
      </c>
      <c r="O1767" t="inlineStr">
        <is>
          <t>spa</t>
        </is>
      </c>
      <c r="P1767" t="inlineStr">
        <is>
          <t xml:space="preserve">sp </t>
        </is>
      </c>
      <c r="R1767" t="inlineStr">
        <is>
          <t xml:space="preserve">DP </t>
        </is>
      </c>
      <c r="S1767" t="n">
        <v>0</v>
      </c>
      <c r="T1767" t="n">
        <v>0</v>
      </c>
      <c r="U1767" t="inlineStr">
        <is>
          <t>2001-03-08</t>
        </is>
      </c>
      <c r="V1767" t="inlineStr">
        <is>
          <t>2001-03-08</t>
        </is>
      </c>
      <c r="W1767" t="inlineStr">
        <is>
          <t>1997-02-13</t>
        </is>
      </c>
      <c r="X1767" t="inlineStr">
        <is>
          <t>1997-02-13</t>
        </is>
      </c>
      <c r="Y1767" t="n">
        <v>96</v>
      </c>
      <c r="Z1767" t="n">
        <v>69</v>
      </c>
      <c r="AA1767" t="n">
        <v>114</v>
      </c>
      <c r="AB1767" t="n">
        <v>1</v>
      </c>
      <c r="AC1767" t="n">
        <v>1</v>
      </c>
      <c r="AD1767" t="n">
        <v>5</v>
      </c>
      <c r="AE1767" t="n">
        <v>5</v>
      </c>
      <c r="AF1767" t="n">
        <v>0</v>
      </c>
      <c r="AG1767" t="n">
        <v>0</v>
      </c>
      <c r="AH1767" t="n">
        <v>2</v>
      </c>
      <c r="AI1767" t="n">
        <v>2</v>
      </c>
      <c r="AJ1767" t="n">
        <v>3</v>
      </c>
      <c r="AK1767" t="n">
        <v>3</v>
      </c>
      <c r="AL1767" t="n">
        <v>0</v>
      </c>
      <c r="AM1767" t="n">
        <v>0</v>
      </c>
      <c r="AN1767" t="n">
        <v>0</v>
      </c>
      <c r="AO1767" t="n">
        <v>0</v>
      </c>
      <c r="AP1767" t="inlineStr">
        <is>
          <t>No</t>
        </is>
      </c>
      <c r="AQ1767" t="inlineStr">
        <is>
          <t>Yes</t>
        </is>
      </c>
      <c r="AR1767">
        <f>HYPERLINK("http://catalog.hathitrust.org/Record/001148076","HathiTrust Record")</f>
        <v/>
      </c>
      <c r="AS1767">
        <f>HYPERLINK("https://creighton-primo.hosted.exlibrisgroup.com/primo-explore/search?tab=default_tab&amp;search_scope=EVERYTHING&amp;vid=01CRU&amp;lang=en_US&amp;offset=0&amp;query=any,contains,991001375189702656","Catalog Record")</f>
        <v/>
      </c>
      <c r="AT1767">
        <f>HYPERLINK("http://www.worldcat.org/oclc/510743","WorldCat Record")</f>
        <v/>
      </c>
      <c r="AU1767" t="inlineStr">
        <is>
          <t>1473619:spa</t>
        </is>
      </c>
      <c r="AV1767" t="inlineStr">
        <is>
          <t>510743</t>
        </is>
      </c>
      <c r="AW1767" t="inlineStr">
        <is>
          <t>991001375189702656</t>
        </is>
      </c>
      <c r="AX1767" t="inlineStr">
        <is>
          <t>991001375189702656</t>
        </is>
      </c>
      <c r="AY1767" t="inlineStr">
        <is>
          <t>2267626680002656</t>
        </is>
      </c>
      <c r="AZ1767" t="inlineStr">
        <is>
          <t>BOOK</t>
        </is>
      </c>
      <c r="BC1767" t="inlineStr">
        <is>
          <t>32285002436987</t>
        </is>
      </c>
      <c r="BD1767" t="inlineStr">
        <is>
          <t>893621291</t>
        </is>
      </c>
    </row>
    <row r="1768">
      <c r="A1768" t="inlineStr">
        <is>
          <t>No</t>
        </is>
      </c>
      <c r="B1768" t="inlineStr">
        <is>
          <t>DP66 .H55 1970b</t>
        </is>
      </c>
      <c r="C1768" t="inlineStr">
        <is>
          <t>0                      DP 0066000H  55          1970b</t>
        </is>
      </c>
      <c r="D1768" t="inlineStr">
        <is>
          <t>Spain.</t>
        </is>
      </c>
      <c r="F1768" t="inlineStr">
        <is>
          <t>No</t>
        </is>
      </c>
      <c r="G1768" t="inlineStr">
        <is>
          <t>1</t>
        </is>
      </c>
      <c r="H1768" t="inlineStr">
        <is>
          <t>No</t>
        </is>
      </c>
      <c r="I1768" t="inlineStr">
        <is>
          <t>No</t>
        </is>
      </c>
      <c r="J1768" t="inlineStr">
        <is>
          <t>0</t>
        </is>
      </c>
      <c r="K1768" t="inlineStr">
        <is>
          <t>Hills, George.</t>
        </is>
      </c>
      <c r="L1768" t="inlineStr">
        <is>
          <t>New York : Praeger, [1970]</t>
        </is>
      </c>
      <c r="M1768" t="inlineStr">
        <is>
          <t>1970</t>
        </is>
      </c>
      <c r="O1768" t="inlineStr">
        <is>
          <t>eng</t>
        </is>
      </c>
      <c r="P1768" t="inlineStr">
        <is>
          <t>nyu</t>
        </is>
      </c>
      <c r="Q1768" t="inlineStr">
        <is>
          <t>Nations of the modern world</t>
        </is>
      </c>
      <c r="R1768" t="inlineStr">
        <is>
          <t xml:space="preserve">DP </t>
        </is>
      </c>
      <c r="S1768" t="n">
        <v>6</v>
      </c>
      <c r="T1768" t="n">
        <v>6</v>
      </c>
      <c r="U1768" t="inlineStr">
        <is>
          <t>1999-10-31</t>
        </is>
      </c>
      <c r="V1768" t="inlineStr">
        <is>
          <t>1999-10-31</t>
        </is>
      </c>
      <c r="W1768" t="inlineStr">
        <is>
          <t>1994-12-01</t>
        </is>
      </c>
      <c r="X1768" t="inlineStr">
        <is>
          <t>1994-12-01</t>
        </is>
      </c>
      <c r="Y1768" t="n">
        <v>476</v>
      </c>
      <c r="Z1768" t="n">
        <v>451</v>
      </c>
      <c r="AA1768" t="n">
        <v>493</v>
      </c>
      <c r="AB1768" t="n">
        <v>5</v>
      </c>
      <c r="AC1768" t="n">
        <v>5</v>
      </c>
      <c r="AD1768" t="n">
        <v>16</v>
      </c>
      <c r="AE1768" t="n">
        <v>18</v>
      </c>
      <c r="AF1768" t="n">
        <v>5</v>
      </c>
      <c r="AG1768" t="n">
        <v>5</v>
      </c>
      <c r="AH1768" t="n">
        <v>5</v>
      </c>
      <c r="AI1768" t="n">
        <v>5</v>
      </c>
      <c r="AJ1768" t="n">
        <v>5</v>
      </c>
      <c r="AK1768" t="n">
        <v>7</v>
      </c>
      <c r="AL1768" t="n">
        <v>4</v>
      </c>
      <c r="AM1768" t="n">
        <v>4</v>
      </c>
      <c r="AN1768" t="n">
        <v>0</v>
      </c>
      <c r="AO1768" t="n">
        <v>0</v>
      </c>
      <c r="AP1768" t="inlineStr">
        <is>
          <t>No</t>
        </is>
      </c>
      <c r="AQ1768" t="inlineStr">
        <is>
          <t>Yes</t>
        </is>
      </c>
      <c r="AR1768">
        <f>HYPERLINK("http://catalog.hathitrust.org/Record/001236404","HathiTrust Record")</f>
        <v/>
      </c>
      <c r="AS1768">
        <f>HYPERLINK("https://creighton-primo.hosted.exlibrisgroup.com/primo-explore/search?tab=default_tab&amp;search_scope=EVERYTHING&amp;vid=01CRU&amp;lang=en_US&amp;offset=0&amp;query=any,contains,991000220589702656","Catalog Record")</f>
        <v/>
      </c>
      <c r="AT1768">
        <f>HYPERLINK("http://www.worldcat.org/oclc/67647","WorldCat Record")</f>
        <v/>
      </c>
      <c r="AU1768" t="inlineStr">
        <is>
          <t>1234323:eng</t>
        </is>
      </c>
      <c r="AV1768" t="inlineStr">
        <is>
          <t>67647</t>
        </is>
      </c>
      <c r="AW1768" t="inlineStr">
        <is>
          <t>991000220589702656</t>
        </is>
      </c>
      <c r="AX1768" t="inlineStr">
        <is>
          <t>991000220589702656</t>
        </is>
      </c>
      <c r="AY1768" t="inlineStr">
        <is>
          <t>2258145720002656</t>
        </is>
      </c>
      <c r="AZ1768" t="inlineStr">
        <is>
          <t>BOOK</t>
        </is>
      </c>
      <c r="BC1768" t="inlineStr">
        <is>
          <t>32285001969921</t>
        </is>
      </c>
      <c r="BD1768" t="inlineStr">
        <is>
          <t>893714429</t>
        </is>
      </c>
    </row>
    <row r="1769">
      <c r="A1769" t="inlineStr">
        <is>
          <t>No</t>
        </is>
      </c>
      <c r="B1769" t="inlineStr">
        <is>
          <t>DP66 .L66 1960</t>
        </is>
      </c>
      <c r="C1769" t="inlineStr">
        <is>
          <t>0                      DP 0066000L  66          1960</t>
        </is>
      </c>
      <c r="D1769" t="inlineStr">
        <is>
          <t>A history of Spain / by Harold Livermore.</t>
        </is>
      </c>
      <c r="F1769" t="inlineStr">
        <is>
          <t>No</t>
        </is>
      </c>
      <c r="G1769" t="inlineStr">
        <is>
          <t>1</t>
        </is>
      </c>
      <c r="H1769" t="inlineStr">
        <is>
          <t>No</t>
        </is>
      </c>
      <c r="I1769" t="inlineStr">
        <is>
          <t>No</t>
        </is>
      </c>
      <c r="J1769" t="inlineStr">
        <is>
          <t>0</t>
        </is>
      </c>
      <c r="K1769" t="inlineStr">
        <is>
          <t>Livermore, H. V., 1914-2010.</t>
        </is>
      </c>
      <c r="L1769" t="inlineStr">
        <is>
          <t>New York : Grove Press, 1960.</t>
        </is>
      </c>
      <c r="M1769" t="inlineStr">
        <is>
          <t>1960</t>
        </is>
      </c>
      <c r="N1769" t="inlineStr">
        <is>
          <t>1st Evergreen ed.</t>
        </is>
      </c>
      <c r="O1769" t="inlineStr">
        <is>
          <t>eng</t>
        </is>
      </c>
      <c r="P1769" t="inlineStr">
        <is>
          <t>nyu</t>
        </is>
      </c>
      <c r="Q1769" t="inlineStr">
        <is>
          <t>Evergreen encyclopedia ; v. 6, E-228</t>
        </is>
      </c>
      <c r="R1769" t="inlineStr">
        <is>
          <t xml:space="preserve">DP </t>
        </is>
      </c>
      <c r="S1769" t="n">
        <v>3</v>
      </c>
      <c r="T1769" t="n">
        <v>3</v>
      </c>
      <c r="U1769" t="inlineStr">
        <is>
          <t>1999-10-31</t>
        </is>
      </c>
      <c r="V1769" t="inlineStr">
        <is>
          <t>1999-10-31</t>
        </is>
      </c>
      <c r="W1769" t="inlineStr">
        <is>
          <t>1992-04-06</t>
        </is>
      </c>
      <c r="X1769" t="inlineStr">
        <is>
          <t>1992-04-06</t>
        </is>
      </c>
      <c r="Y1769" t="n">
        <v>148</v>
      </c>
      <c r="Z1769" t="n">
        <v>136</v>
      </c>
      <c r="AA1769" t="n">
        <v>799</v>
      </c>
      <c r="AB1769" t="n">
        <v>1</v>
      </c>
      <c r="AC1769" t="n">
        <v>5</v>
      </c>
      <c r="AD1769" t="n">
        <v>2</v>
      </c>
      <c r="AE1769" t="n">
        <v>29</v>
      </c>
      <c r="AF1769" t="n">
        <v>2</v>
      </c>
      <c r="AG1769" t="n">
        <v>11</v>
      </c>
      <c r="AH1769" t="n">
        <v>1</v>
      </c>
      <c r="AI1769" t="n">
        <v>9</v>
      </c>
      <c r="AJ1769" t="n">
        <v>0</v>
      </c>
      <c r="AK1769" t="n">
        <v>14</v>
      </c>
      <c r="AL1769" t="n">
        <v>0</v>
      </c>
      <c r="AM1769" t="n">
        <v>4</v>
      </c>
      <c r="AN1769" t="n">
        <v>0</v>
      </c>
      <c r="AO1769" t="n">
        <v>0</v>
      </c>
      <c r="AP1769" t="inlineStr">
        <is>
          <t>No</t>
        </is>
      </c>
      <c r="AQ1769" t="inlineStr">
        <is>
          <t>No</t>
        </is>
      </c>
      <c r="AS1769">
        <f>HYPERLINK("https://creighton-primo.hosted.exlibrisgroup.com/primo-explore/search?tab=default_tab&amp;search_scope=EVERYTHING&amp;vid=01CRU&amp;lang=en_US&amp;offset=0&amp;query=any,contains,991004130309702656","Catalog Record")</f>
        <v/>
      </c>
      <c r="AT1769">
        <f>HYPERLINK("http://www.worldcat.org/oclc/2466572","WorldCat Record")</f>
        <v/>
      </c>
      <c r="AU1769" t="inlineStr">
        <is>
          <t>415994666:eng</t>
        </is>
      </c>
      <c r="AV1769" t="inlineStr">
        <is>
          <t>2466572</t>
        </is>
      </c>
      <c r="AW1769" t="inlineStr">
        <is>
          <t>991004130309702656</t>
        </is>
      </c>
      <c r="AX1769" t="inlineStr">
        <is>
          <t>991004130309702656</t>
        </is>
      </c>
      <c r="AY1769" t="inlineStr">
        <is>
          <t>2272040410002656</t>
        </is>
      </c>
      <c r="AZ1769" t="inlineStr">
        <is>
          <t>BOOK</t>
        </is>
      </c>
      <c r="BC1769" t="inlineStr">
        <is>
          <t>32285001034882</t>
        </is>
      </c>
      <c r="BD1769" t="inlineStr">
        <is>
          <t>893247188</t>
        </is>
      </c>
    </row>
    <row r="1770">
      <c r="A1770" t="inlineStr">
        <is>
          <t>No</t>
        </is>
      </c>
      <c r="B1770" t="inlineStr">
        <is>
          <t>DP66 .M35 v...</t>
        </is>
      </c>
      <c r="C1770" t="inlineStr">
        <is>
          <t>0                      DP 0066000M  35                                                      v...</t>
        </is>
      </c>
      <c r="D1770" t="inlineStr">
        <is>
          <t>Historia de España.</t>
        </is>
      </c>
      <c r="E1770" t="inlineStr">
        <is>
          <t>V.5</t>
        </is>
      </c>
      <c r="F1770" t="inlineStr">
        <is>
          <t>Yes</t>
        </is>
      </c>
      <c r="G1770" t="inlineStr">
        <is>
          <t>1</t>
        </is>
      </c>
      <c r="H1770" t="inlineStr">
        <is>
          <t>No</t>
        </is>
      </c>
      <c r="I1770" t="inlineStr">
        <is>
          <t>No</t>
        </is>
      </c>
      <c r="J1770" t="inlineStr">
        <is>
          <t>0</t>
        </is>
      </c>
      <c r="K1770" t="inlineStr">
        <is>
          <t>Menéndez Pidal, Ramón, 1869-1968, editor.</t>
        </is>
      </c>
      <c r="L1770" t="inlineStr">
        <is>
          <t>Madrid : Espasa-Calpe, 1956 [v.1, pt.1, 1963-</t>
        </is>
      </c>
      <c r="M1770" t="inlineStr">
        <is>
          <t>1963</t>
        </is>
      </c>
      <c r="O1770" t="inlineStr">
        <is>
          <t>spa</t>
        </is>
      </c>
      <c r="P1770" t="inlineStr">
        <is>
          <t xml:space="preserve">xx </t>
        </is>
      </c>
      <c r="R1770" t="inlineStr">
        <is>
          <t xml:space="preserve">DP </t>
        </is>
      </c>
      <c r="S1770" t="n">
        <v>0</v>
      </c>
      <c r="T1770" t="n">
        <v>4</v>
      </c>
      <c r="V1770" t="inlineStr">
        <is>
          <t>2010-10-28</t>
        </is>
      </c>
      <c r="W1770" t="inlineStr">
        <is>
          <t>1996-08-01</t>
        </is>
      </c>
      <c r="X1770" t="inlineStr">
        <is>
          <t>1996-08-01</t>
        </is>
      </c>
      <c r="Y1770" t="n">
        <v>44</v>
      </c>
      <c r="Z1770" t="n">
        <v>34</v>
      </c>
      <c r="AA1770" t="n">
        <v>34</v>
      </c>
      <c r="AB1770" t="n">
        <v>1</v>
      </c>
      <c r="AC1770" t="n">
        <v>1</v>
      </c>
      <c r="AD1770" t="n">
        <v>1</v>
      </c>
      <c r="AE1770" t="n">
        <v>1</v>
      </c>
      <c r="AF1770" t="n">
        <v>0</v>
      </c>
      <c r="AG1770" t="n">
        <v>0</v>
      </c>
      <c r="AH1770" t="n">
        <v>0</v>
      </c>
      <c r="AI1770" t="n">
        <v>0</v>
      </c>
      <c r="AJ1770" t="n">
        <v>1</v>
      </c>
      <c r="AK1770" t="n">
        <v>1</v>
      </c>
      <c r="AL1770" t="n">
        <v>0</v>
      </c>
      <c r="AM1770" t="n">
        <v>0</v>
      </c>
      <c r="AN1770" t="n">
        <v>0</v>
      </c>
      <c r="AO1770" t="n">
        <v>0</v>
      </c>
      <c r="AP1770" t="inlineStr">
        <is>
          <t>No</t>
        </is>
      </c>
      <c r="AQ1770" t="inlineStr">
        <is>
          <t>Yes</t>
        </is>
      </c>
      <c r="AR1770">
        <f>HYPERLINK("http://catalog.hathitrust.org/Record/102123848","HathiTrust Record")</f>
        <v/>
      </c>
      <c r="AS1770">
        <f>HYPERLINK("https://creighton-primo.hosted.exlibrisgroup.com/primo-explore/search?tab=default_tab&amp;search_scope=EVERYTHING&amp;vid=01CRU&amp;lang=en_US&amp;offset=0&amp;query=any,contains,991002675009702656","Catalog Record")</f>
        <v/>
      </c>
      <c r="AT1770">
        <f>HYPERLINK("http://www.worldcat.org/oclc/396658","WorldCat Record")</f>
        <v/>
      </c>
      <c r="AU1770" t="inlineStr">
        <is>
          <t>8908465673:spa</t>
        </is>
      </c>
      <c r="AV1770" t="inlineStr">
        <is>
          <t>396658</t>
        </is>
      </c>
      <c r="AW1770" t="inlineStr">
        <is>
          <t>991002675009702656</t>
        </is>
      </c>
      <c r="AX1770" t="inlineStr">
        <is>
          <t>991002675009702656</t>
        </is>
      </c>
      <c r="AY1770" t="inlineStr">
        <is>
          <t>2261179070002656</t>
        </is>
      </c>
      <c r="AZ1770" t="inlineStr">
        <is>
          <t>BOOK</t>
        </is>
      </c>
      <c r="BC1770" t="inlineStr">
        <is>
          <t>32285002251667</t>
        </is>
      </c>
      <c r="BD1770" t="inlineStr">
        <is>
          <t>893627248</t>
        </is>
      </c>
    </row>
    <row r="1771">
      <c r="A1771" t="inlineStr">
        <is>
          <t>No</t>
        </is>
      </c>
      <c r="B1771" t="inlineStr">
        <is>
          <t>DP66 .M35 v...</t>
        </is>
      </c>
      <c r="C1771" t="inlineStr">
        <is>
          <t>0                      DP 0066000M  35                                                      v...</t>
        </is>
      </c>
      <c r="D1771" t="inlineStr">
        <is>
          <t>Historia de España.</t>
        </is>
      </c>
      <c r="E1771" t="inlineStr">
        <is>
          <t>V.7</t>
        </is>
      </c>
      <c r="F1771" t="inlineStr">
        <is>
          <t>Yes</t>
        </is>
      </c>
      <c r="G1771" t="inlineStr">
        <is>
          <t>1</t>
        </is>
      </c>
      <c r="H1771" t="inlineStr">
        <is>
          <t>No</t>
        </is>
      </c>
      <c r="I1771" t="inlineStr">
        <is>
          <t>No</t>
        </is>
      </c>
      <c r="J1771" t="inlineStr">
        <is>
          <t>0</t>
        </is>
      </c>
      <c r="K1771" t="inlineStr">
        <is>
          <t>Menéndez Pidal, Ramón, 1869-1968, editor.</t>
        </is>
      </c>
      <c r="L1771" t="inlineStr">
        <is>
          <t>Madrid : Espasa-Calpe, 1956 [v.1, pt.1, 1963-</t>
        </is>
      </c>
      <c r="M1771" t="inlineStr">
        <is>
          <t>1963</t>
        </is>
      </c>
      <c r="O1771" t="inlineStr">
        <is>
          <t>spa</t>
        </is>
      </c>
      <c r="P1771" t="inlineStr">
        <is>
          <t xml:space="preserve">xx </t>
        </is>
      </c>
      <c r="R1771" t="inlineStr">
        <is>
          <t xml:space="preserve">DP </t>
        </is>
      </c>
      <c r="S1771" t="n">
        <v>0</v>
      </c>
      <c r="T1771" t="n">
        <v>4</v>
      </c>
      <c r="V1771" t="inlineStr">
        <is>
          <t>2010-10-28</t>
        </is>
      </c>
      <c r="W1771" t="inlineStr">
        <is>
          <t>1996-08-01</t>
        </is>
      </c>
      <c r="X1771" t="inlineStr">
        <is>
          <t>1996-08-01</t>
        </is>
      </c>
      <c r="Y1771" t="n">
        <v>44</v>
      </c>
      <c r="Z1771" t="n">
        <v>34</v>
      </c>
      <c r="AA1771" t="n">
        <v>34</v>
      </c>
      <c r="AB1771" t="n">
        <v>1</v>
      </c>
      <c r="AC1771" t="n">
        <v>1</v>
      </c>
      <c r="AD1771" t="n">
        <v>1</v>
      </c>
      <c r="AE1771" t="n">
        <v>1</v>
      </c>
      <c r="AF1771" t="n">
        <v>0</v>
      </c>
      <c r="AG1771" t="n">
        <v>0</v>
      </c>
      <c r="AH1771" t="n">
        <v>0</v>
      </c>
      <c r="AI1771" t="n">
        <v>0</v>
      </c>
      <c r="AJ1771" t="n">
        <v>1</v>
      </c>
      <c r="AK1771" t="n">
        <v>1</v>
      </c>
      <c r="AL1771" t="n">
        <v>0</v>
      </c>
      <c r="AM1771" t="n">
        <v>0</v>
      </c>
      <c r="AN1771" t="n">
        <v>0</v>
      </c>
      <c r="AO1771" t="n">
        <v>0</v>
      </c>
      <c r="AP1771" t="inlineStr">
        <is>
          <t>No</t>
        </is>
      </c>
      <c r="AQ1771" t="inlineStr">
        <is>
          <t>Yes</t>
        </is>
      </c>
      <c r="AR1771">
        <f>HYPERLINK("http://catalog.hathitrust.org/Record/102123848","HathiTrust Record")</f>
        <v/>
      </c>
      <c r="AS1771">
        <f>HYPERLINK("https://creighton-primo.hosted.exlibrisgroup.com/primo-explore/search?tab=default_tab&amp;search_scope=EVERYTHING&amp;vid=01CRU&amp;lang=en_US&amp;offset=0&amp;query=any,contains,991002675009702656","Catalog Record")</f>
        <v/>
      </c>
      <c r="AT1771">
        <f>HYPERLINK("http://www.worldcat.org/oclc/396658","WorldCat Record")</f>
        <v/>
      </c>
      <c r="AU1771" t="inlineStr">
        <is>
          <t>8908465673:spa</t>
        </is>
      </c>
      <c r="AV1771" t="inlineStr">
        <is>
          <t>396658</t>
        </is>
      </c>
      <c r="AW1771" t="inlineStr">
        <is>
          <t>991002675009702656</t>
        </is>
      </c>
      <c r="AX1771" t="inlineStr">
        <is>
          <t>991002675009702656</t>
        </is>
      </c>
      <c r="AY1771" t="inlineStr">
        <is>
          <t>2261179070002656</t>
        </is>
      </c>
      <c r="AZ1771" t="inlineStr">
        <is>
          <t>BOOK</t>
        </is>
      </c>
      <c r="BC1771" t="inlineStr">
        <is>
          <t>32285002251683</t>
        </is>
      </c>
      <c r="BD1771" t="inlineStr">
        <is>
          <t>893627247</t>
        </is>
      </c>
    </row>
    <row r="1772">
      <c r="A1772" t="inlineStr">
        <is>
          <t>No</t>
        </is>
      </c>
      <c r="B1772" t="inlineStr">
        <is>
          <t>DP66 .M35 v...</t>
        </is>
      </c>
      <c r="C1772" t="inlineStr">
        <is>
          <t>0                      DP 0066000M  35                                                      v...</t>
        </is>
      </c>
      <c r="D1772" t="inlineStr">
        <is>
          <t>Historia de España.</t>
        </is>
      </c>
      <c r="E1772" t="inlineStr">
        <is>
          <t>V.1</t>
        </is>
      </c>
      <c r="F1772" t="inlineStr">
        <is>
          <t>Yes</t>
        </is>
      </c>
      <c r="G1772" t="inlineStr">
        <is>
          <t>1</t>
        </is>
      </c>
      <c r="H1772" t="inlineStr">
        <is>
          <t>No</t>
        </is>
      </c>
      <c r="I1772" t="inlineStr">
        <is>
          <t>No</t>
        </is>
      </c>
      <c r="J1772" t="inlineStr">
        <is>
          <t>0</t>
        </is>
      </c>
      <c r="K1772" t="inlineStr">
        <is>
          <t>Menéndez Pidal, Ramón, 1869-1968, editor.</t>
        </is>
      </c>
      <c r="L1772" t="inlineStr">
        <is>
          <t>Madrid : Espasa-Calpe, 1956 [v.1, pt.1, 1963-</t>
        </is>
      </c>
      <c r="M1772" t="inlineStr">
        <is>
          <t>1963</t>
        </is>
      </c>
      <c r="O1772" t="inlineStr">
        <is>
          <t>spa</t>
        </is>
      </c>
      <c r="P1772" t="inlineStr">
        <is>
          <t xml:space="preserve">xx </t>
        </is>
      </c>
      <c r="R1772" t="inlineStr">
        <is>
          <t xml:space="preserve">DP </t>
        </is>
      </c>
      <c r="S1772" t="n">
        <v>0</v>
      </c>
      <c r="T1772" t="n">
        <v>4</v>
      </c>
      <c r="V1772" t="inlineStr">
        <is>
          <t>2010-10-28</t>
        </is>
      </c>
      <c r="W1772" t="inlineStr">
        <is>
          <t>1996-08-01</t>
        </is>
      </c>
      <c r="X1772" t="inlineStr">
        <is>
          <t>1996-08-01</t>
        </is>
      </c>
      <c r="Y1772" t="n">
        <v>44</v>
      </c>
      <c r="Z1772" t="n">
        <v>34</v>
      </c>
      <c r="AA1772" t="n">
        <v>34</v>
      </c>
      <c r="AB1772" t="n">
        <v>1</v>
      </c>
      <c r="AC1772" t="n">
        <v>1</v>
      </c>
      <c r="AD1772" t="n">
        <v>1</v>
      </c>
      <c r="AE1772" t="n">
        <v>1</v>
      </c>
      <c r="AF1772" t="n">
        <v>0</v>
      </c>
      <c r="AG1772" t="n">
        <v>0</v>
      </c>
      <c r="AH1772" t="n">
        <v>0</v>
      </c>
      <c r="AI1772" t="n">
        <v>0</v>
      </c>
      <c r="AJ1772" t="n">
        <v>1</v>
      </c>
      <c r="AK1772" t="n">
        <v>1</v>
      </c>
      <c r="AL1772" t="n">
        <v>0</v>
      </c>
      <c r="AM1772" t="n">
        <v>0</v>
      </c>
      <c r="AN1772" t="n">
        <v>0</v>
      </c>
      <c r="AO1772" t="n">
        <v>0</v>
      </c>
      <c r="AP1772" t="inlineStr">
        <is>
          <t>No</t>
        </is>
      </c>
      <c r="AQ1772" t="inlineStr">
        <is>
          <t>Yes</t>
        </is>
      </c>
      <c r="AR1772">
        <f>HYPERLINK("http://catalog.hathitrust.org/Record/102123848","HathiTrust Record")</f>
        <v/>
      </c>
      <c r="AS1772">
        <f>HYPERLINK("https://creighton-primo.hosted.exlibrisgroup.com/primo-explore/search?tab=default_tab&amp;search_scope=EVERYTHING&amp;vid=01CRU&amp;lang=en_US&amp;offset=0&amp;query=any,contains,991002675009702656","Catalog Record")</f>
        <v/>
      </c>
      <c r="AT1772">
        <f>HYPERLINK("http://www.worldcat.org/oclc/396658","WorldCat Record")</f>
        <v/>
      </c>
      <c r="AU1772" t="inlineStr">
        <is>
          <t>8908465673:spa</t>
        </is>
      </c>
      <c r="AV1772" t="inlineStr">
        <is>
          <t>396658</t>
        </is>
      </c>
      <c r="AW1772" t="inlineStr">
        <is>
          <t>991002675009702656</t>
        </is>
      </c>
      <c r="AX1772" t="inlineStr">
        <is>
          <t>991002675009702656</t>
        </is>
      </c>
      <c r="AY1772" t="inlineStr">
        <is>
          <t>2261179070002656</t>
        </is>
      </c>
      <c r="AZ1772" t="inlineStr">
        <is>
          <t>BOOK</t>
        </is>
      </c>
      <c r="BC1772" t="inlineStr">
        <is>
          <t>32285002251626</t>
        </is>
      </c>
      <c r="BD1772" t="inlineStr">
        <is>
          <t>893603861</t>
        </is>
      </c>
    </row>
    <row r="1773">
      <c r="A1773" t="inlineStr">
        <is>
          <t>No</t>
        </is>
      </c>
      <c r="B1773" t="inlineStr">
        <is>
          <t>DP66 .M35 v...</t>
        </is>
      </c>
      <c r="C1773" t="inlineStr">
        <is>
          <t>0                      DP 0066000M  35                                                      v...</t>
        </is>
      </c>
      <c r="D1773" t="inlineStr">
        <is>
          <t>Historia de España.</t>
        </is>
      </c>
      <c r="E1773" t="inlineStr">
        <is>
          <t>V.4</t>
        </is>
      </c>
      <c r="F1773" t="inlineStr">
        <is>
          <t>Yes</t>
        </is>
      </c>
      <c r="G1773" t="inlineStr">
        <is>
          <t>1</t>
        </is>
      </c>
      <c r="H1773" t="inlineStr">
        <is>
          <t>No</t>
        </is>
      </c>
      <c r="I1773" t="inlineStr">
        <is>
          <t>No</t>
        </is>
      </c>
      <c r="J1773" t="inlineStr">
        <is>
          <t>0</t>
        </is>
      </c>
      <c r="K1773" t="inlineStr">
        <is>
          <t>Menéndez Pidal, Ramón, 1869-1968, editor.</t>
        </is>
      </c>
      <c r="L1773" t="inlineStr">
        <is>
          <t>Madrid : Espasa-Calpe, 1956 [v.1, pt.1, 1963-</t>
        </is>
      </c>
      <c r="M1773" t="inlineStr">
        <is>
          <t>1963</t>
        </is>
      </c>
      <c r="O1773" t="inlineStr">
        <is>
          <t>spa</t>
        </is>
      </c>
      <c r="P1773" t="inlineStr">
        <is>
          <t xml:space="preserve">xx </t>
        </is>
      </c>
      <c r="R1773" t="inlineStr">
        <is>
          <t xml:space="preserve">DP </t>
        </is>
      </c>
      <c r="S1773" t="n">
        <v>0</v>
      </c>
      <c r="T1773" t="n">
        <v>4</v>
      </c>
      <c r="V1773" t="inlineStr">
        <is>
          <t>2010-10-28</t>
        </is>
      </c>
      <c r="W1773" t="inlineStr">
        <is>
          <t>1996-08-01</t>
        </is>
      </c>
      <c r="X1773" t="inlineStr">
        <is>
          <t>1996-08-01</t>
        </is>
      </c>
      <c r="Y1773" t="n">
        <v>44</v>
      </c>
      <c r="Z1773" t="n">
        <v>34</v>
      </c>
      <c r="AA1773" t="n">
        <v>34</v>
      </c>
      <c r="AB1773" t="n">
        <v>1</v>
      </c>
      <c r="AC1773" t="n">
        <v>1</v>
      </c>
      <c r="AD1773" t="n">
        <v>1</v>
      </c>
      <c r="AE1773" t="n">
        <v>1</v>
      </c>
      <c r="AF1773" t="n">
        <v>0</v>
      </c>
      <c r="AG1773" t="n">
        <v>0</v>
      </c>
      <c r="AH1773" t="n">
        <v>0</v>
      </c>
      <c r="AI1773" t="n">
        <v>0</v>
      </c>
      <c r="AJ1773" t="n">
        <v>1</v>
      </c>
      <c r="AK1773" t="n">
        <v>1</v>
      </c>
      <c r="AL1773" t="n">
        <v>0</v>
      </c>
      <c r="AM1773" t="n">
        <v>0</v>
      </c>
      <c r="AN1773" t="n">
        <v>0</v>
      </c>
      <c r="AO1773" t="n">
        <v>0</v>
      </c>
      <c r="AP1773" t="inlineStr">
        <is>
          <t>No</t>
        </is>
      </c>
      <c r="AQ1773" t="inlineStr">
        <is>
          <t>Yes</t>
        </is>
      </c>
      <c r="AR1773">
        <f>HYPERLINK("http://catalog.hathitrust.org/Record/102123848","HathiTrust Record")</f>
        <v/>
      </c>
      <c r="AS1773">
        <f>HYPERLINK("https://creighton-primo.hosted.exlibrisgroup.com/primo-explore/search?tab=default_tab&amp;search_scope=EVERYTHING&amp;vid=01CRU&amp;lang=en_US&amp;offset=0&amp;query=any,contains,991002675009702656","Catalog Record")</f>
        <v/>
      </c>
      <c r="AT1773">
        <f>HYPERLINK("http://www.worldcat.org/oclc/396658","WorldCat Record")</f>
        <v/>
      </c>
      <c r="AU1773" t="inlineStr">
        <is>
          <t>8908465673:spa</t>
        </is>
      </c>
      <c r="AV1773" t="inlineStr">
        <is>
          <t>396658</t>
        </is>
      </c>
      <c r="AW1773" t="inlineStr">
        <is>
          <t>991002675009702656</t>
        </is>
      </c>
      <c r="AX1773" t="inlineStr">
        <is>
          <t>991002675009702656</t>
        </is>
      </c>
      <c r="AY1773" t="inlineStr">
        <is>
          <t>2261179070002656</t>
        </is>
      </c>
      <c r="AZ1773" t="inlineStr">
        <is>
          <t>BOOK</t>
        </is>
      </c>
      <c r="BC1773" t="inlineStr">
        <is>
          <t>32285002251659</t>
        </is>
      </c>
      <c r="BD1773" t="inlineStr">
        <is>
          <t>893616415</t>
        </is>
      </c>
    </row>
    <row r="1774">
      <c r="A1774" t="inlineStr">
        <is>
          <t>No</t>
        </is>
      </c>
      <c r="B1774" t="inlineStr">
        <is>
          <t>DP66 .M35 v...</t>
        </is>
      </c>
      <c r="C1774" t="inlineStr">
        <is>
          <t>0                      DP 0066000M  35                                                      v...</t>
        </is>
      </c>
      <c r="D1774" t="inlineStr">
        <is>
          <t>Historia de España.</t>
        </is>
      </c>
      <c r="E1774" t="inlineStr">
        <is>
          <t>V.3</t>
        </is>
      </c>
      <c r="F1774" t="inlineStr">
        <is>
          <t>Yes</t>
        </is>
      </c>
      <c r="G1774" t="inlineStr">
        <is>
          <t>1</t>
        </is>
      </c>
      <c r="H1774" t="inlineStr">
        <is>
          <t>No</t>
        </is>
      </c>
      <c r="I1774" t="inlineStr">
        <is>
          <t>No</t>
        </is>
      </c>
      <c r="J1774" t="inlineStr">
        <is>
          <t>0</t>
        </is>
      </c>
      <c r="K1774" t="inlineStr">
        <is>
          <t>Menéndez Pidal, Ramón, 1869-1968, editor.</t>
        </is>
      </c>
      <c r="L1774" t="inlineStr">
        <is>
          <t>Madrid : Espasa-Calpe, 1956 [v.1, pt.1, 1963-</t>
        </is>
      </c>
      <c r="M1774" t="inlineStr">
        <is>
          <t>1963</t>
        </is>
      </c>
      <c r="O1774" t="inlineStr">
        <is>
          <t>spa</t>
        </is>
      </c>
      <c r="P1774" t="inlineStr">
        <is>
          <t xml:space="preserve">xx </t>
        </is>
      </c>
      <c r="R1774" t="inlineStr">
        <is>
          <t xml:space="preserve">DP </t>
        </is>
      </c>
      <c r="S1774" t="n">
        <v>0</v>
      </c>
      <c r="T1774" t="n">
        <v>4</v>
      </c>
      <c r="V1774" t="inlineStr">
        <is>
          <t>2010-10-28</t>
        </is>
      </c>
      <c r="W1774" t="inlineStr">
        <is>
          <t>1996-08-01</t>
        </is>
      </c>
      <c r="X1774" t="inlineStr">
        <is>
          <t>1996-08-01</t>
        </is>
      </c>
      <c r="Y1774" t="n">
        <v>44</v>
      </c>
      <c r="Z1774" t="n">
        <v>34</v>
      </c>
      <c r="AA1774" t="n">
        <v>34</v>
      </c>
      <c r="AB1774" t="n">
        <v>1</v>
      </c>
      <c r="AC1774" t="n">
        <v>1</v>
      </c>
      <c r="AD1774" t="n">
        <v>1</v>
      </c>
      <c r="AE1774" t="n">
        <v>1</v>
      </c>
      <c r="AF1774" t="n">
        <v>0</v>
      </c>
      <c r="AG1774" t="n">
        <v>0</v>
      </c>
      <c r="AH1774" t="n">
        <v>0</v>
      </c>
      <c r="AI1774" t="n">
        <v>0</v>
      </c>
      <c r="AJ1774" t="n">
        <v>1</v>
      </c>
      <c r="AK1774" t="n">
        <v>1</v>
      </c>
      <c r="AL1774" t="n">
        <v>0</v>
      </c>
      <c r="AM1774" t="n">
        <v>0</v>
      </c>
      <c r="AN1774" t="n">
        <v>0</v>
      </c>
      <c r="AO1774" t="n">
        <v>0</v>
      </c>
      <c r="AP1774" t="inlineStr">
        <is>
          <t>No</t>
        </is>
      </c>
      <c r="AQ1774" t="inlineStr">
        <is>
          <t>Yes</t>
        </is>
      </c>
      <c r="AR1774">
        <f>HYPERLINK("http://catalog.hathitrust.org/Record/102123848","HathiTrust Record")</f>
        <v/>
      </c>
      <c r="AS1774">
        <f>HYPERLINK("https://creighton-primo.hosted.exlibrisgroup.com/primo-explore/search?tab=default_tab&amp;search_scope=EVERYTHING&amp;vid=01CRU&amp;lang=en_US&amp;offset=0&amp;query=any,contains,991002675009702656","Catalog Record")</f>
        <v/>
      </c>
      <c r="AT1774">
        <f>HYPERLINK("http://www.worldcat.org/oclc/396658","WorldCat Record")</f>
        <v/>
      </c>
      <c r="AU1774" t="inlineStr">
        <is>
          <t>8908465673:spa</t>
        </is>
      </c>
      <c r="AV1774" t="inlineStr">
        <is>
          <t>396658</t>
        </is>
      </c>
      <c r="AW1774" t="inlineStr">
        <is>
          <t>991002675009702656</t>
        </is>
      </c>
      <c r="AX1774" t="inlineStr">
        <is>
          <t>991002675009702656</t>
        </is>
      </c>
      <c r="AY1774" t="inlineStr">
        <is>
          <t>2261179070002656</t>
        </is>
      </c>
      <c r="AZ1774" t="inlineStr">
        <is>
          <t>BOOK</t>
        </is>
      </c>
      <c r="BC1774" t="inlineStr">
        <is>
          <t>32285002251642</t>
        </is>
      </c>
      <c r="BD1774" t="inlineStr">
        <is>
          <t>893616416</t>
        </is>
      </c>
    </row>
    <row r="1775">
      <c r="A1775" t="inlineStr">
        <is>
          <t>No</t>
        </is>
      </c>
      <c r="B1775" t="inlineStr">
        <is>
          <t>DP66 .M35 v...</t>
        </is>
      </c>
      <c r="C1775" t="inlineStr">
        <is>
          <t>0                      DP 0066000M  35                                                      v...</t>
        </is>
      </c>
      <c r="D1775" t="inlineStr">
        <is>
          <t>Historia de España.</t>
        </is>
      </c>
      <c r="E1775" t="inlineStr">
        <is>
          <t>V.14</t>
        </is>
      </c>
      <c r="F1775" t="inlineStr">
        <is>
          <t>Yes</t>
        </is>
      </c>
      <c r="G1775" t="inlineStr">
        <is>
          <t>1</t>
        </is>
      </c>
      <c r="H1775" t="inlineStr">
        <is>
          <t>No</t>
        </is>
      </c>
      <c r="I1775" t="inlineStr">
        <is>
          <t>No</t>
        </is>
      </c>
      <c r="J1775" t="inlineStr">
        <is>
          <t>0</t>
        </is>
      </c>
      <c r="K1775" t="inlineStr">
        <is>
          <t>Menéndez Pidal, Ramón, 1869-1968, editor.</t>
        </is>
      </c>
      <c r="L1775" t="inlineStr">
        <is>
          <t>Madrid : Espasa-Calpe, 1956 [v.1, pt.1, 1963-</t>
        </is>
      </c>
      <c r="M1775" t="inlineStr">
        <is>
          <t>1963</t>
        </is>
      </c>
      <c r="O1775" t="inlineStr">
        <is>
          <t>spa</t>
        </is>
      </c>
      <c r="P1775" t="inlineStr">
        <is>
          <t xml:space="preserve">xx </t>
        </is>
      </c>
      <c r="R1775" t="inlineStr">
        <is>
          <t xml:space="preserve">DP </t>
        </is>
      </c>
      <c r="S1775" t="n">
        <v>0</v>
      </c>
      <c r="T1775" t="n">
        <v>4</v>
      </c>
      <c r="V1775" t="inlineStr">
        <is>
          <t>2010-10-28</t>
        </is>
      </c>
      <c r="W1775" t="inlineStr">
        <is>
          <t>1996-08-01</t>
        </is>
      </c>
      <c r="X1775" t="inlineStr">
        <is>
          <t>1996-08-01</t>
        </is>
      </c>
      <c r="Y1775" t="n">
        <v>44</v>
      </c>
      <c r="Z1775" t="n">
        <v>34</v>
      </c>
      <c r="AA1775" t="n">
        <v>34</v>
      </c>
      <c r="AB1775" t="n">
        <v>1</v>
      </c>
      <c r="AC1775" t="n">
        <v>1</v>
      </c>
      <c r="AD1775" t="n">
        <v>1</v>
      </c>
      <c r="AE1775" t="n">
        <v>1</v>
      </c>
      <c r="AF1775" t="n">
        <v>0</v>
      </c>
      <c r="AG1775" t="n">
        <v>0</v>
      </c>
      <c r="AH1775" t="n">
        <v>0</v>
      </c>
      <c r="AI1775" t="n">
        <v>0</v>
      </c>
      <c r="AJ1775" t="n">
        <v>1</v>
      </c>
      <c r="AK1775" t="n">
        <v>1</v>
      </c>
      <c r="AL1775" t="n">
        <v>0</v>
      </c>
      <c r="AM1775" t="n">
        <v>0</v>
      </c>
      <c r="AN1775" t="n">
        <v>0</v>
      </c>
      <c r="AO1775" t="n">
        <v>0</v>
      </c>
      <c r="AP1775" t="inlineStr">
        <is>
          <t>No</t>
        </is>
      </c>
      <c r="AQ1775" t="inlineStr">
        <is>
          <t>Yes</t>
        </is>
      </c>
      <c r="AR1775">
        <f>HYPERLINK("http://catalog.hathitrust.org/Record/102123848","HathiTrust Record")</f>
        <v/>
      </c>
      <c r="AS1775">
        <f>HYPERLINK("https://creighton-primo.hosted.exlibrisgroup.com/primo-explore/search?tab=default_tab&amp;search_scope=EVERYTHING&amp;vid=01CRU&amp;lang=en_US&amp;offset=0&amp;query=any,contains,991002675009702656","Catalog Record")</f>
        <v/>
      </c>
      <c r="AT1775">
        <f>HYPERLINK("http://www.worldcat.org/oclc/396658","WorldCat Record")</f>
        <v/>
      </c>
      <c r="AU1775" t="inlineStr">
        <is>
          <t>8908465673:spa</t>
        </is>
      </c>
      <c r="AV1775" t="inlineStr">
        <is>
          <t>396658</t>
        </is>
      </c>
      <c r="AW1775" t="inlineStr">
        <is>
          <t>991002675009702656</t>
        </is>
      </c>
      <c r="AX1775" t="inlineStr">
        <is>
          <t>991002675009702656</t>
        </is>
      </c>
      <c r="AY1775" t="inlineStr">
        <is>
          <t>2261179070002656</t>
        </is>
      </c>
      <c r="AZ1775" t="inlineStr">
        <is>
          <t>BOOK</t>
        </is>
      </c>
      <c r="BC1775" t="inlineStr">
        <is>
          <t>32285002251691</t>
        </is>
      </c>
      <c r="BD1775" t="inlineStr">
        <is>
          <t>893616418</t>
        </is>
      </c>
    </row>
    <row r="1776">
      <c r="A1776" t="inlineStr">
        <is>
          <t>No</t>
        </is>
      </c>
      <c r="B1776" t="inlineStr">
        <is>
          <t>DP66 .M35 v...</t>
        </is>
      </c>
      <c r="C1776" t="inlineStr">
        <is>
          <t>0                      DP 0066000M  35                                                      v...</t>
        </is>
      </c>
      <c r="D1776" t="inlineStr">
        <is>
          <t>Historia de España.</t>
        </is>
      </c>
      <c r="E1776" t="inlineStr">
        <is>
          <t>V.24</t>
        </is>
      </c>
      <c r="F1776" t="inlineStr">
        <is>
          <t>Yes</t>
        </is>
      </c>
      <c r="G1776" t="inlineStr">
        <is>
          <t>1</t>
        </is>
      </c>
      <c r="H1776" t="inlineStr">
        <is>
          <t>No</t>
        </is>
      </c>
      <c r="I1776" t="inlineStr">
        <is>
          <t>No</t>
        </is>
      </c>
      <c r="J1776" t="inlineStr">
        <is>
          <t>0</t>
        </is>
      </c>
      <c r="K1776" t="inlineStr">
        <is>
          <t>Menéndez Pidal, Ramón, 1869-1968, editor.</t>
        </is>
      </c>
      <c r="L1776" t="inlineStr">
        <is>
          <t>Madrid : Espasa-Calpe, 1956 [v.1, pt.1, 1963-</t>
        </is>
      </c>
      <c r="M1776" t="inlineStr">
        <is>
          <t>1963</t>
        </is>
      </c>
      <c r="O1776" t="inlineStr">
        <is>
          <t>spa</t>
        </is>
      </c>
      <c r="P1776" t="inlineStr">
        <is>
          <t xml:space="preserve">xx </t>
        </is>
      </c>
      <c r="R1776" t="inlineStr">
        <is>
          <t xml:space="preserve">DP </t>
        </is>
      </c>
      <c r="S1776" t="n">
        <v>1</v>
      </c>
      <c r="T1776" t="n">
        <v>4</v>
      </c>
      <c r="V1776" t="inlineStr">
        <is>
          <t>2010-10-28</t>
        </is>
      </c>
      <c r="W1776" t="inlineStr">
        <is>
          <t>1996-08-01</t>
        </is>
      </c>
      <c r="X1776" t="inlineStr">
        <is>
          <t>1996-08-01</t>
        </is>
      </c>
      <c r="Y1776" t="n">
        <v>44</v>
      </c>
      <c r="Z1776" t="n">
        <v>34</v>
      </c>
      <c r="AA1776" t="n">
        <v>34</v>
      </c>
      <c r="AB1776" t="n">
        <v>1</v>
      </c>
      <c r="AC1776" t="n">
        <v>1</v>
      </c>
      <c r="AD1776" t="n">
        <v>1</v>
      </c>
      <c r="AE1776" t="n">
        <v>1</v>
      </c>
      <c r="AF1776" t="n">
        <v>0</v>
      </c>
      <c r="AG1776" t="n">
        <v>0</v>
      </c>
      <c r="AH1776" t="n">
        <v>0</v>
      </c>
      <c r="AI1776" t="n">
        <v>0</v>
      </c>
      <c r="AJ1776" t="n">
        <v>1</v>
      </c>
      <c r="AK1776" t="n">
        <v>1</v>
      </c>
      <c r="AL1776" t="n">
        <v>0</v>
      </c>
      <c r="AM1776" t="n">
        <v>0</v>
      </c>
      <c r="AN1776" t="n">
        <v>0</v>
      </c>
      <c r="AO1776" t="n">
        <v>0</v>
      </c>
      <c r="AP1776" t="inlineStr">
        <is>
          <t>No</t>
        </is>
      </c>
      <c r="AQ1776" t="inlineStr">
        <is>
          <t>Yes</t>
        </is>
      </c>
      <c r="AR1776">
        <f>HYPERLINK("http://catalog.hathitrust.org/Record/102123848","HathiTrust Record")</f>
        <v/>
      </c>
      <c r="AS1776">
        <f>HYPERLINK("https://creighton-primo.hosted.exlibrisgroup.com/primo-explore/search?tab=default_tab&amp;search_scope=EVERYTHING&amp;vid=01CRU&amp;lang=en_US&amp;offset=0&amp;query=any,contains,991002675009702656","Catalog Record")</f>
        <v/>
      </c>
      <c r="AT1776">
        <f>HYPERLINK("http://www.worldcat.org/oclc/396658","WorldCat Record")</f>
        <v/>
      </c>
      <c r="AU1776" t="inlineStr">
        <is>
          <t>8908465673:spa</t>
        </is>
      </c>
      <c r="AV1776" t="inlineStr">
        <is>
          <t>396658</t>
        </is>
      </c>
      <c r="AW1776" t="inlineStr">
        <is>
          <t>991002675009702656</t>
        </is>
      </c>
      <c r="AX1776" t="inlineStr">
        <is>
          <t>991002675009702656</t>
        </is>
      </c>
      <c r="AY1776" t="inlineStr">
        <is>
          <t>2261179070002656</t>
        </is>
      </c>
      <c r="AZ1776" t="inlineStr">
        <is>
          <t>BOOK</t>
        </is>
      </c>
      <c r="BC1776" t="inlineStr">
        <is>
          <t>32285002251709</t>
        </is>
      </c>
      <c r="BD1776" t="inlineStr">
        <is>
          <t>893597740</t>
        </is>
      </c>
    </row>
    <row r="1777">
      <c r="A1777" t="inlineStr">
        <is>
          <t>No</t>
        </is>
      </c>
      <c r="B1777" t="inlineStr">
        <is>
          <t>DP66 .M35 v...</t>
        </is>
      </c>
      <c r="C1777" t="inlineStr">
        <is>
          <t>0                      DP 0066000M  35                                                      v...</t>
        </is>
      </c>
      <c r="D1777" t="inlineStr">
        <is>
          <t>Historia de España.</t>
        </is>
      </c>
      <c r="E1777" t="inlineStr">
        <is>
          <t>V.34</t>
        </is>
      </c>
      <c r="F1777" t="inlineStr">
        <is>
          <t>Yes</t>
        </is>
      </c>
      <c r="G1777" t="inlineStr">
        <is>
          <t>1</t>
        </is>
      </c>
      <c r="H1777" t="inlineStr">
        <is>
          <t>No</t>
        </is>
      </c>
      <c r="I1777" t="inlineStr">
        <is>
          <t>No</t>
        </is>
      </c>
      <c r="J1777" t="inlineStr">
        <is>
          <t>0</t>
        </is>
      </c>
      <c r="K1777" t="inlineStr">
        <is>
          <t>Menéndez Pidal, Ramón, 1869-1968, editor.</t>
        </is>
      </c>
      <c r="L1777" t="inlineStr">
        <is>
          <t>Madrid : Espasa-Calpe, 1956 [v.1, pt.1, 1963-</t>
        </is>
      </c>
      <c r="M1777" t="inlineStr">
        <is>
          <t>1963</t>
        </is>
      </c>
      <c r="O1777" t="inlineStr">
        <is>
          <t>spa</t>
        </is>
      </c>
      <c r="P1777" t="inlineStr">
        <is>
          <t xml:space="preserve">xx </t>
        </is>
      </c>
      <c r="R1777" t="inlineStr">
        <is>
          <t xml:space="preserve">DP </t>
        </is>
      </c>
      <c r="S1777" t="n">
        <v>0</v>
      </c>
      <c r="T1777" t="n">
        <v>4</v>
      </c>
      <c r="V1777" t="inlineStr">
        <is>
          <t>2010-10-28</t>
        </is>
      </c>
      <c r="W1777" t="inlineStr">
        <is>
          <t>1996-08-01</t>
        </is>
      </c>
      <c r="X1777" t="inlineStr">
        <is>
          <t>1996-08-01</t>
        </is>
      </c>
      <c r="Y1777" t="n">
        <v>44</v>
      </c>
      <c r="Z1777" t="n">
        <v>34</v>
      </c>
      <c r="AA1777" t="n">
        <v>34</v>
      </c>
      <c r="AB1777" t="n">
        <v>1</v>
      </c>
      <c r="AC1777" t="n">
        <v>1</v>
      </c>
      <c r="AD1777" t="n">
        <v>1</v>
      </c>
      <c r="AE1777" t="n">
        <v>1</v>
      </c>
      <c r="AF1777" t="n">
        <v>0</v>
      </c>
      <c r="AG1777" t="n">
        <v>0</v>
      </c>
      <c r="AH1777" t="n">
        <v>0</v>
      </c>
      <c r="AI1777" t="n">
        <v>0</v>
      </c>
      <c r="AJ1777" t="n">
        <v>1</v>
      </c>
      <c r="AK1777" t="n">
        <v>1</v>
      </c>
      <c r="AL1777" t="n">
        <v>0</v>
      </c>
      <c r="AM1777" t="n">
        <v>0</v>
      </c>
      <c r="AN1777" t="n">
        <v>0</v>
      </c>
      <c r="AO1777" t="n">
        <v>0</v>
      </c>
      <c r="AP1777" t="inlineStr">
        <is>
          <t>No</t>
        </is>
      </c>
      <c r="AQ1777" t="inlineStr">
        <is>
          <t>Yes</t>
        </is>
      </c>
      <c r="AR1777">
        <f>HYPERLINK("http://catalog.hathitrust.org/Record/102123848","HathiTrust Record")</f>
        <v/>
      </c>
      <c r="AS1777">
        <f>HYPERLINK("https://creighton-primo.hosted.exlibrisgroup.com/primo-explore/search?tab=default_tab&amp;search_scope=EVERYTHING&amp;vid=01CRU&amp;lang=en_US&amp;offset=0&amp;query=any,contains,991002675009702656","Catalog Record")</f>
        <v/>
      </c>
      <c r="AT1777">
        <f>HYPERLINK("http://www.worldcat.org/oclc/396658","WorldCat Record")</f>
        <v/>
      </c>
      <c r="AU1777" t="inlineStr">
        <is>
          <t>8908465673:spa</t>
        </is>
      </c>
      <c r="AV1777" t="inlineStr">
        <is>
          <t>396658</t>
        </is>
      </c>
      <c r="AW1777" t="inlineStr">
        <is>
          <t>991002675009702656</t>
        </is>
      </c>
      <c r="AX1777" t="inlineStr">
        <is>
          <t>991002675009702656</t>
        </is>
      </c>
      <c r="AY1777" t="inlineStr">
        <is>
          <t>2261179070002656</t>
        </is>
      </c>
      <c r="AZ1777" t="inlineStr">
        <is>
          <t>BOOK</t>
        </is>
      </c>
      <c r="BC1777" t="inlineStr">
        <is>
          <t>32285002251725</t>
        </is>
      </c>
      <c r="BD1777" t="inlineStr">
        <is>
          <t>893627249</t>
        </is>
      </c>
    </row>
    <row r="1778">
      <c r="A1778" t="inlineStr">
        <is>
          <t>No</t>
        </is>
      </c>
      <c r="B1778" t="inlineStr">
        <is>
          <t>DP66 .M35 v...</t>
        </is>
      </c>
      <c r="C1778" t="inlineStr">
        <is>
          <t>0                      DP 0066000M  35                                                      v...</t>
        </is>
      </c>
      <c r="D1778" t="inlineStr">
        <is>
          <t>Historia de España.</t>
        </is>
      </c>
      <c r="E1778" t="inlineStr">
        <is>
          <t>V.2</t>
        </is>
      </c>
      <c r="F1778" t="inlineStr">
        <is>
          <t>Yes</t>
        </is>
      </c>
      <c r="G1778" t="inlineStr">
        <is>
          <t>1</t>
        </is>
      </c>
      <c r="H1778" t="inlineStr">
        <is>
          <t>No</t>
        </is>
      </c>
      <c r="I1778" t="inlineStr">
        <is>
          <t>No</t>
        </is>
      </c>
      <c r="J1778" t="inlineStr">
        <is>
          <t>0</t>
        </is>
      </c>
      <c r="K1778" t="inlineStr">
        <is>
          <t>Menéndez Pidal, Ramón, 1869-1968, editor.</t>
        </is>
      </c>
      <c r="L1778" t="inlineStr">
        <is>
          <t>Madrid : Espasa-Calpe, 1956 [v.1, pt.1, 1963-</t>
        </is>
      </c>
      <c r="M1778" t="inlineStr">
        <is>
          <t>1963</t>
        </is>
      </c>
      <c r="O1778" t="inlineStr">
        <is>
          <t>spa</t>
        </is>
      </c>
      <c r="P1778" t="inlineStr">
        <is>
          <t xml:space="preserve">xx </t>
        </is>
      </c>
      <c r="R1778" t="inlineStr">
        <is>
          <t xml:space="preserve">DP </t>
        </is>
      </c>
      <c r="S1778" t="n">
        <v>0</v>
      </c>
      <c r="T1778" t="n">
        <v>4</v>
      </c>
      <c r="V1778" t="inlineStr">
        <is>
          <t>2010-10-28</t>
        </is>
      </c>
      <c r="W1778" t="inlineStr">
        <is>
          <t>1996-08-01</t>
        </is>
      </c>
      <c r="X1778" t="inlineStr">
        <is>
          <t>1996-08-01</t>
        </is>
      </c>
      <c r="Y1778" t="n">
        <v>44</v>
      </c>
      <c r="Z1778" t="n">
        <v>34</v>
      </c>
      <c r="AA1778" t="n">
        <v>34</v>
      </c>
      <c r="AB1778" t="n">
        <v>1</v>
      </c>
      <c r="AC1778" t="n">
        <v>1</v>
      </c>
      <c r="AD1778" t="n">
        <v>1</v>
      </c>
      <c r="AE1778" t="n">
        <v>1</v>
      </c>
      <c r="AF1778" t="n">
        <v>0</v>
      </c>
      <c r="AG1778" t="n">
        <v>0</v>
      </c>
      <c r="AH1778" t="n">
        <v>0</v>
      </c>
      <c r="AI1778" t="n">
        <v>0</v>
      </c>
      <c r="AJ1778" t="n">
        <v>1</v>
      </c>
      <c r="AK1778" t="n">
        <v>1</v>
      </c>
      <c r="AL1778" t="n">
        <v>0</v>
      </c>
      <c r="AM1778" t="n">
        <v>0</v>
      </c>
      <c r="AN1778" t="n">
        <v>0</v>
      </c>
      <c r="AO1778" t="n">
        <v>0</v>
      </c>
      <c r="AP1778" t="inlineStr">
        <is>
          <t>No</t>
        </is>
      </c>
      <c r="AQ1778" t="inlineStr">
        <is>
          <t>Yes</t>
        </is>
      </c>
      <c r="AR1778">
        <f>HYPERLINK("http://catalog.hathitrust.org/Record/102123848","HathiTrust Record")</f>
        <v/>
      </c>
      <c r="AS1778">
        <f>HYPERLINK("https://creighton-primo.hosted.exlibrisgroup.com/primo-explore/search?tab=default_tab&amp;search_scope=EVERYTHING&amp;vid=01CRU&amp;lang=en_US&amp;offset=0&amp;query=any,contains,991002675009702656","Catalog Record")</f>
        <v/>
      </c>
      <c r="AT1778">
        <f>HYPERLINK("http://www.worldcat.org/oclc/396658","WorldCat Record")</f>
        <v/>
      </c>
      <c r="AU1778" t="inlineStr">
        <is>
          <t>8908465673:spa</t>
        </is>
      </c>
      <c r="AV1778" t="inlineStr">
        <is>
          <t>396658</t>
        </is>
      </c>
      <c r="AW1778" t="inlineStr">
        <is>
          <t>991002675009702656</t>
        </is>
      </c>
      <c r="AX1778" t="inlineStr">
        <is>
          <t>991002675009702656</t>
        </is>
      </c>
      <c r="AY1778" t="inlineStr">
        <is>
          <t>2261179070002656</t>
        </is>
      </c>
      <c r="AZ1778" t="inlineStr">
        <is>
          <t>BOOK</t>
        </is>
      </c>
      <c r="BC1778" t="inlineStr">
        <is>
          <t>32285002251634</t>
        </is>
      </c>
      <c r="BD1778" t="inlineStr">
        <is>
          <t>893616417</t>
        </is>
      </c>
    </row>
    <row r="1779">
      <c r="A1779" t="inlineStr">
        <is>
          <t>No</t>
        </is>
      </c>
      <c r="B1779" t="inlineStr">
        <is>
          <t>DP66 .M35 v...</t>
        </is>
      </c>
      <c r="C1779" t="inlineStr">
        <is>
          <t>0                      DP 0066000M  35                                                      v...</t>
        </is>
      </c>
      <c r="D1779" t="inlineStr">
        <is>
          <t>Historia de España.</t>
        </is>
      </c>
      <c r="E1779" t="inlineStr">
        <is>
          <t>V.26</t>
        </is>
      </c>
      <c r="F1779" t="inlineStr">
        <is>
          <t>Yes</t>
        </is>
      </c>
      <c r="G1779" t="inlineStr">
        <is>
          <t>1</t>
        </is>
      </c>
      <c r="H1779" t="inlineStr">
        <is>
          <t>No</t>
        </is>
      </c>
      <c r="I1779" t="inlineStr">
        <is>
          <t>No</t>
        </is>
      </c>
      <c r="J1779" t="inlineStr">
        <is>
          <t>0</t>
        </is>
      </c>
      <c r="K1779" t="inlineStr">
        <is>
          <t>Menéndez Pidal, Ramón, 1869-1968, editor.</t>
        </is>
      </c>
      <c r="L1779" t="inlineStr">
        <is>
          <t>Madrid : Espasa-Calpe, 1956 [v.1, pt.1, 1963-</t>
        </is>
      </c>
      <c r="M1779" t="inlineStr">
        <is>
          <t>1963</t>
        </is>
      </c>
      <c r="O1779" t="inlineStr">
        <is>
          <t>spa</t>
        </is>
      </c>
      <c r="P1779" t="inlineStr">
        <is>
          <t xml:space="preserve">xx </t>
        </is>
      </c>
      <c r="R1779" t="inlineStr">
        <is>
          <t xml:space="preserve">DP </t>
        </is>
      </c>
      <c r="S1779" t="n">
        <v>0</v>
      </c>
      <c r="T1779" t="n">
        <v>4</v>
      </c>
      <c r="V1779" t="inlineStr">
        <is>
          <t>2010-10-28</t>
        </is>
      </c>
      <c r="W1779" t="inlineStr">
        <is>
          <t>1996-08-01</t>
        </is>
      </c>
      <c r="X1779" t="inlineStr">
        <is>
          <t>1996-08-01</t>
        </is>
      </c>
      <c r="Y1779" t="n">
        <v>44</v>
      </c>
      <c r="Z1779" t="n">
        <v>34</v>
      </c>
      <c r="AA1779" t="n">
        <v>34</v>
      </c>
      <c r="AB1779" t="n">
        <v>1</v>
      </c>
      <c r="AC1779" t="n">
        <v>1</v>
      </c>
      <c r="AD1779" t="n">
        <v>1</v>
      </c>
      <c r="AE1779" t="n">
        <v>1</v>
      </c>
      <c r="AF1779" t="n">
        <v>0</v>
      </c>
      <c r="AG1779" t="n">
        <v>0</v>
      </c>
      <c r="AH1779" t="n">
        <v>0</v>
      </c>
      <c r="AI1779" t="n">
        <v>0</v>
      </c>
      <c r="AJ1779" t="n">
        <v>1</v>
      </c>
      <c r="AK1779" t="n">
        <v>1</v>
      </c>
      <c r="AL1779" t="n">
        <v>0</v>
      </c>
      <c r="AM1779" t="n">
        <v>0</v>
      </c>
      <c r="AN1779" t="n">
        <v>0</v>
      </c>
      <c r="AO1779" t="n">
        <v>0</v>
      </c>
      <c r="AP1779" t="inlineStr">
        <is>
          <t>No</t>
        </is>
      </c>
      <c r="AQ1779" t="inlineStr">
        <is>
          <t>Yes</t>
        </is>
      </c>
      <c r="AR1779">
        <f>HYPERLINK("http://catalog.hathitrust.org/Record/102123848","HathiTrust Record")</f>
        <v/>
      </c>
      <c r="AS1779">
        <f>HYPERLINK("https://creighton-primo.hosted.exlibrisgroup.com/primo-explore/search?tab=default_tab&amp;search_scope=EVERYTHING&amp;vid=01CRU&amp;lang=en_US&amp;offset=0&amp;query=any,contains,991002675009702656","Catalog Record")</f>
        <v/>
      </c>
      <c r="AT1779">
        <f>HYPERLINK("http://www.worldcat.org/oclc/396658","WorldCat Record")</f>
        <v/>
      </c>
      <c r="AU1779" t="inlineStr">
        <is>
          <t>8908465673:spa</t>
        </is>
      </c>
      <c r="AV1779" t="inlineStr">
        <is>
          <t>396658</t>
        </is>
      </c>
      <c r="AW1779" t="inlineStr">
        <is>
          <t>991002675009702656</t>
        </is>
      </c>
      <c r="AX1779" t="inlineStr">
        <is>
          <t>991002675009702656</t>
        </is>
      </c>
      <c r="AY1779" t="inlineStr">
        <is>
          <t>2261179070002656</t>
        </is>
      </c>
      <c r="AZ1779" t="inlineStr">
        <is>
          <t>BOOK</t>
        </is>
      </c>
      <c r="BC1779" t="inlineStr">
        <is>
          <t>32285002251717</t>
        </is>
      </c>
      <c r="BD1779" t="inlineStr">
        <is>
          <t>893610128</t>
        </is>
      </c>
    </row>
    <row r="1780">
      <c r="A1780" t="inlineStr">
        <is>
          <t>No</t>
        </is>
      </c>
      <c r="B1780" t="inlineStr">
        <is>
          <t>DP66 .M35 v...</t>
        </is>
      </c>
      <c r="C1780" t="inlineStr">
        <is>
          <t>0                      DP 0066000M  35                                                      v...</t>
        </is>
      </c>
      <c r="D1780" t="inlineStr">
        <is>
          <t>Historia de España.</t>
        </is>
      </c>
      <c r="E1780" t="inlineStr">
        <is>
          <t>V.6</t>
        </is>
      </c>
      <c r="F1780" t="inlineStr">
        <is>
          <t>Yes</t>
        </is>
      </c>
      <c r="G1780" t="inlineStr">
        <is>
          <t>1</t>
        </is>
      </c>
      <c r="H1780" t="inlineStr">
        <is>
          <t>No</t>
        </is>
      </c>
      <c r="I1780" t="inlineStr">
        <is>
          <t>No</t>
        </is>
      </c>
      <c r="J1780" t="inlineStr">
        <is>
          <t>0</t>
        </is>
      </c>
      <c r="K1780" t="inlineStr">
        <is>
          <t>Menéndez Pidal, Ramón, 1869-1968, editor.</t>
        </is>
      </c>
      <c r="L1780" t="inlineStr">
        <is>
          <t>Madrid : Espasa-Calpe, 1956 [v.1, pt.1, 1963-</t>
        </is>
      </c>
      <c r="M1780" t="inlineStr">
        <is>
          <t>1963</t>
        </is>
      </c>
      <c r="O1780" t="inlineStr">
        <is>
          <t>spa</t>
        </is>
      </c>
      <c r="P1780" t="inlineStr">
        <is>
          <t xml:space="preserve">xx </t>
        </is>
      </c>
      <c r="R1780" t="inlineStr">
        <is>
          <t xml:space="preserve">DP </t>
        </is>
      </c>
      <c r="S1780" t="n">
        <v>3</v>
      </c>
      <c r="T1780" t="n">
        <v>4</v>
      </c>
      <c r="U1780" t="inlineStr">
        <is>
          <t>2010-10-28</t>
        </is>
      </c>
      <c r="V1780" t="inlineStr">
        <is>
          <t>2010-10-28</t>
        </is>
      </c>
      <c r="W1780" t="inlineStr">
        <is>
          <t>1996-08-01</t>
        </is>
      </c>
      <c r="X1780" t="inlineStr">
        <is>
          <t>1996-08-01</t>
        </is>
      </c>
      <c r="Y1780" t="n">
        <v>44</v>
      </c>
      <c r="Z1780" t="n">
        <v>34</v>
      </c>
      <c r="AA1780" t="n">
        <v>34</v>
      </c>
      <c r="AB1780" t="n">
        <v>1</v>
      </c>
      <c r="AC1780" t="n">
        <v>1</v>
      </c>
      <c r="AD1780" t="n">
        <v>1</v>
      </c>
      <c r="AE1780" t="n">
        <v>1</v>
      </c>
      <c r="AF1780" t="n">
        <v>0</v>
      </c>
      <c r="AG1780" t="n">
        <v>0</v>
      </c>
      <c r="AH1780" t="n">
        <v>0</v>
      </c>
      <c r="AI1780" t="n">
        <v>0</v>
      </c>
      <c r="AJ1780" t="n">
        <v>1</v>
      </c>
      <c r="AK1780" t="n">
        <v>1</v>
      </c>
      <c r="AL1780" t="n">
        <v>0</v>
      </c>
      <c r="AM1780" t="n">
        <v>0</v>
      </c>
      <c r="AN1780" t="n">
        <v>0</v>
      </c>
      <c r="AO1780" t="n">
        <v>0</v>
      </c>
      <c r="AP1780" t="inlineStr">
        <is>
          <t>No</t>
        </is>
      </c>
      <c r="AQ1780" t="inlineStr">
        <is>
          <t>Yes</t>
        </is>
      </c>
      <c r="AR1780">
        <f>HYPERLINK("http://catalog.hathitrust.org/Record/102123848","HathiTrust Record")</f>
        <v/>
      </c>
      <c r="AS1780">
        <f>HYPERLINK("https://creighton-primo.hosted.exlibrisgroup.com/primo-explore/search?tab=default_tab&amp;search_scope=EVERYTHING&amp;vid=01CRU&amp;lang=en_US&amp;offset=0&amp;query=any,contains,991002675009702656","Catalog Record")</f>
        <v/>
      </c>
      <c r="AT1780">
        <f>HYPERLINK("http://www.worldcat.org/oclc/396658","WorldCat Record")</f>
        <v/>
      </c>
      <c r="AU1780" t="inlineStr">
        <is>
          <t>8908465673:spa</t>
        </is>
      </c>
      <c r="AV1780" t="inlineStr">
        <is>
          <t>396658</t>
        </is>
      </c>
      <c r="AW1780" t="inlineStr">
        <is>
          <t>991002675009702656</t>
        </is>
      </c>
      <c r="AX1780" t="inlineStr">
        <is>
          <t>991002675009702656</t>
        </is>
      </c>
      <c r="AY1780" t="inlineStr">
        <is>
          <t>2261179070002656</t>
        </is>
      </c>
      <c r="AZ1780" t="inlineStr">
        <is>
          <t>BOOK</t>
        </is>
      </c>
      <c r="BC1780" t="inlineStr">
        <is>
          <t>32285002251675</t>
        </is>
      </c>
      <c r="BD1780" t="inlineStr">
        <is>
          <t>893603862</t>
        </is>
      </c>
    </row>
    <row r="1781">
      <c r="A1781" t="inlineStr">
        <is>
          <t>No</t>
        </is>
      </c>
      <c r="B1781" t="inlineStr">
        <is>
          <t>DP66 .P4 1938</t>
        </is>
      </c>
      <c r="C1781" t="inlineStr">
        <is>
          <t>0                      DP 0066000P  4           1938</t>
        </is>
      </c>
      <c r="D1781" t="inlineStr">
        <is>
          <t>Spain : a companion to Spanish studies / edited by E. Allison Peers ... with three maps.</t>
        </is>
      </c>
      <c r="F1781" t="inlineStr">
        <is>
          <t>No</t>
        </is>
      </c>
      <c r="G1781" t="inlineStr">
        <is>
          <t>1</t>
        </is>
      </c>
      <c r="H1781" t="inlineStr">
        <is>
          <t>No</t>
        </is>
      </c>
      <c r="I1781" t="inlineStr">
        <is>
          <t>No</t>
        </is>
      </c>
      <c r="J1781" t="inlineStr">
        <is>
          <t>0</t>
        </is>
      </c>
      <c r="K1781" t="inlineStr">
        <is>
          <t>Peers, E. Allison (Edgar Allison), 1891-1952 editor.</t>
        </is>
      </c>
      <c r="L1781" t="inlineStr">
        <is>
          <t>London : Methuen &amp; co., ltd., [1938]</t>
        </is>
      </c>
      <c r="M1781" t="inlineStr">
        <is>
          <t>1938</t>
        </is>
      </c>
      <c r="N1781" t="inlineStr">
        <is>
          <t>3d ed.</t>
        </is>
      </c>
      <c r="O1781" t="inlineStr">
        <is>
          <t>eng</t>
        </is>
      </c>
      <c r="P1781" t="inlineStr">
        <is>
          <t>enk</t>
        </is>
      </c>
      <c r="R1781" t="inlineStr">
        <is>
          <t xml:space="preserve">DP </t>
        </is>
      </c>
      <c r="S1781" t="n">
        <v>1</v>
      </c>
      <c r="T1781" t="n">
        <v>1</v>
      </c>
      <c r="U1781" t="inlineStr">
        <is>
          <t>2001-09-30</t>
        </is>
      </c>
      <c r="V1781" t="inlineStr">
        <is>
          <t>2001-09-30</t>
        </is>
      </c>
      <c r="W1781" t="inlineStr">
        <is>
          <t>1994-03-11</t>
        </is>
      </c>
      <c r="X1781" t="inlineStr">
        <is>
          <t>1994-03-11</t>
        </is>
      </c>
      <c r="Y1781" t="n">
        <v>52</v>
      </c>
      <c r="Z1781" t="n">
        <v>41</v>
      </c>
      <c r="AA1781" t="n">
        <v>732</v>
      </c>
      <c r="AB1781" t="n">
        <v>1</v>
      </c>
      <c r="AC1781" t="n">
        <v>6</v>
      </c>
      <c r="AD1781" t="n">
        <v>3</v>
      </c>
      <c r="AE1781" t="n">
        <v>43</v>
      </c>
      <c r="AF1781" t="n">
        <v>0</v>
      </c>
      <c r="AG1781" t="n">
        <v>18</v>
      </c>
      <c r="AH1781" t="n">
        <v>0</v>
      </c>
      <c r="AI1781" t="n">
        <v>10</v>
      </c>
      <c r="AJ1781" t="n">
        <v>3</v>
      </c>
      <c r="AK1781" t="n">
        <v>22</v>
      </c>
      <c r="AL1781" t="n">
        <v>0</v>
      </c>
      <c r="AM1781" t="n">
        <v>5</v>
      </c>
      <c r="AN1781" t="n">
        <v>0</v>
      </c>
      <c r="AO1781" t="n">
        <v>0</v>
      </c>
      <c r="AP1781" t="inlineStr">
        <is>
          <t>No</t>
        </is>
      </c>
      <c r="AQ1781" t="inlineStr">
        <is>
          <t>No</t>
        </is>
      </c>
      <c r="AS1781">
        <f>HYPERLINK("https://creighton-primo.hosted.exlibrisgroup.com/primo-explore/search?tab=default_tab&amp;search_scope=EVERYTHING&amp;vid=01CRU&amp;lang=en_US&amp;offset=0&amp;query=any,contains,991004495969702656","Catalog Record")</f>
        <v/>
      </c>
      <c r="AT1781">
        <f>HYPERLINK("http://www.worldcat.org/oclc/3696983","WorldCat Record")</f>
        <v/>
      </c>
      <c r="AU1781" t="inlineStr">
        <is>
          <t>3768779126:eng</t>
        </is>
      </c>
      <c r="AV1781" t="inlineStr">
        <is>
          <t>3696983</t>
        </is>
      </c>
      <c r="AW1781" t="inlineStr">
        <is>
          <t>991004495969702656</t>
        </is>
      </c>
      <c r="AX1781" t="inlineStr">
        <is>
          <t>991004495969702656</t>
        </is>
      </c>
      <c r="AY1781" t="inlineStr">
        <is>
          <t>2263768090002656</t>
        </is>
      </c>
      <c r="AZ1781" t="inlineStr">
        <is>
          <t>BOOK</t>
        </is>
      </c>
      <c r="BC1781" t="inlineStr">
        <is>
          <t>32285001851087</t>
        </is>
      </c>
      <c r="BD1781" t="inlineStr">
        <is>
          <t>893628189</t>
        </is>
      </c>
    </row>
    <row r="1782">
      <c r="A1782" t="inlineStr">
        <is>
          <t>No</t>
        </is>
      </c>
      <c r="B1782" t="inlineStr">
        <is>
          <t>DP66 .S83 2006</t>
        </is>
      </c>
      <c r="C1782" t="inlineStr">
        <is>
          <t>0                      DP 0066000S  83          2006</t>
        </is>
      </c>
      <c r="D1782" t="inlineStr">
        <is>
          <t>Breve historia de los españoles / Luis Suárez, José Luis Comellas.</t>
        </is>
      </c>
      <c r="F1782" t="inlineStr">
        <is>
          <t>No</t>
        </is>
      </c>
      <c r="G1782" t="inlineStr">
        <is>
          <t>1</t>
        </is>
      </c>
      <c r="H1782" t="inlineStr">
        <is>
          <t>No</t>
        </is>
      </c>
      <c r="I1782" t="inlineStr">
        <is>
          <t>No</t>
        </is>
      </c>
      <c r="J1782" t="inlineStr">
        <is>
          <t>0</t>
        </is>
      </c>
      <c r="K1782" t="inlineStr">
        <is>
          <t>Suárez Fernández, Luis.</t>
        </is>
      </c>
      <c r="L1782" t="inlineStr">
        <is>
          <t>Barcelona : Editorial Ariel, 2006.</t>
        </is>
      </c>
      <c r="M1782" t="inlineStr">
        <is>
          <t>2006</t>
        </is>
      </c>
      <c r="N1782" t="inlineStr">
        <is>
          <t>1a. ed. en esta presentación.</t>
        </is>
      </c>
      <c r="O1782" t="inlineStr">
        <is>
          <t>spa</t>
        </is>
      </c>
      <c r="P1782" t="inlineStr">
        <is>
          <t xml:space="preserve">sp </t>
        </is>
      </c>
      <c r="R1782" t="inlineStr">
        <is>
          <t xml:space="preserve">DP </t>
        </is>
      </c>
      <c r="S1782" t="n">
        <v>4</v>
      </c>
      <c r="T1782" t="n">
        <v>4</v>
      </c>
      <c r="U1782" t="inlineStr">
        <is>
          <t>2009-03-06</t>
        </is>
      </c>
      <c r="V1782" t="inlineStr">
        <is>
          <t>2009-03-06</t>
        </is>
      </c>
      <c r="W1782" t="inlineStr">
        <is>
          <t>2008-01-17</t>
        </is>
      </c>
      <c r="X1782" t="inlineStr">
        <is>
          <t>2008-01-17</t>
        </is>
      </c>
      <c r="Y1782" t="n">
        <v>11</v>
      </c>
      <c r="Z1782" t="n">
        <v>7</v>
      </c>
      <c r="AA1782" t="n">
        <v>9</v>
      </c>
      <c r="AB1782" t="n">
        <v>1</v>
      </c>
      <c r="AC1782" t="n">
        <v>1</v>
      </c>
      <c r="AD1782" t="n">
        <v>0</v>
      </c>
      <c r="AE1782" t="n">
        <v>0</v>
      </c>
      <c r="AF1782" t="n">
        <v>0</v>
      </c>
      <c r="AG1782" t="n">
        <v>0</v>
      </c>
      <c r="AH1782" t="n">
        <v>0</v>
      </c>
      <c r="AI1782" t="n">
        <v>0</v>
      </c>
      <c r="AJ1782" t="n">
        <v>0</v>
      </c>
      <c r="AK1782" t="n">
        <v>0</v>
      </c>
      <c r="AL1782" t="n">
        <v>0</v>
      </c>
      <c r="AM1782" t="n">
        <v>0</v>
      </c>
      <c r="AN1782" t="n">
        <v>0</v>
      </c>
      <c r="AO1782" t="n">
        <v>0</v>
      </c>
      <c r="AP1782" t="inlineStr">
        <is>
          <t>No</t>
        </is>
      </c>
      <c r="AQ1782" t="inlineStr">
        <is>
          <t>No</t>
        </is>
      </c>
      <c r="AS1782">
        <f>HYPERLINK("https://creighton-primo.hosted.exlibrisgroup.com/primo-explore/search?tab=default_tab&amp;search_scope=EVERYTHING&amp;vid=01CRU&amp;lang=en_US&amp;offset=0&amp;query=any,contains,991005173589702656","Catalog Record")</f>
        <v/>
      </c>
      <c r="AT1782">
        <f>HYPERLINK("http://www.worldcat.org/oclc/179091221","WorldCat Record")</f>
        <v/>
      </c>
      <c r="AU1782" t="inlineStr">
        <is>
          <t>3855915315:spa</t>
        </is>
      </c>
      <c r="AV1782" t="inlineStr">
        <is>
          <t>179091221</t>
        </is>
      </c>
      <c r="AW1782" t="inlineStr">
        <is>
          <t>991005173589702656</t>
        </is>
      </c>
      <c r="AX1782" t="inlineStr">
        <is>
          <t>991005173589702656</t>
        </is>
      </c>
      <c r="AY1782" t="inlineStr">
        <is>
          <t>2269597020002656</t>
        </is>
      </c>
      <c r="AZ1782" t="inlineStr">
        <is>
          <t>BOOK</t>
        </is>
      </c>
      <c r="BB1782" t="inlineStr">
        <is>
          <t>9788434444942</t>
        </is>
      </c>
      <c r="BC1782" t="inlineStr">
        <is>
          <t>32285005378798</t>
        </is>
      </c>
      <c r="BD1782" t="inlineStr">
        <is>
          <t>893260667</t>
        </is>
      </c>
    </row>
    <row r="1783">
      <c r="A1783" t="inlineStr">
        <is>
          <t>No</t>
        </is>
      </c>
      <c r="B1783" t="inlineStr">
        <is>
          <t>DP68 .C4</t>
        </is>
      </c>
      <c r="C1783" t="inlineStr">
        <is>
          <t>0                      DP 0068000C  4</t>
        </is>
      </c>
      <c r="D1783" t="inlineStr">
        <is>
          <t>A history of Spain : founded on the Historia de España y de la civilización española of Rafael Altamira / by Charles E. Chapman.</t>
        </is>
      </c>
      <c r="F1783" t="inlineStr">
        <is>
          <t>No</t>
        </is>
      </c>
      <c r="G1783" t="inlineStr">
        <is>
          <t>1</t>
        </is>
      </c>
      <c r="H1783" t="inlineStr">
        <is>
          <t>No</t>
        </is>
      </c>
      <c r="I1783" t="inlineStr">
        <is>
          <t>No</t>
        </is>
      </c>
      <c r="J1783" t="inlineStr">
        <is>
          <t>0</t>
        </is>
      </c>
      <c r="K1783" t="inlineStr">
        <is>
          <t>Chapman, Charles E. (Charles Edward), 1880-1941.</t>
        </is>
      </c>
      <c r="L1783" t="inlineStr">
        <is>
          <t>New York : The Macmillan Company, 1918.</t>
        </is>
      </c>
      <c r="M1783" t="inlineStr">
        <is>
          <t>1918</t>
        </is>
      </c>
      <c r="O1783" t="inlineStr">
        <is>
          <t>eng</t>
        </is>
      </c>
      <c r="P1783" t="inlineStr">
        <is>
          <t>nyu</t>
        </is>
      </c>
      <c r="R1783" t="inlineStr">
        <is>
          <t xml:space="preserve">DP </t>
        </is>
      </c>
      <c r="S1783" t="n">
        <v>3</v>
      </c>
      <c r="T1783" t="n">
        <v>3</v>
      </c>
      <c r="U1783" t="inlineStr">
        <is>
          <t>2004-03-24</t>
        </is>
      </c>
      <c r="V1783" t="inlineStr">
        <is>
          <t>2004-03-24</t>
        </is>
      </c>
      <c r="W1783" t="inlineStr">
        <is>
          <t>1994-03-02</t>
        </is>
      </c>
      <c r="X1783" t="inlineStr">
        <is>
          <t>1994-03-02</t>
        </is>
      </c>
      <c r="Y1783" t="n">
        <v>536</v>
      </c>
      <c r="Z1783" t="n">
        <v>496</v>
      </c>
      <c r="AA1783" t="n">
        <v>766</v>
      </c>
      <c r="AB1783" t="n">
        <v>4</v>
      </c>
      <c r="AC1783" t="n">
        <v>8</v>
      </c>
      <c r="AD1783" t="n">
        <v>23</v>
      </c>
      <c r="AE1783" t="n">
        <v>34</v>
      </c>
      <c r="AF1783" t="n">
        <v>10</v>
      </c>
      <c r="AG1783" t="n">
        <v>14</v>
      </c>
      <c r="AH1783" t="n">
        <v>7</v>
      </c>
      <c r="AI1783" t="n">
        <v>8</v>
      </c>
      <c r="AJ1783" t="n">
        <v>8</v>
      </c>
      <c r="AK1783" t="n">
        <v>13</v>
      </c>
      <c r="AL1783" t="n">
        <v>3</v>
      </c>
      <c r="AM1783" t="n">
        <v>6</v>
      </c>
      <c r="AN1783" t="n">
        <v>0</v>
      </c>
      <c r="AO1783" t="n">
        <v>0</v>
      </c>
      <c r="AP1783" t="inlineStr">
        <is>
          <t>Yes</t>
        </is>
      </c>
      <c r="AQ1783" t="inlineStr">
        <is>
          <t>No</t>
        </is>
      </c>
      <c r="AR1783">
        <f>HYPERLINK("http://catalog.hathitrust.org/Record/001236429","HathiTrust Record")</f>
        <v/>
      </c>
      <c r="AS1783">
        <f>HYPERLINK("https://creighton-primo.hosted.exlibrisgroup.com/primo-explore/search?tab=default_tab&amp;search_scope=EVERYTHING&amp;vid=01CRU&amp;lang=en_US&amp;offset=0&amp;query=any,contains,991003302359702656","Catalog Record")</f>
        <v/>
      </c>
      <c r="AT1783">
        <f>HYPERLINK("http://www.worldcat.org/oclc/825438","WorldCat Record")</f>
        <v/>
      </c>
      <c r="AU1783" t="inlineStr">
        <is>
          <t>388731593:eng</t>
        </is>
      </c>
      <c r="AV1783" t="inlineStr">
        <is>
          <t>825438</t>
        </is>
      </c>
      <c r="AW1783" t="inlineStr">
        <is>
          <t>991003302359702656</t>
        </is>
      </c>
      <c r="AX1783" t="inlineStr">
        <is>
          <t>991003302359702656</t>
        </is>
      </c>
      <c r="AY1783" t="inlineStr">
        <is>
          <t>2270490030002656</t>
        </is>
      </c>
      <c r="AZ1783" t="inlineStr">
        <is>
          <t>BOOK</t>
        </is>
      </c>
      <c r="BC1783" t="inlineStr">
        <is>
          <t>32285001855294</t>
        </is>
      </c>
      <c r="BD1783" t="inlineStr">
        <is>
          <t>893262698</t>
        </is>
      </c>
    </row>
    <row r="1784">
      <c r="A1784" t="inlineStr">
        <is>
          <t>No</t>
        </is>
      </c>
      <c r="B1784" t="inlineStr">
        <is>
          <t>DP680 .B76 1975</t>
        </is>
      </c>
      <c r="C1784" t="inlineStr">
        <is>
          <t>0                      DP 0680000B  76          1975</t>
        </is>
      </c>
      <c r="D1784" t="inlineStr">
        <is>
          <t>Portugal, the last empire / Neil Bruce.</t>
        </is>
      </c>
      <c r="F1784" t="inlineStr">
        <is>
          <t>No</t>
        </is>
      </c>
      <c r="G1784" t="inlineStr">
        <is>
          <t>1</t>
        </is>
      </c>
      <c r="H1784" t="inlineStr">
        <is>
          <t>No</t>
        </is>
      </c>
      <c r="I1784" t="inlineStr">
        <is>
          <t>No</t>
        </is>
      </c>
      <c r="J1784" t="inlineStr">
        <is>
          <t>0</t>
        </is>
      </c>
      <c r="K1784" t="inlineStr">
        <is>
          <t>Bruce, Neil F.</t>
        </is>
      </c>
      <c r="L1784" t="inlineStr">
        <is>
          <t>New York : Wiley, [1975]</t>
        </is>
      </c>
      <c r="M1784" t="inlineStr">
        <is>
          <t>1975</t>
        </is>
      </c>
      <c r="O1784" t="inlineStr">
        <is>
          <t>eng</t>
        </is>
      </c>
      <c r="P1784" t="inlineStr">
        <is>
          <t>nyu</t>
        </is>
      </c>
      <c r="R1784" t="inlineStr">
        <is>
          <t xml:space="preserve">DP </t>
        </is>
      </c>
      <c r="S1784" t="n">
        <v>1</v>
      </c>
      <c r="T1784" t="n">
        <v>1</v>
      </c>
      <c r="U1784" t="inlineStr">
        <is>
          <t>2007-03-22</t>
        </is>
      </c>
      <c r="V1784" t="inlineStr">
        <is>
          <t>2007-03-22</t>
        </is>
      </c>
      <c r="W1784" t="inlineStr">
        <is>
          <t>1997-02-14</t>
        </is>
      </c>
      <c r="X1784" t="inlineStr">
        <is>
          <t>1997-02-14</t>
        </is>
      </c>
      <c r="Y1784" t="n">
        <v>326</v>
      </c>
      <c r="Z1784" t="n">
        <v>307</v>
      </c>
      <c r="AA1784" t="n">
        <v>372</v>
      </c>
      <c r="AB1784" t="n">
        <v>3</v>
      </c>
      <c r="AC1784" t="n">
        <v>4</v>
      </c>
      <c r="AD1784" t="n">
        <v>13</v>
      </c>
      <c r="AE1784" t="n">
        <v>16</v>
      </c>
      <c r="AF1784" t="n">
        <v>2</v>
      </c>
      <c r="AG1784" t="n">
        <v>2</v>
      </c>
      <c r="AH1784" t="n">
        <v>4</v>
      </c>
      <c r="AI1784" t="n">
        <v>5</v>
      </c>
      <c r="AJ1784" t="n">
        <v>7</v>
      </c>
      <c r="AK1784" t="n">
        <v>8</v>
      </c>
      <c r="AL1784" t="n">
        <v>2</v>
      </c>
      <c r="AM1784" t="n">
        <v>3</v>
      </c>
      <c r="AN1784" t="n">
        <v>0</v>
      </c>
      <c r="AO1784" t="n">
        <v>0</v>
      </c>
      <c r="AP1784" t="inlineStr">
        <is>
          <t>No</t>
        </is>
      </c>
      <c r="AQ1784" t="inlineStr">
        <is>
          <t>No</t>
        </is>
      </c>
      <c r="AS1784">
        <f>HYPERLINK("https://creighton-primo.hosted.exlibrisgroup.com/primo-explore/search?tab=default_tab&amp;search_scope=EVERYTHING&amp;vid=01CRU&amp;lang=en_US&amp;offset=0&amp;query=any,contains,991003592899702656","Catalog Record")</f>
        <v/>
      </c>
      <c r="AT1784">
        <f>HYPERLINK("http://www.worldcat.org/oclc/1175285","WorldCat Record")</f>
        <v/>
      </c>
      <c r="AU1784" t="inlineStr">
        <is>
          <t>191714285:eng</t>
        </is>
      </c>
      <c r="AV1784" t="inlineStr">
        <is>
          <t>1175285</t>
        </is>
      </c>
      <c r="AW1784" t="inlineStr">
        <is>
          <t>991003592899702656</t>
        </is>
      </c>
      <c r="AX1784" t="inlineStr">
        <is>
          <t>991003592899702656</t>
        </is>
      </c>
      <c r="AY1784" t="inlineStr">
        <is>
          <t>2271906830002656</t>
        </is>
      </c>
      <c r="AZ1784" t="inlineStr">
        <is>
          <t>BOOK</t>
        </is>
      </c>
      <c r="BB1784" t="inlineStr">
        <is>
          <t>9780470113660</t>
        </is>
      </c>
      <c r="BC1784" t="inlineStr">
        <is>
          <t>32285002465168</t>
        </is>
      </c>
      <c r="BD1784" t="inlineStr">
        <is>
          <t>893348875</t>
        </is>
      </c>
    </row>
    <row r="1785">
      <c r="A1785" t="inlineStr">
        <is>
          <t>No</t>
        </is>
      </c>
      <c r="B1785" t="inlineStr">
        <is>
          <t>DP680 .R25 1988</t>
        </is>
      </c>
      <c r="C1785" t="inlineStr">
        <is>
          <t>0                      DP 0680000R  25          1988</t>
        </is>
      </c>
      <c r="D1785" t="inlineStr">
        <is>
          <t>Fascism and resistance in Portugal : communists, liberals, and military dissidents in the opposition to Salazar, 1941-1974 / D.L. Raby.</t>
        </is>
      </c>
      <c r="F1785" t="inlineStr">
        <is>
          <t>No</t>
        </is>
      </c>
      <c r="G1785" t="inlineStr">
        <is>
          <t>1</t>
        </is>
      </c>
      <c r="H1785" t="inlineStr">
        <is>
          <t>No</t>
        </is>
      </c>
      <c r="I1785" t="inlineStr">
        <is>
          <t>No</t>
        </is>
      </c>
      <c r="J1785" t="inlineStr">
        <is>
          <t>0</t>
        </is>
      </c>
      <c r="K1785" t="inlineStr">
        <is>
          <t>Raby, David L.</t>
        </is>
      </c>
      <c r="L1785" t="inlineStr">
        <is>
          <t>Manchester [England] ; New York : Manchester University Press ; New York, NY : Distributed in the USA and Canada by St. Martin's Press, c1988.</t>
        </is>
      </c>
      <c r="M1785" t="inlineStr">
        <is>
          <t>1988</t>
        </is>
      </c>
      <c r="O1785" t="inlineStr">
        <is>
          <t>eng</t>
        </is>
      </c>
      <c r="P1785" t="inlineStr">
        <is>
          <t>enk</t>
        </is>
      </c>
      <c r="R1785" t="inlineStr">
        <is>
          <t xml:space="preserve">DP </t>
        </is>
      </c>
      <c r="S1785" t="n">
        <v>2</v>
      </c>
      <c r="T1785" t="n">
        <v>2</v>
      </c>
      <c r="U1785" t="inlineStr">
        <is>
          <t>1994-11-30</t>
        </is>
      </c>
      <c r="V1785" t="inlineStr">
        <is>
          <t>1994-11-30</t>
        </is>
      </c>
      <c r="W1785" t="inlineStr">
        <is>
          <t>1991-12-15</t>
        </is>
      </c>
      <c r="X1785" t="inlineStr">
        <is>
          <t>1991-12-15</t>
        </is>
      </c>
      <c r="Y1785" t="n">
        <v>348</v>
      </c>
      <c r="Z1785" t="n">
        <v>227</v>
      </c>
      <c r="AA1785" t="n">
        <v>229</v>
      </c>
      <c r="AB1785" t="n">
        <v>3</v>
      </c>
      <c r="AC1785" t="n">
        <v>3</v>
      </c>
      <c r="AD1785" t="n">
        <v>10</v>
      </c>
      <c r="AE1785" t="n">
        <v>10</v>
      </c>
      <c r="AF1785" t="n">
        <v>2</v>
      </c>
      <c r="AG1785" t="n">
        <v>2</v>
      </c>
      <c r="AH1785" t="n">
        <v>4</v>
      </c>
      <c r="AI1785" t="n">
        <v>4</v>
      </c>
      <c r="AJ1785" t="n">
        <v>6</v>
      </c>
      <c r="AK1785" t="n">
        <v>6</v>
      </c>
      <c r="AL1785" t="n">
        <v>2</v>
      </c>
      <c r="AM1785" t="n">
        <v>2</v>
      </c>
      <c r="AN1785" t="n">
        <v>0</v>
      </c>
      <c r="AO1785" t="n">
        <v>0</v>
      </c>
      <c r="AP1785" t="inlineStr">
        <is>
          <t>No</t>
        </is>
      </c>
      <c r="AQ1785" t="inlineStr">
        <is>
          <t>Yes</t>
        </is>
      </c>
      <c r="AR1785">
        <f>HYPERLINK("http://catalog.hathitrust.org/Record/000915147","HathiTrust Record")</f>
        <v/>
      </c>
      <c r="AS1785">
        <f>HYPERLINK("https://creighton-primo.hosted.exlibrisgroup.com/primo-explore/search?tab=default_tab&amp;search_scope=EVERYTHING&amp;vid=01CRU&amp;lang=en_US&amp;offset=0&amp;query=any,contains,991001181499702656","Catalog Record")</f>
        <v/>
      </c>
      <c r="AT1785">
        <f>HYPERLINK("http://www.worldcat.org/oclc/17108616","WorldCat Record")</f>
        <v/>
      </c>
      <c r="AU1785" t="inlineStr">
        <is>
          <t>836735783:eng</t>
        </is>
      </c>
      <c r="AV1785" t="inlineStr">
        <is>
          <t>17108616</t>
        </is>
      </c>
      <c r="AW1785" t="inlineStr">
        <is>
          <t>991001181499702656</t>
        </is>
      </c>
      <c r="AX1785" t="inlineStr">
        <is>
          <t>991001181499702656</t>
        </is>
      </c>
      <c r="AY1785" t="inlineStr">
        <is>
          <t>2259533850002656</t>
        </is>
      </c>
      <c r="AZ1785" t="inlineStr">
        <is>
          <t>BOOK</t>
        </is>
      </c>
      <c r="BB1785" t="inlineStr">
        <is>
          <t>9780719025143</t>
        </is>
      </c>
      <c r="BC1785" t="inlineStr">
        <is>
          <t>32285000819861</t>
        </is>
      </c>
      <c r="BD1785" t="inlineStr">
        <is>
          <t>893426393</t>
        </is>
      </c>
    </row>
    <row r="1786">
      <c r="A1786" t="inlineStr">
        <is>
          <t>No</t>
        </is>
      </c>
      <c r="B1786" t="inlineStr">
        <is>
          <t>DP702 .E76 1958b</t>
        </is>
      </c>
      <c r="C1786" t="inlineStr">
        <is>
          <t>0                      DP 0702000E  76          1958b</t>
        </is>
      </c>
      <c r="D1786" t="inlineStr">
        <is>
          <t>Évora and surroundings : two thousand years of art and history / text and artistic arrangement by Frederic P. Marjay ; [translated by G.F.W. Dykes].</t>
        </is>
      </c>
      <c r="F1786" t="inlineStr">
        <is>
          <t>No</t>
        </is>
      </c>
      <c r="G1786" t="inlineStr">
        <is>
          <t>1</t>
        </is>
      </c>
      <c r="H1786" t="inlineStr">
        <is>
          <t>No</t>
        </is>
      </c>
      <c r="I1786" t="inlineStr">
        <is>
          <t>No</t>
        </is>
      </c>
      <c r="J1786" t="inlineStr">
        <is>
          <t>0</t>
        </is>
      </c>
      <c r="K1786" t="inlineStr">
        <is>
          <t>Marjay, Frederic P.</t>
        </is>
      </c>
      <c r="L1786" t="inlineStr">
        <is>
          <t>Lisboa : Livraria Bertrand, 1958.</t>
        </is>
      </c>
      <c r="M1786" t="inlineStr">
        <is>
          <t>1958</t>
        </is>
      </c>
      <c r="O1786" t="inlineStr">
        <is>
          <t>eng</t>
        </is>
      </c>
      <c r="P1786" t="inlineStr">
        <is>
          <t xml:space="preserve">po </t>
        </is>
      </c>
      <c r="Q1786" t="inlineStr">
        <is>
          <t>Colecção romântica</t>
        </is>
      </c>
      <c r="R1786" t="inlineStr">
        <is>
          <t xml:space="preserve">DP </t>
        </is>
      </c>
      <c r="S1786" t="n">
        <v>2</v>
      </c>
      <c r="T1786" t="n">
        <v>2</v>
      </c>
      <c r="U1786" t="inlineStr">
        <is>
          <t>2003-01-07</t>
        </is>
      </c>
      <c r="V1786" t="inlineStr">
        <is>
          <t>2003-01-07</t>
        </is>
      </c>
      <c r="W1786" t="inlineStr">
        <is>
          <t>1997-02-19</t>
        </is>
      </c>
      <c r="X1786" t="inlineStr">
        <is>
          <t>1997-02-19</t>
        </is>
      </c>
      <c r="Y1786" t="n">
        <v>15</v>
      </c>
      <c r="Z1786" t="n">
        <v>11</v>
      </c>
      <c r="AA1786" t="n">
        <v>11</v>
      </c>
      <c r="AB1786" t="n">
        <v>1</v>
      </c>
      <c r="AC1786" t="n">
        <v>1</v>
      </c>
      <c r="AD1786" t="n">
        <v>0</v>
      </c>
      <c r="AE1786" t="n">
        <v>0</v>
      </c>
      <c r="AF1786" t="n">
        <v>0</v>
      </c>
      <c r="AG1786" t="n">
        <v>0</v>
      </c>
      <c r="AH1786" t="n">
        <v>0</v>
      </c>
      <c r="AI1786" t="n">
        <v>0</v>
      </c>
      <c r="AJ1786" t="n">
        <v>0</v>
      </c>
      <c r="AK1786" t="n">
        <v>0</v>
      </c>
      <c r="AL1786" t="n">
        <v>0</v>
      </c>
      <c r="AM1786" t="n">
        <v>0</v>
      </c>
      <c r="AN1786" t="n">
        <v>0</v>
      </c>
      <c r="AO1786" t="n">
        <v>0</v>
      </c>
      <c r="AP1786" t="inlineStr">
        <is>
          <t>No</t>
        </is>
      </c>
      <c r="AQ1786" t="inlineStr">
        <is>
          <t>No</t>
        </is>
      </c>
      <c r="AS1786">
        <f>HYPERLINK("https://creighton-primo.hosted.exlibrisgroup.com/primo-explore/search?tab=default_tab&amp;search_scope=EVERYTHING&amp;vid=01CRU&amp;lang=en_US&amp;offset=0&amp;query=any,contains,991000887569702656","Catalog Record")</f>
        <v/>
      </c>
      <c r="AT1786">
        <f>HYPERLINK("http://www.worldcat.org/oclc/13882701","WorldCat Record")</f>
        <v/>
      </c>
      <c r="AU1786" t="inlineStr">
        <is>
          <t>368208495:eng</t>
        </is>
      </c>
      <c r="AV1786" t="inlineStr">
        <is>
          <t>13882701</t>
        </is>
      </c>
      <c r="AW1786" t="inlineStr">
        <is>
          <t>991000887569702656</t>
        </is>
      </c>
      <c r="AX1786" t="inlineStr">
        <is>
          <t>991000887569702656</t>
        </is>
      </c>
      <c r="AY1786" t="inlineStr">
        <is>
          <t>2268602780002656</t>
        </is>
      </c>
      <c r="AZ1786" t="inlineStr">
        <is>
          <t>BOOK</t>
        </is>
      </c>
      <c r="BC1786" t="inlineStr">
        <is>
          <t>32285002465218</t>
        </is>
      </c>
      <c r="BD1786" t="inlineStr">
        <is>
          <t>893790953</t>
        </is>
      </c>
    </row>
    <row r="1787">
      <c r="A1787" t="inlineStr">
        <is>
          <t>No</t>
        </is>
      </c>
      <c r="B1787" t="inlineStr">
        <is>
          <t>DP762.K45 L5</t>
        </is>
      </c>
      <c r="C1787" t="inlineStr">
        <is>
          <t>0                      DP 0762000K  45                 L  5</t>
        </is>
      </c>
      <c r="D1787" t="inlineStr">
        <is>
          <t>The Lisbon earthquake.</t>
        </is>
      </c>
      <c r="F1787" t="inlineStr">
        <is>
          <t>No</t>
        </is>
      </c>
      <c r="G1787" t="inlineStr">
        <is>
          <t>1</t>
        </is>
      </c>
      <c r="H1787" t="inlineStr">
        <is>
          <t>No</t>
        </is>
      </c>
      <c r="I1787" t="inlineStr">
        <is>
          <t>No</t>
        </is>
      </c>
      <c r="J1787" t="inlineStr">
        <is>
          <t>0</t>
        </is>
      </c>
      <c r="K1787" t="inlineStr">
        <is>
          <t>Kendrick, T. D. (Thomas Downing)</t>
        </is>
      </c>
      <c r="L1787" t="inlineStr">
        <is>
          <t>Philadelphia, Lippincott [1957?]</t>
        </is>
      </c>
      <c r="M1787" t="inlineStr">
        <is>
          <t>1957</t>
        </is>
      </c>
      <c r="N1787" t="inlineStr">
        <is>
          <t>[Authorized American ed.]</t>
        </is>
      </c>
      <c r="O1787" t="inlineStr">
        <is>
          <t>eng</t>
        </is>
      </c>
      <c r="P1787" t="inlineStr">
        <is>
          <t>pau</t>
        </is>
      </c>
      <c r="R1787" t="inlineStr">
        <is>
          <t xml:space="preserve">DP </t>
        </is>
      </c>
      <c r="S1787" t="n">
        <v>2</v>
      </c>
      <c r="T1787" t="n">
        <v>2</v>
      </c>
      <c r="U1787" t="inlineStr">
        <is>
          <t>2008-04-14</t>
        </is>
      </c>
      <c r="V1787" t="inlineStr">
        <is>
          <t>2008-04-14</t>
        </is>
      </c>
      <c r="W1787" t="inlineStr">
        <is>
          <t>1996-08-01</t>
        </is>
      </c>
      <c r="X1787" t="inlineStr">
        <is>
          <t>1996-08-01</t>
        </is>
      </c>
      <c r="Y1787" t="n">
        <v>389</v>
      </c>
      <c r="Z1787" t="n">
        <v>373</v>
      </c>
      <c r="AA1787" t="n">
        <v>472</v>
      </c>
      <c r="AB1787" t="n">
        <v>3</v>
      </c>
      <c r="AC1787" t="n">
        <v>4</v>
      </c>
      <c r="AD1787" t="n">
        <v>16</v>
      </c>
      <c r="AE1787" t="n">
        <v>22</v>
      </c>
      <c r="AF1787" t="n">
        <v>4</v>
      </c>
      <c r="AG1787" t="n">
        <v>5</v>
      </c>
      <c r="AH1787" t="n">
        <v>3</v>
      </c>
      <c r="AI1787" t="n">
        <v>5</v>
      </c>
      <c r="AJ1787" t="n">
        <v>12</v>
      </c>
      <c r="AK1787" t="n">
        <v>15</v>
      </c>
      <c r="AL1787" t="n">
        <v>2</v>
      </c>
      <c r="AM1787" t="n">
        <v>3</v>
      </c>
      <c r="AN1787" t="n">
        <v>0</v>
      </c>
      <c r="AO1787" t="n">
        <v>0</v>
      </c>
      <c r="AP1787" t="inlineStr">
        <is>
          <t>No</t>
        </is>
      </c>
      <c r="AQ1787" t="inlineStr">
        <is>
          <t>No</t>
        </is>
      </c>
      <c r="AR1787">
        <f>HYPERLINK("http://catalog.hathitrust.org/Record/001237816","HathiTrust Record")</f>
        <v/>
      </c>
      <c r="AS1787">
        <f>HYPERLINK("https://creighton-primo.hosted.exlibrisgroup.com/primo-explore/search?tab=default_tab&amp;search_scope=EVERYTHING&amp;vid=01CRU&amp;lang=en_US&amp;offset=0&amp;query=any,contains,991001206039702656","Catalog Record")</f>
        <v/>
      </c>
      <c r="AT1787">
        <f>HYPERLINK("http://www.worldcat.org/oclc/192100","WorldCat Record")</f>
        <v/>
      </c>
      <c r="AU1787" t="inlineStr">
        <is>
          <t>1353175:eng</t>
        </is>
      </c>
      <c r="AV1787" t="inlineStr">
        <is>
          <t>192100</t>
        </is>
      </c>
      <c r="AW1787" t="inlineStr">
        <is>
          <t>991001206039702656</t>
        </is>
      </c>
      <c r="AX1787" t="inlineStr">
        <is>
          <t>991001206039702656</t>
        </is>
      </c>
      <c r="AY1787" t="inlineStr">
        <is>
          <t>2258526210002656</t>
        </is>
      </c>
      <c r="AZ1787" t="inlineStr">
        <is>
          <t>BOOK</t>
        </is>
      </c>
      <c r="BC1787" t="inlineStr">
        <is>
          <t>32285002209277</t>
        </is>
      </c>
      <c r="BD1787" t="inlineStr">
        <is>
          <t>893256104</t>
        </is>
      </c>
    </row>
    <row r="1788">
      <c r="A1788" t="inlineStr">
        <is>
          <t>No</t>
        </is>
      </c>
      <c r="B1788" t="inlineStr">
        <is>
          <t>DP81 .F362</t>
        </is>
      </c>
      <c r="C1788" t="inlineStr">
        <is>
          <t>0                      DP 0081000F  362</t>
        </is>
      </c>
      <c r="D1788" t="inlineStr">
        <is>
          <t>Armada española desde la unión de los reinos de Castilla y de Aragón.</t>
        </is>
      </c>
      <c r="E1788" t="inlineStr">
        <is>
          <t>V.2</t>
        </is>
      </c>
      <c r="F1788" t="inlineStr">
        <is>
          <t>Yes</t>
        </is>
      </c>
      <c r="G1788" t="inlineStr">
        <is>
          <t>1</t>
        </is>
      </c>
      <c r="H1788" t="inlineStr">
        <is>
          <t>No</t>
        </is>
      </c>
      <c r="I1788" t="inlineStr">
        <is>
          <t>No</t>
        </is>
      </c>
      <c r="J1788" t="inlineStr">
        <is>
          <t>0</t>
        </is>
      </c>
      <c r="K1788" t="inlineStr">
        <is>
          <t>Fernández Duro, Cesáreo, 1830-1908.</t>
        </is>
      </c>
      <c r="L1788" t="inlineStr">
        <is>
          <t>Madrid, Museo Naval, 1972-73.</t>
        </is>
      </c>
      <c r="M1788" t="inlineStr">
        <is>
          <t>1972</t>
        </is>
      </c>
      <c r="O1788" t="inlineStr">
        <is>
          <t>spa</t>
        </is>
      </c>
      <c r="P1788" t="inlineStr">
        <is>
          <t xml:space="preserve">xx </t>
        </is>
      </c>
      <c r="R1788" t="inlineStr">
        <is>
          <t xml:space="preserve">DP </t>
        </is>
      </c>
      <c r="S1788" t="n">
        <v>0</v>
      </c>
      <c r="T1788" t="n">
        <v>0</v>
      </c>
      <c r="U1788" t="inlineStr">
        <is>
          <t>2009-02-06</t>
        </is>
      </c>
      <c r="V1788" t="inlineStr">
        <is>
          <t>2009-02-06</t>
        </is>
      </c>
      <c r="W1788" t="inlineStr">
        <is>
          <t>1997-02-13</t>
        </is>
      </c>
      <c r="X1788" t="inlineStr">
        <is>
          <t>1997-02-13</t>
        </is>
      </c>
      <c r="Y1788" t="n">
        <v>37</v>
      </c>
      <c r="Z1788" t="n">
        <v>27</v>
      </c>
      <c r="AA1788" t="n">
        <v>73</v>
      </c>
      <c r="AB1788" t="n">
        <v>2</v>
      </c>
      <c r="AC1788" t="n">
        <v>2</v>
      </c>
      <c r="AD1788" t="n">
        <v>3</v>
      </c>
      <c r="AE1788" t="n">
        <v>3</v>
      </c>
      <c r="AF1788" t="n">
        <v>0</v>
      </c>
      <c r="AG1788" t="n">
        <v>0</v>
      </c>
      <c r="AH1788" t="n">
        <v>1</v>
      </c>
      <c r="AI1788" t="n">
        <v>1</v>
      </c>
      <c r="AJ1788" t="n">
        <v>1</v>
      </c>
      <c r="AK1788" t="n">
        <v>1</v>
      </c>
      <c r="AL1788" t="n">
        <v>1</v>
      </c>
      <c r="AM1788" t="n">
        <v>1</v>
      </c>
      <c r="AN1788" t="n">
        <v>0</v>
      </c>
      <c r="AO1788" t="n">
        <v>0</v>
      </c>
      <c r="AP1788" t="inlineStr">
        <is>
          <t>No</t>
        </is>
      </c>
      <c r="AQ1788" t="inlineStr">
        <is>
          <t>Yes</t>
        </is>
      </c>
      <c r="AR1788">
        <f>HYPERLINK("http://catalog.hathitrust.org/Record/010682389","HathiTrust Record")</f>
        <v/>
      </c>
      <c r="AS1788">
        <f>HYPERLINK("https://creighton-primo.hosted.exlibrisgroup.com/primo-explore/search?tab=default_tab&amp;search_scope=EVERYTHING&amp;vid=01CRU&amp;lang=en_US&amp;offset=0&amp;query=any,contains,991003705749702656","Catalog Record")</f>
        <v/>
      </c>
      <c r="AT1788">
        <f>HYPERLINK("http://www.worldcat.org/oclc/1343232","WorldCat Record")</f>
        <v/>
      </c>
      <c r="AU1788" t="inlineStr">
        <is>
          <t>4757642740:spa</t>
        </is>
      </c>
      <c r="AV1788" t="inlineStr">
        <is>
          <t>1343232</t>
        </is>
      </c>
      <c r="AW1788" t="inlineStr">
        <is>
          <t>991003705749702656</t>
        </is>
      </c>
      <c r="AX1788" t="inlineStr">
        <is>
          <t>991003705749702656</t>
        </is>
      </c>
      <c r="AY1788" t="inlineStr">
        <is>
          <t>2263675390002656</t>
        </is>
      </c>
      <c r="AZ1788" t="inlineStr">
        <is>
          <t>BOOK</t>
        </is>
      </c>
      <c r="BC1788" t="inlineStr">
        <is>
          <t>32285002437118</t>
        </is>
      </c>
      <c r="BD1788" t="inlineStr">
        <is>
          <t>893894019</t>
        </is>
      </c>
    </row>
    <row r="1789">
      <c r="A1789" t="inlineStr">
        <is>
          <t>No</t>
        </is>
      </c>
      <c r="B1789" t="inlineStr">
        <is>
          <t>DP81 .F362</t>
        </is>
      </c>
      <c r="C1789" t="inlineStr">
        <is>
          <t>0                      DP 0081000F  362</t>
        </is>
      </c>
      <c r="D1789" t="inlineStr">
        <is>
          <t>Armada española desde la unión de los reinos de Castilla y de Aragón.</t>
        </is>
      </c>
      <c r="E1789" t="inlineStr">
        <is>
          <t>V.9</t>
        </is>
      </c>
      <c r="F1789" t="inlineStr">
        <is>
          <t>Yes</t>
        </is>
      </c>
      <c r="G1789" t="inlineStr">
        <is>
          <t>1</t>
        </is>
      </c>
      <c r="H1789" t="inlineStr">
        <is>
          <t>No</t>
        </is>
      </c>
      <c r="I1789" t="inlineStr">
        <is>
          <t>No</t>
        </is>
      </c>
      <c r="J1789" t="inlineStr">
        <is>
          <t>0</t>
        </is>
      </c>
      <c r="K1789" t="inlineStr">
        <is>
          <t>Fernández Duro, Cesáreo, 1830-1908.</t>
        </is>
      </c>
      <c r="L1789" t="inlineStr">
        <is>
          <t>Madrid, Museo Naval, 1972-73.</t>
        </is>
      </c>
      <c r="M1789" t="inlineStr">
        <is>
          <t>1972</t>
        </is>
      </c>
      <c r="O1789" t="inlineStr">
        <is>
          <t>spa</t>
        </is>
      </c>
      <c r="P1789" t="inlineStr">
        <is>
          <t xml:space="preserve">xx </t>
        </is>
      </c>
      <c r="R1789" t="inlineStr">
        <is>
          <t xml:space="preserve">DP </t>
        </is>
      </c>
      <c r="S1789" t="n">
        <v>0</v>
      </c>
      <c r="T1789" t="n">
        <v>0</v>
      </c>
      <c r="V1789" t="inlineStr">
        <is>
          <t>2009-02-06</t>
        </is>
      </c>
      <c r="W1789" t="inlineStr">
        <is>
          <t>1997-02-13</t>
        </is>
      </c>
      <c r="X1789" t="inlineStr">
        <is>
          <t>1997-02-13</t>
        </is>
      </c>
      <c r="Y1789" t="n">
        <v>37</v>
      </c>
      <c r="Z1789" t="n">
        <v>27</v>
      </c>
      <c r="AA1789" t="n">
        <v>73</v>
      </c>
      <c r="AB1789" t="n">
        <v>2</v>
      </c>
      <c r="AC1789" t="n">
        <v>2</v>
      </c>
      <c r="AD1789" t="n">
        <v>3</v>
      </c>
      <c r="AE1789" t="n">
        <v>3</v>
      </c>
      <c r="AF1789" t="n">
        <v>0</v>
      </c>
      <c r="AG1789" t="n">
        <v>0</v>
      </c>
      <c r="AH1789" t="n">
        <v>1</v>
      </c>
      <c r="AI1789" t="n">
        <v>1</v>
      </c>
      <c r="AJ1789" t="n">
        <v>1</v>
      </c>
      <c r="AK1789" t="n">
        <v>1</v>
      </c>
      <c r="AL1789" t="n">
        <v>1</v>
      </c>
      <c r="AM1789" t="n">
        <v>1</v>
      </c>
      <c r="AN1789" t="n">
        <v>0</v>
      </c>
      <c r="AO1789" t="n">
        <v>0</v>
      </c>
      <c r="AP1789" t="inlineStr">
        <is>
          <t>No</t>
        </is>
      </c>
      <c r="AQ1789" t="inlineStr">
        <is>
          <t>Yes</t>
        </is>
      </c>
      <c r="AR1789">
        <f>HYPERLINK("http://catalog.hathitrust.org/Record/010682389","HathiTrust Record")</f>
        <v/>
      </c>
      <c r="AS1789">
        <f>HYPERLINK("https://creighton-primo.hosted.exlibrisgroup.com/primo-explore/search?tab=default_tab&amp;search_scope=EVERYTHING&amp;vid=01CRU&amp;lang=en_US&amp;offset=0&amp;query=any,contains,991003705749702656","Catalog Record")</f>
        <v/>
      </c>
      <c r="AT1789">
        <f>HYPERLINK("http://www.worldcat.org/oclc/1343232","WorldCat Record")</f>
        <v/>
      </c>
      <c r="AU1789" t="inlineStr">
        <is>
          <t>4757642740:spa</t>
        </is>
      </c>
      <c r="AV1789" t="inlineStr">
        <is>
          <t>1343232</t>
        </is>
      </c>
      <c r="AW1789" t="inlineStr">
        <is>
          <t>991003705749702656</t>
        </is>
      </c>
      <c r="AX1789" t="inlineStr">
        <is>
          <t>991003705749702656</t>
        </is>
      </c>
      <c r="AY1789" t="inlineStr">
        <is>
          <t>2263675390002656</t>
        </is>
      </c>
      <c r="AZ1789" t="inlineStr">
        <is>
          <t>BOOK</t>
        </is>
      </c>
      <c r="BC1789" t="inlineStr">
        <is>
          <t>32285002437183</t>
        </is>
      </c>
      <c r="BD1789" t="inlineStr">
        <is>
          <t>893894015</t>
        </is>
      </c>
    </row>
    <row r="1790">
      <c r="A1790" t="inlineStr">
        <is>
          <t>No</t>
        </is>
      </c>
      <c r="B1790" t="inlineStr">
        <is>
          <t>DP81 .F362</t>
        </is>
      </c>
      <c r="C1790" t="inlineStr">
        <is>
          <t>0                      DP 0081000F  362</t>
        </is>
      </c>
      <c r="D1790" t="inlineStr">
        <is>
          <t>Armada española desde la unión de los reinos de Castilla y de Aragón.</t>
        </is>
      </c>
      <c r="E1790" t="inlineStr">
        <is>
          <t>V.5</t>
        </is>
      </c>
      <c r="F1790" t="inlineStr">
        <is>
          <t>Yes</t>
        </is>
      </c>
      <c r="G1790" t="inlineStr">
        <is>
          <t>1</t>
        </is>
      </c>
      <c r="H1790" t="inlineStr">
        <is>
          <t>No</t>
        </is>
      </c>
      <c r="I1790" t="inlineStr">
        <is>
          <t>No</t>
        </is>
      </c>
      <c r="J1790" t="inlineStr">
        <is>
          <t>0</t>
        </is>
      </c>
      <c r="K1790" t="inlineStr">
        <is>
          <t>Fernández Duro, Cesáreo, 1830-1908.</t>
        </is>
      </c>
      <c r="L1790" t="inlineStr">
        <is>
          <t>Madrid, Museo Naval, 1972-73.</t>
        </is>
      </c>
      <c r="M1790" t="inlineStr">
        <is>
          <t>1972</t>
        </is>
      </c>
      <c r="O1790" t="inlineStr">
        <is>
          <t>spa</t>
        </is>
      </c>
      <c r="P1790" t="inlineStr">
        <is>
          <t xml:space="preserve">xx </t>
        </is>
      </c>
      <c r="R1790" t="inlineStr">
        <is>
          <t xml:space="preserve">DP </t>
        </is>
      </c>
      <c r="S1790" t="n">
        <v>0</v>
      </c>
      <c r="T1790" t="n">
        <v>0</v>
      </c>
      <c r="U1790" t="inlineStr">
        <is>
          <t>2002-12-13</t>
        </is>
      </c>
      <c r="V1790" t="inlineStr">
        <is>
          <t>2009-02-06</t>
        </is>
      </c>
      <c r="W1790" t="inlineStr">
        <is>
          <t>1997-02-13</t>
        </is>
      </c>
      <c r="X1790" t="inlineStr">
        <is>
          <t>1997-02-13</t>
        </is>
      </c>
      <c r="Y1790" t="n">
        <v>37</v>
      </c>
      <c r="Z1790" t="n">
        <v>27</v>
      </c>
      <c r="AA1790" t="n">
        <v>73</v>
      </c>
      <c r="AB1790" t="n">
        <v>2</v>
      </c>
      <c r="AC1790" t="n">
        <v>2</v>
      </c>
      <c r="AD1790" t="n">
        <v>3</v>
      </c>
      <c r="AE1790" t="n">
        <v>3</v>
      </c>
      <c r="AF1790" t="n">
        <v>0</v>
      </c>
      <c r="AG1790" t="n">
        <v>0</v>
      </c>
      <c r="AH1790" t="n">
        <v>1</v>
      </c>
      <c r="AI1790" t="n">
        <v>1</v>
      </c>
      <c r="AJ1790" t="n">
        <v>1</v>
      </c>
      <c r="AK1790" t="n">
        <v>1</v>
      </c>
      <c r="AL1790" t="n">
        <v>1</v>
      </c>
      <c r="AM1790" t="n">
        <v>1</v>
      </c>
      <c r="AN1790" t="n">
        <v>0</v>
      </c>
      <c r="AO1790" t="n">
        <v>0</v>
      </c>
      <c r="AP1790" t="inlineStr">
        <is>
          <t>No</t>
        </is>
      </c>
      <c r="AQ1790" t="inlineStr">
        <is>
          <t>Yes</t>
        </is>
      </c>
      <c r="AR1790">
        <f>HYPERLINK("http://catalog.hathitrust.org/Record/010682389","HathiTrust Record")</f>
        <v/>
      </c>
      <c r="AS1790">
        <f>HYPERLINK("https://creighton-primo.hosted.exlibrisgroup.com/primo-explore/search?tab=default_tab&amp;search_scope=EVERYTHING&amp;vid=01CRU&amp;lang=en_US&amp;offset=0&amp;query=any,contains,991003705749702656","Catalog Record")</f>
        <v/>
      </c>
      <c r="AT1790">
        <f>HYPERLINK("http://www.worldcat.org/oclc/1343232","WorldCat Record")</f>
        <v/>
      </c>
      <c r="AU1790" t="inlineStr">
        <is>
          <t>4757642740:spa</t>
        </is>
      </c>
      <c r="AV1790" t="inlineStr">
        <is>
          <t>1343232</t>
        </is>
      </c>
      <c r="AW1790" t="inlineStr">
        <is>
          <t>991003705749702656</t>
        </is>
      </c>
      <c r="AX1790" t="inlineStr">
        <is>
          <t>991003705749702656</t>
        </is>
      </c>
      <c r="AY1790" t="inlineStr">
        <is>
          <t>2263675390002656</t>
        </is>
      </c>
      <c r="AZ1790" t="inlineStr">
        <is>
          <t>BOOK</t>
        </is>
      </c>
      <c r="BC1790" t="inlineStr">
        <is>
          <t>32285002437142</t>
        </is>
      </c>
      <c r="BD1790" t="inlineStr">
        <is>
          <t>893894017</t>
        </is>
      </c>
    </row>
    <row r="1791">
      <c r="A1791" t="inlineStr">
        <is>
          <t>No</t>
        </is>
      </c>
      <c r="B1791" t="inlineStr">
        <is>
          <t>DP81 .F362</t>
        </is>
      </c>
      <c r="C1791" t="inlineStr">
        <is>
          <t>0                      DP 0081000F  362</t>
        </is>
      </c>
      <c r="D1791" t="inlineStr">
        <is>
          <t>Armada española desde la unión de los reinos de Castilla y de Aragón.</t>
        </is>
      </c>
      <c r="E1791" t="inlineStr">
        <is>
          <t>V.6</t>
        </is>
      </c>
      <c r="F1791" t="inlineStr">
        <is>
          <t>Yes</t>
        </is>
      </c>
      <c r="G1791" t="inlineStr">
        <is>
          <t>1</t>
        </is>
      </c>
      <c r="H1791" t="inlineStr">
        <is>
          <t>No</t>
        </is>
      </c>
      <c r="I1791" t="inlineStr">
        <is>
          <t>No</t>
        </is>
      </c>
      <c r="J1791" t="inlineStr">
        <is>
          <t>0</t>
        </is>
      </c>
      <c r="K1791" t="inlineStr">
        <is>
          <t>Fernández Duro, Cesáreo, 1830-1908.</t>
        </is>
      </c>
      <c r="L1791" t="inlineStr">
        <is>
          <t>Madrid, Museo Naval, 1972-73.</t>
        </is>
      </c>
      <c r="M1791" t="inlineStr">
        <is>
          <t>1972</t>
        </is>
      </c>
      <c r="O1791" t="inlineStr">
        <is>
          <t>spa</t>
        </is>
      </c>
      <c r="P1791" t="inlineStr">
        <is>
          <t xml:space="preserve">xx </t>
        </is>
      </c>
      <c r="R1791" t="inlineStr">
        <is>
          <t xml:space="preserve">DP </t>
        </is>
      </c>
      <c r="S1791" t="n">
        <v>0</v>
      </c>
      <c r="T1791" t="n">
        <v>0</v>
      </c>
      <c r="V1791" t="inlineStr">
        <is>
          <t>2009-02-06</t>
        </is>
      </c>
      <c r="W1791" t="inlineStr">
        <is>
          <t>1997-02-13</t>
        </is>
      </c>
      <c r="X1791" t="inlineStr">
        <is>
          <t>1997-02-13</t>
        </is>
      </c>
      <c r="Y1791" t="n">
        <v>37</v>
      </c>
      <c r="Z1791" t="n">
        <v>27</v>
      </c>
      <c r="AA1791" t="n">
        <v>73</v>
      </c>
      <c r="AB1791" t="n">
        <v>2</v>
      </c>
      <c r="AC1791" t="n">
        <v>2</v>
      </c>
      <c r="AD1791" t="n">
        <v>3</v>
      </c>
      <c r="AE1791" t="n">
        <v>3</v>
      </c>
      <c r="AF1791" t="n">
        <v>0</v>
      </c>
      <c r="AG1791" t="n">
        <v>0</v>
      </c>
      <c r="AH1791" t="n">
        <v>1</v>
      </c>
      <c r="AI1791" t="n">
        <v>1</v>
      </c>
      <c r="AJ1791" t="n">
        <v>1</v>
      </c>
      <c r="AK1791" t="n">
        <v>1</v>
      </c>
      <c r="AL1791" t="n">
        <v>1</v>
      </c>
      <c r="AM1791" t="n">
        <v>1</v>
      </c>
      <c r="AN1791" t="n">
        <v>0</v>
      </c>
      <c r="AO1791" t="n">
        <v>0</v>
      </c>
      <c r="AP1791" t="inlineStr">
        <is>
          <t>No</t>
        </is>
      </c>
      <c r="AQ1791" t="inlineStr">
        <is>
          <t>Yes</t>
        </is>
      </c>
      <c r="AR1791">
        <f>HYPERLINK("http://catalog.hathitrust.org/Record/010682389","HathiTrust Record")</f>
        <v/>
      </c>
      <c r="AS1791">
        <f>HYPERLINK("https://creighton-primo.hosted.exlibrisgroup.com/primo-explore/search?tab=default_tab&amp;search_scope=EVERYTHING&amp;vid=01CRU&amp;lang=en_US&amp;offset=0&amp;query=any,contains,991003705749702656","Catalog Record")</f>
        <v/>
      </c>
      <c r="AT1791">
        <f>HYPERLINK("http://www.worldcat.org/oclc/1343232","WorldCat Record")</f>
        <v/>
      </c>
      <c r="AU1791" t="inlineStr">
        <is>
          <t>4757642740:spa</t>
        </is>
      </c>
      <c r="AV1791" t="inlineStr">
        <is>
          <t>1343232</t>
        </is>
      </c>
      <c r="AW1791" t="inlineStr">
        <is>
          <t>991003705749702656</t>
        </is>
      </c>
      <c r="AX1791" t="inlineStr">
        <is>
          <t>991003705749702656</t>
        </is>
      </c>
      <c r="AY1791" t="inlineStr">
        <is>
          <t>2263675390002656</t>
        </is>
      </c>
      <c r="AZ1791" t="inlineStr">
        <is>
          <t>BOOK</t>
        </is>
      </c>
      <c r="BC1791" t="inlineStr">
        <is>
          <t>32285002437159</t>
        </is>
      </c>
      <c r="BD1791" t="inlineStr">
        <is>
          <t>893868744</t>
        </is>
      </c>
    </row>
    <row r="1792">
      <c r="A1792" t="inlineStr">
        <is>
          <t>No</t>
        </is>
      </c>
      <c r="B1792" t="inlineStr">
        <is>
          <t>DP81 .F362</t>
        </is>
      </c>
      <c r="C1792" t="inlineStr">
        <is>
          <t>0                      DP 0081000F  362</t>
        </is>
      </c>
      <c r="D1792" t="inlineStr">
        <is>
          <t>Armada española desde la unión de los reinos de Castilla y de Aragón.</t>
        </is>
      </c>
      <c r="E1792" t="inlineStr">
        <is>
          <t>V.1</t>
        </is>
      </c>
      <c r="F1792" t="inlineStr">
        <is>
          <t>Yes</t>
        </is>
      </c>
      <c r="G1792" t="inlineStr">
        <is>
          <t>1</t>
        </is>
      </c>
      <c r="H1792" t="inlineStr">
        <is>
          <t>No</t>
        </is>
      </c>
      <c r="I1792" t="inlineStr">
        <is>
          <t>No</t>
        </is>
      </c>
      <c r="J1792" t="inlineStr">
        <is>
          <t>0</t>
        </is>
      </c>
      <c r="K1792" t="inlineStr">
        <is>
          <t>Fernández Duro, Cesáreo, 1830-1908.</t>
        </is>
      </c>
      <c r="L1792" t="inlineStr">
        <is>
          <t>Madrid, Museo Naval, 1972-73.</t>
        </is>
      </c>
      <c r="M1792" t="inlineStr">
        <is>
          <t>1972</t>
        </is>
      </c>
      <c r="O1792" t="inlineStr">
        <is>
          <t>spa</t>
        </is>
      </c>
      <c r="P1792" t="inlineStr">
        <is>
          <t xml:space="preserve">xx </t>
        </is>
      </c>
      <c r="R1792" t="inlineStr">
        <is>
          <t xml:space="preserve">DP </t>
        </is>
      </c>
      <c r="S1792" t="n">
        <v>0</v>
      </c>
      <c r="T1792" t="n">
        <v>0</v>
      </c>
      <c r="V1792" t="inlineStr">
        <is>
          <t>2009-02-06</t>
        </is>
      </c>
      <c r="W1792" t="inlineStr">
        <is>
          <t>1997-02-13</t>
        </is>
      </c>
      <c r="X1792" t="inlineStr">
        <is>
          <t>1997-02-13</t>
        </is>
      </c>
      <c r="Y1792" t="n">
        <v>37</v>
      </c>
      <c r="Z1792" t="n">
        <v>27</v>
      </c>
      <c r="AA1792" t="n">
        <v>73</v>
      </c>
      <c r="AB1792" t="n">
        <v>2</v>
      </c>
      <c r="AC1792" t="n">
        <v>2</v>
      </c>
      <c r="AD1792" t="n">
        <v>3</v>
      </c>
      <c r="AE1792" t="n">
        <v>3</v>
      </c>
      <c r="AF1792" t="n">
        <v>0</v>
      </c>
      <c r="AG1792" t="n">
        <v>0</v>
      </c>
      <c r="AH1792" t="n">
        <v>1</v>
      </c>
      <c r="AI1792" t="n">
        <v>1</v>
      </c>
      <c r="AJ1792" t="n">
        <v>1</v>
      </c>
      <c r="AK1792" t="n">
        <v>1</v>
      </c>
      <c r="AL1792" t="n">
        <v>1</v>
      </c>
      <c r="AM1792" t="n">
        <v>1</v>
      </c>
      <c r="AN1792" t="n">
        <v>0</v>
      </c>
      <c r="AO1792" t="n">
        <v>0</v>
      </c>
      <c r="AP1792" t="inlineStr">
        <is>
          <t>No</t>
        </is>
      </c>
      <c r="AQ1792" t="inlineStr">
        <is>
          <t>Yes</t>
        </is>
      </c>
      <c r="AR1792">
        <f>HYPERLINK("http://catalog.hathitrust.org/Record/010682389","HathiTrust Record")</f>
        <v/>
      </c>
      <c r="AS1792">
        <f>HYPERLINK("https://creighton-primo.hosted.exlibrisgroup.com/primo-explore/search?tab=default_tab&amp;search_scope=EVERYTHING&amp;vid=01CRU&amp;lang=en_US&amp;offset=0&amp;query=any,contains,991003705749702656","Catalog Record")</f>
        <v/>
      </c>
      <c r="AT1792">
        <f>HYPERLINK("http://www.worldcat.org/oclc/1343232","WorldCat Record")</f>
        <v/>
      </c>
      <c r="AU1792" t="inlineStr">
        <is>
          <t>4757642740:spa</t>
        </is>
      </c>
      <c r="AV1792" t="inlineStr">
        <is>
          <t>1343232</t>
        </is>
      </c>
      <c r="AW1792" t="inlineStr">
        <is>
          <t>991003705749702656</t>
        </is>
      </c>
      <c r="AX1792" t="inlineStr">
        <is>
          <t>991003705749702656</t>
        </is>
      </c>
      <c r="AY1792" t="inlineStr">
        <is>
          <t>2263675390002656</t>
        </is>
      </c>
      <c r="AZ1792" t="inlineStr">
        <is>
          <t>BOOK</t>
        </is>
      </c>
      <c r="BC1792" t="inlineStr">
        <is>
          <t>32285002437100</t>
        </is>
      </c>
      <c r="BD1792" t="inlineStr">
        <is>
          <t>893894020</t>
        </is>
      </c>
    </row>
    <row r="1793">
      <c r="A1793" t="inlineStr">
        <is>
          <t>No</t>
        </is>
      </c>
      <c r="B1793" t="inlineStr">
        <is>
          <t>DP81 .F362</t>
        </is>
      </c>
      <c r="C1793" t="inlineStr">
        <is>
          <t>0                      DP 0081000F  362</t>
        </is>
      </c>
      <c r="D1793" t="inlineStr">
        <is>
          <t>Armada española desde la unión de los reinos de Castilla y de Aragón.</t>
        </is>
      </c>
      <c r="E1793" t="inlineStr">
        <is>
          <t>V.3</t>
        </is>
      </c>
      <c r="F1793" t="inlineStr">
        <is>
          <t>Yes</t>
        </is>
      </c>
      <c r="G1793" t="inlineStr">
        <is>
          <t>1</t>
        </is>
      </c>
      <c r="H1793" t="inlineStr">
        <is>
          <t>No</t>
        </is>
      </c>
      <c r="I1793" t="inlineStr">
        <is>
          <t>No</t>
        </is>
      </c>
      <c r="J1793" t="inlineStr">
        <is>
          <t>0</t>
        </is>
      </c>
      <c r="K1793" t="inlineStr">
        <is>
          <t>Fernández Duro, Cesáreo, 1830-1908.</t>
        </is>
      </c>
      <c r="L1793" t="inlineStr">
        <is>
          <t>Madrid, Museo Naval, 1972-73.</t>
        </is>
      </c>
      <c r="M1793" t="inlineStr">
        <is>
          <t>1972</t>
        </is>
      </c>
      <c r="O1793" t="inlineStr">
        <is>
          <t>spa</t>
        </is>
      </c>
      <c r="P1793" t="inlineStr">
        <is>
          <t xml:space="preserve">xx </t>
        </is>
      </c>
      <c r="R1793" t="inlineStr">
        <is>
          <t xml:space="preserve">DP </t>
        </is>
      </c>
      <c r="S1793" t="n">
        <v>0</v>
      </c>
      <c r="T1793" t="n">
        <v>0</v>
      </c>
      <c r="V1793" t="inlineStr">
        <is>
          <t>2009-02-06</t>
        </is>
      </c>
      <c r="W1793" t="inlineStr">
        <is>
          <t>1997-02-13</t>
        </is>
      </c>
      <c r="X1793" t="inlineStr">
        <is>
          <t>1997-02-13</t>
        </is>
      </c>
      <c r="Y1793" t="n">
        <v>37</v>
      </c>
      <c r="Z1793" t="n">
        <v>27</v>
      </c>
      <c r="AA1793" t="n">
        <v>73</v>
      </c>
      <c r="AB1793" t="n">
        <v>2</v>
      </c>
      <c r="AC1793" t="n">
        <v>2</v>
      </c>
      <c r="AD1793" t="n">
        <v>3</v>
      </c>
      <c r="AE1793" t="n">
        <v>3</v>
      </c>
      <c r="AF1793" t="n">
        <v>0</v>
      </c>
      <c r="AG1793" t="n">
        <v>0</v>
      </c>
      <c r="AH1793" t="n">
        <v>1</v>
      </c>
      <c r="AI1793" t="n">
        <v>1</v>
      </c>
      <c r="AJ1793" t="n">
        <v>1</v>
      </c>
      <c r="AK1793" t="n">
        <v>1</v>
      </c>
      <c r="AL1793" t="n">
        <v>1</v>
      </c>
      <c r="AM1793" t="n">
        <v>1</v>
      </c>
      <c r="AN1793" t="n">
        <v>0</v>
      </c>
      <c r="AO1793" t="n">
        <v>0</v>
      </c>
      <c r="AP1793" t="inlineStr">
        <is>
          <t>No</t>
        </is>
      </c>
      <c r="AQ1793" t="inlineStr">
        <is>
          <t>Yes</t>
        </is>
      </c>
      <c r="AR1793">
        <f>HYPERLINK("http://catalog.hathitrust.org/Record/010682389","HathiTrust Record")</f>
        <v/>
      </c>
      <c r="AS1793">
        <f>HYPERLINK("https://creighton-primo.hosted.exlibrisgroup.com/primo-explore/search?tab=default_tab&amp;search_scope=EVERYTHING&amp;vid=01CRU&amp;lang=en_US&amp;offset=0&amp;query=any,contains,991003705749702656","Catalog Record")</f>
        <v/>
      </c>
      <c r="AT1793">
        <f>HYPERLINK("http://www.worldcat.org/oclc/1343232","WorldCat Record")</f>
        <v/>
      </c>
      <c r="AU1793" t="inlineStr">
        <is>
          <t>4757642740:spa</t>
        </is>
      </c>
      <c r="AV1793" t="inlineStr">
        <is>
          <t>1343232</t>
        </is>
      </c>
      <c r="AW1793" t="inlineStr">
        <is>
          <t>991003705749702656</t>
        </is>
      </c>
      <c r="AX1793" t="inlineStr">
        <is>
          <t>991003705749702656</t>
        </is>
      </c>
      <c r="AY1793" t="inlineStr">
        <is>
          <t>2263675390002656</t>
        </is>
      </c>
      <c r="AZ1793" t="inlineStr">
        <is>
          <t>BOOK</t>
        </is>
      </c>
      <c r="BC1793" t="inlineStr">
        <is>
          <t>32285002437126</t>
        </is>
      </c>
      <c r="BD1793" t="inlineStr">
        <is>
          <t>893868746</t>
        </is>
      </c>
    </row>
    <row r="1794">
      <c r="A1794" t="inlineStr">
        <is>
          <t>No</t>
        </is>
      </c>
      <c r="B1794" t="inlineStr">
        <is>
          <t>DP81 .F362</t>
        </is>
      </c>
      <c r="C1794" t="inlineStr">
        <is>
          <t>0                      DP 0081000F  362</t>
        </is>
      </c>
      <c r="D1794" t="inlineStr">
        <is>
          <t>Armada española desde la unión de los reinos de Castilla y de Aragón.</t>
        </is>
      </c>
      <c r="E1794" t="inlineStr">
        <is>
          <t>V.7</t>
        </is>
      </c>
      <c r="F1794" t="inlineStr">
        <is>
          <t>Yes</t>
        </is>
      </c>
      <c r="G1794" t="inlineStr">
        <is>
          <t>1</t>
        </is>
      </c>
      <c r="H1794" t="inlineStr">
        <is>
          <t>No</t>
        </is>
      </c>
      <c r="I1794" t="inlineStr">
        <is>
          <t>No</t>
        </is>
      </c>
      <c r="J1794" t="inlineStr">
        <is>
          <t>0</t>
        </is>
      </c>
      <c r="K1794" t="inlineStr">
        <is>
          <t>Fernández Duro, Cesáreo, 1830-1908.</t>
        </is>
      </c>
      <c r="L1794" t="inlineStr">
        <is>
          <t>Madrid, Museo Naval, 1972-73.</t>
        </is>
      </c>
      <c r="M1794" t="inlineStr">
        <is>
          <t>1972</t>
        </is>
      </c>
      <c r="O1794" t="inlineStr">
        <is>
          <t>spa</t>
        </is>
      </c>
      <c r="P1794" t="inlineStr">
        <is>
          <t xml:space="preserve">xx </t>
        </is>
      </c>
      <c r="R1794" t="inlineStr">
        <is>
          <t xml:space="preserve">DP </t>
        </is>
      </c>
      <c r="S1794" t="n">
        <v>0</v>
      </c>
      <c r="T1794" t="n">
        <v>0</v>
      </c>
      <c r="V1794" t="inlineStr">
        <is>
          <t>2009-02-06</t>
        </is>
      </c>
      <c r="W1794" t="inlineStr">
        <is>
          <t>1997-02-13</t>
        </is>
      </c>
      <c r="X1794" t="inlineStr">
        <is>
          <t>1997-02-13</t>
        </is>
      </c>
      <c r="Y1794" t="n">
        <v>37</v>
      </c>
      <c r="Z1794" t="n">
        <v>27</v>
      </c>
      <c r="AA1794" t="n">
        <v>73</v>
      </c>
      <c r="AB1794" t="n">
        <v>2</v>
      </c>
      <c r="AC1794" t="n">
        <v>2</v>
      </c>
      <c r="AD1794" t="n">
        <v>3</v>
      </c>
      <c r="AE1794" t="n">
        <v>3</v>
      </c>
      <c r="AF1794" t="n">
        <v>0</v>
      </c>
      <c r="AG1794" t="n">
        <v>0</v>
      </c>
      <c r="AH1794" t="n">
        <v>1</v>
      </c>
      <c r="AI1794" t="n">
        <v>1</v>
      </c>
      <c r="AJ1794" t="n">
        <v>1</v>
      </c>
      <c r="AK1794" t="n">
        <v>1</v>
      </c>
      <c r="AL1794" t="n">
        <v>1</v>
      </c>
      <c r="AM1794" t="n">
        <v>1</v>
      </c>
      <c r="AN1794" t="n">
        <v>0</v>
      </c>
      <c r="AO1794" t="n">
        <v>0</v>
      </c>
      <c r="AP1794" t="inlineStr">
        <is>
          <t>No</t>
        </is>
      </c>
      <c r="AQ1794" t="inlineStr">
        <is>
          <t>Yes</t>
        </is>
      </c>
      <c r="AR1794">
        <f>HYPERLINK("http://catalog.hathitrust.org/Record/010682389","HathiTrust Record")</f>
        <v/>
      </c>
      <c r="AS1794">
        <f>HYPERLINK("https://creighton-primo.hosted.exlibrisgroup.com/primo-explore/search?tab=default_tab&amp;search_scope=EVERYTHING&amp;vid=01CRU&amp;lang=en_US&amp;offset=0&amp;query=any,contains,991003705749702656","Catalog Record")</f>
        <v/>
      </c>
      <c r="AT1794">
        <f>HYPERLINK("http://www.worldcat.org/oclc/1343232","WorldCat Record")</f>
        <v/>
      </c>
      <c r="AU1794" t="inlineStr">
        <is>
          <t>4757642740:spa</t>
        </is>
      </c>
      <c r="AV1794" t="inlineStr">
        <is>
          <t>1343232</t>
        </is>
      </c>
      <c r="AW1794" t="inlineStr">
        <is>
          <t>991003705749702656</t>
        </is>
      </c>
      <c r="AX1794" t="inlineStr">
        <is>
          <t>991003705749702656</t>
        </is>
      </c>
      <c r="AY1794" t="inlineStr">
        <is>
          <t>2263675390002656</t>
        </is>
      </c>
      <c r="AZ1794" t="inlineStr">
        <is>
          <t>BOOK</t>
        </is>
      </c>
      <c r="BC1794" t="inlineStr">
        <is>
          <t>32285002437167</t>
        </is>
      </c>
      <c r="BD1794" t="inlineStr">
        <is>
          <t>893868745</t>
        </is>
      </c>
    </row>
    <row r="1795">
      <c r="A1795" t="inlineStr">
        <is>
          <t>No</t>
        </is>
      </c>
      <c r="B1795" t="inlineStr">
        <is>
          <t>DP81 .F362</t>
        </is>
      </c>
      <c r="C1795" t="inlineStr">
        <is>
          <t>0                      DP 0081000F  362</t>
        </is>
      </c>
      <c r="D1795" t="inlineStr">
        <is>
          <t>Armada española desde la unión de los reinos de Castilla y de Aragón.</t>
        </is>
      </c>
      <c r="E1795" t="inlineStr">
        <is>
          <t>V.4</t>
        </is>
      </c>
      <c r="F1795" t="inlineStr">
        <is>
          <t>Yes</t>
        </is>
      </c>
      <c r="G1795" t="inlineStr">
        <is>
          <t>1</t>
        </is>
      </c>
      <c r="H1795" t="inlineStr">
        <is>
          <t>No</t>
        </is>
      </c>
      <c r="I1795" t="inlineStr">
        <is>
          <t>No</t>
        </is>
      </c>
      <c r="J1795" t="inlineStr">
        <is>
          <t>0</t>
        </is>
      </c>
      <c r="K1795" t="inlineStr">
        <is>
          <t>Fernández Duro, Cesáreo, 1830-1908.</t>
        </is>
      </c>
      <c r="L1795" t="inlineStr">
        <is>
          <t>Madrid, Museo Naval, 1972-73.</t>
        </is>
      </c>
      <c r="M1795" t="inlineStr">
        <is>
          <t>1972</t>
        </is>
      </c>
      <c r="O1795" t="inlineStr">
        <is>
          <t>spa</t>
        </is>
      </c>
      <c r="P1795" t="inlineStr">
        <is>
          <t xml:space="preserve">xx </t>
        </is>
      </c>
      <c r="R1795" t="inlineStr">
        <is>
          <t xml:space="preserve">DP </t>
        </is>
      </c>
      <c r="S1795" t="n">
        <v>0</v>
      </c>
      <c r="T1795" t="n">
        <v>0</v>
      </c>
      <c r="V1795" t="inlineStr">
        <is>
          <t>2009-02-06</t>
        </is>
      </c>
      <c r="W1795" t="inlineStr">
        <is>
          <t>1997-02-13</t>
        </is>
      </c>
      <c r="X1795" t="inlineStr">
        <is>
          <t>1997-02-13</t>
        </is>
      </c>
      <c r="Y1795" t="n">
        <v>37</v>
      </c>
      <c r="Z1795" t="n">
        <v>27</v>
      </c>
      <c r="AA1795" t="n">
        <v>73</v>
      </c>
      <c r="AB1795" t="n">
        <v>2</v>
      </c>
      <c r="AC1795" t="n">
        <v>2</v>
      </c>
      <c r="AD1795" t="n">
        <v>3</v>
      </c>
      <c r="AE1795" t="n">
        <v>3</v>
      </c>
      <c r="AF1795" t="n">
        <v>0</v>
      </c>
      <c r="AG1795" t="n">
        <v>0</v>
      </c>
      <c r="AH1795" t="n">
        <v>1</v>
      </c>
      <c r="AI1795" t="n">
        <v>1</v>
      </c>
      <c r="AJ1795" t="n">
        <v>1</v>
      </c>
      <c r="AK1795" t="n">
        <v>1</v>
      </c>
      <c r="AL1795" t="n">
        <v>1</v>
      </c>
      <c r="AM1795" t="n">
        <v>1</v>
      </c>
      <c r="AN1795" t="n">
        <v>0</v>
      </c>
      <c r="AO1795" t="n">
        <v>0</v>
      </c>
      <c r="AP1795" t="inlineStr">
        <is>
          <t>No</t>
        </is>
      </c>
      <c r="AQ1795" t="inlineStr">
        <is>
          <t>Yes</t>
        </is>
      </c>
      <c r="AR1795">
        <f>HYPERLINK("http://catalog.hathitrust.org/Record/010682389","HathiTrust Record")</f>
        <v/>
      </c>
      <c r="AS1795">
        <f>HYPERLINK("https://creighton-primo.hosted.exlibrisgroup.com/primo-explore/search?tab=default_tab&amp;search_scope=EVERYTHING&amp;vid=01CRU&amp;lang=en_US&amp;offset=0&amp;query=any,contains,991003705749702656","Catalog Record")</f>
        <v/>
      </c>
      <c r="AT1795">
        <f>HYPERLINK("http://www.worldcat.org/oclc/1343232","WorldCat Record")</f>
        <v/>
      </c>
      <c r="AU1795" t="inlineStr">
        <is>
          <t>4757642740:spa</t>
        </is>
      </c>
      <c r="AV1795" t="inlineStr">
        <is>
          <t>1343232</t>
        </is>
      </c>
      <c r="AW1795" t="inlineStr">
        <is>
          <t>991003705749702656</t>
        </is>
      </c>
      <c r="AX1795" t="inlineStr">
        <is>
          <t>991003705749702656</t>
        </is>
      </c>
      <c r="AY1795" t="inlineStr">
        <is>
          <t>2263675390002656</t>
        </is>
      </c>
      <c r="AZ1795" t="inlineStr">
        <is>
          <t>BOOK</t>
        </is>
      </c>
      <c r="BC1795" t="inlineStr">
        <is>
          <t>32285002437134</t>
        </is>
      </c>
      <c r="BD1795" t="inlineStr">
        <is>
          <t>893894018</t>
        </is>
      </c>
    </row>
    <row r="1796">
      <c r="A1796" t="inlineStr">
        <is>
          <t>No</t>
        </is>
      </c>
      <c r="B1796" t="inlineStr">
        <is>
          <t>DP81 .F362</t>
        </is>
      </c>
      <c r="C1796" t="inlineStr">
        <is>
          <t>0                      DP 0081000F  362</t>
        </is>
      </c>
      <c r="D1796" t="inlineStr">
        <is>
          <t>Armada española desde la unión de los reinos de Castilla y de Aragón.</t>
        </is>
      </c>
      <c r="E1796" t="inlineStr">
        <is>
          <t>V.8</t>
        </is>
      </c>
      <c r="F1796" t="inlineStr">
        <is>
          <t>Yes</t>
        </is>
      </c>
      <c r="G1796" t="inlineStr">
        <is>
          <t>1</t>
        </is>
      </c>
      <c r="H1796" t="inlineStr">
        <is>
          <t>No</t>
        </is>
      </c>
      <c r="I1796" t="inlineStr">
        <is>
          <t>No</t>
        </is>
      </c>
      <c r="J1796" t="inlineStr">
        <is>
          <t>0</t>
        </is>
      </c>
      <c r="K1796" t="inlineStr">
        <is>
          <t>Fernández Duro, Cesáreo, 1830-1908.</t>
        </is>
      </c>
      <c r="L1796" t="inlineStr">
        <is>
          <t>Madrid, Museo Naval, 1972-73.</t>
        </is>
      </c>
      <c r="M1796" t="inlineStr">
        <is>
          <t>1972</t>
        </is>
      </c>
      <c r="O1796" t="inlineStr">
        <is>
          <t>spa</t>
        </is>
      </c>
      <c r="P1796" t="inlineStr">
        <is>
          <t xml:space="preserve">xx </t>
        </is>
      </c>
      <c r="R1796" t="inlineStr">
        <is>
          <t xml:space="preserve">DP </t>
        </is>
      </c>
      <c r="S1796" t="n">
        <v>0</v>
      </c>
      <c r="T1796" t="n">
        <v>0</v>
      </c>
      <c r="V1796" t="inlineStr">
        <is>
          <t>2009-02-06</t>
        </is>
      </c>
      <c r="W1796" t="inlineStr">
        <is>
          <t>1997-02-13</t>
        </is>
      </c>
      <c r="X1796" t="inlineStr">
        <is>
          <t>1997-02-13</t>
        </is>
      </c>
      <c r="Y1796" t="n">
        <v>37</v>
      </c>
      <c r="Z1796" t="n">
        <v>27</v>
      </c>
      <c r="AA1796" t="n">
        <v>73</v>
      </c>
      <c r="AB1796" t="n">
        <v>2</v>
      </c>
      <c r="AC1796" t="n">
        <v>2</v>
      </c>
      <c r="AD1796" t="n">
        <v>3</v>
      </c>
      <c r="AE1796" t="n">
        <v>3</v>
      </c>
      <c r="AF1796" t="n">
        <v>0</v>
      </c>
      <c r="AG1796" t="n">
        <v>0</v>
      </c>
      <c r="AH1796" t="n">
        <v>1</v>
      </c>
      <c r="AI1796" t="n">
        <v>1</v>
      </c>
      <c r="AJ1796" t="n">
        <v>1</v>
      </c>
      <c r="AK1796" t="n">
        <v>1</v>
      </c>
      <c r="AL1796" t="n">
        <v>1</v>
      </c>
      <c r="AM1796" t="n">
        <v>1</v>
      </c>
      <c r="AN1796" t="n">
        <v>0</v>
      </c>
      <c r="AO1796" t="n">
        <v>0</v>
      </c>
      <c r="AP1796" t="inlineStr">
        <is>
          <t>No</t>
        </is>
      </c>
      <c r="AQ1796" t="inlineStr">
        <is>
          <t>Yes</t>
        </is>
      </c>
      <c r="AR1796">
        <f>HYPERLINK("http://catalog.hathitrust.org/Record/010682389","HathiTrust Record")</f>
        <v/>
      </c>
      <c r="AS1796">
        <f>HYPERLINK("https://creighton-primo.hosted.exlibrisgroup.com/primo-explore/search?tab=default_tab&amp;search_scope=EVERYTHING&amp;vid=01CRU&amp;lang=en_US&amp;offset=0&amp;query=any,contains,991003705749702656","Catalog Record")</f>
        <v/>
      </c>
      <c r="AT1796">
        <f>HYPERLINK("http://www.worldcat.org/oclc/1343232","WorldCat Record")</f>
        <v/>
      </c>
      <c r="AU1796" t="inlineStr">
        <is>
          <t>4757642740:spa</t>
        </is>
      </c>
      <c r="AV1796" t="inlineStr">
        <is>
          <t>1343232</t>
        </is>
      </c>
      <c r="AW1796" t="inlineStr">
        <is>
          <t>991003705749702656</t>
        </is>
      </c>
      <c r="AX1796" t="inlineStr">
        <is>
          <t>991003705749702656</t>
        </is>
      </c>
      <c r="AY1796" t="inlineStr">
        <is>
          <t>2263675390002656</t>
        </is>
      </c>
      <c r="AZ1796" t="inlineStr">
        <is>
          <t>BOOK</t>
        </is>
      </c>
      <c r="BC1796" t="inlineStr">
        <is>
          <t>32285002437175</t>
        </is>
      </c>
      <c r="BD1796" t="inlineStr">
        <is>
          <t>893894016</t>
        </is>
      </c>
    </row>
    <row r="1797">
      <c r="A1797" t="inlineStr">
        <is>
          <t>No</t>
        </is>
      </c>
      <c r="B1797" t="inlineStr">
        <is>
          <t>DP84.5 .P34</t>
        </is>
      </c>
      <c r="C1797" t="inlineStr">
        <is>
          <t>0                      DP 0084500P  34</t>
        </is>
      </c>
      <c r="D1797" t="inlineStr">
        <is>
          <t>La España de la edad media, por Abdón de Paz ... Dibujos de Picolo, fotograbados de Laporta.</t>
        </is>
      </c>
      <c r="F1797" t="inlineStr">
        <is>
          <t>No</t>
        </is>
      </c>
      <c r="G1797" t="inlineStr">
        <is>
          <t>1</t>
        </is>
      </c>
      <c r="H1797" t="inlineStr">
        <is>
          <t>No</t>
        </is>
      </c>
      <c r="I1797" t="inlineStr">
        <is>
          <t>No</t>
        </is>
      </c>
      <c r="J1797" t="inlineStr">
        <is>
          <t>0</t>
        </is>
      </c>
      <c r="K1797" t="inlineStr">
        <is>
          <t>Paz, Abdón de, 1840-1899.</t>
        </is>
      </c>
      <c r="L1797" t="inlineStr">
        <is>
          <t>Madrid, F. Fe, 1898.</t>
        </is>
      </c>
      <c r="M1797" t="inlineStr">
        <is>
          <t>1898</t>
        </is>
      </c>
      <c r="O1797" t="inlineStr">
        <is>
          <t>spa</t>
        </is>
      </c>
      <c r="P1797" t="inlineStr">
        <is>
          <t xml:space="preserve">sp </t>
        </is>
      </c>
      <c r="R1797" t="inlineStr">
        <is>
          <t xml:space="preserve">DP </t>
        </is>
      </c>
      <c r="S1797" t="n">
        <v>3</v>
      </c>
      <c r="T1797" t="n">
        <v>3</v>
      </c>
      <c r="U1797" t="inlineStr">
        <is>
          <t>2003-11-26</t>
        </is>
      </c>
      <c r="V1797" t="inlineStr">
        <is>
          <t>2003-11-26</t>
        </is>
      </c>
      <c r="W1797" t="inlineStr">
        <is>
          <t>1997-02-13</t>
        </is>
      </c>
      <c r="X1797" t="inlineStr">
        <is>
          <t>1997-02-13</t>
        </is>
      </c>
      <c r="Y1797" t="n">
        <v>8</v>
      </c>
      <c r="Z1797" t="n">
        <v>5</v>
      </c>
      <c r="AA1797" t="n">
        <v>22</v>
      </c>
      <c r="AB1797" t="n">
        <v>1</v>
      </c>
      <c r="AC1797" t="n">
        <v>1</v>
      </c>
      <c r="AD1797" t="n">
        <v>0</v>
      </c>
      <c r="AE1797" t="n">
        <v>1</v>
      </c>
      <c r="AF1797" t="n">
        <v>0</v>
      </c>
      <c r="AG1797" t="n">
        <v>0</v>
      </c>
      <c r="AH1797" t="n">
        <v>0</v>
      </c>
      <c r="AI1797" t="n">
        <v>1</v>
      </c>
      <c r="AJ1797" t="n">
        <v>0</v>
      </c>
      <c r="AK1797" t="n">
        <v>0</v>
      </c>
      <c r="AL1797" t="n">
        <v>0</v>
      </c>
      <c r="AM1797" t="n">
        <v>0</v>
      </c>
      <c r="AN1797" t="n">
        <v>0</v>
      </c>
      <c r="AO1797" t="n">
        <v>0</v>
      </c>
      <c r="AP1797" t="inlineStr">
        <is>
          <t>Yes</t>
        </is>
      </c>
      <c r="AQ1797" t="inlineStr">
        <is>
          <t>No</t>
        </is>
      </c>
      <c r="AR1797">
        <f>HYPERLINK("http://catalog.hathitrust.org/Record/100706475","HathiTrust Record")</f>
        <v/>
      </c>
      <c r="AS1797">
        <f>HYPERLINK("https://creighton-primo.hosted.exlibrisgroup.com/primo-explore/search?tab=default_tab&amp;search_scope=EVERYTHING&amp;vid=01CRU&amp;lang=en_US&amp;offset=0&amp;query=any,contains,991001328999702656","Catalog Record")</f>
        <v/>
      </c>
      <c r="AT1797">
        <f>HYPERLINK("http://www.worldcat.org/oclc/18302436","WorldCat Record")</f>
        <v/>
      </c>
      <c r="AU1797" t="inlineStr">
        <is>
          <t>424382143:spa</t>
        </is>
      </c>
      <c r="AV1797" t="inlineStr">
        <is>
          <t>18302436</t>
        </is>
      </c>
      <c r="AW1797" t="inlineStr">
        <is>
          <t>991001328999702656</t>
        </is>
      </c>
      <c r="AX1797" t="inlineStr">
        <is>
          <t>991001328999702656</t>
        </is>
      </c>
      <c r="AY1797" t="inlineStr">
        <is>
          <t>2259891140002656</t>
        </is>
      </c>
      <c r="AZ1797" t="inlineStr">
        <is>
          <t>BOOK</t>
        </is>
      </c>
      <c r="BC1797" t="inlineStr">
        <is>
          <t>32285002437241</t>
        </is>
      </c>
      <c r="BD1797" t="inlineStr">
        <is>
          <t>893696665</t>
        </is>
      </c>
    </row>
    <row r="1798">
      <c r="A1798" t="inlineStr">
        <is>
          <t>No</t>
        </is>
      </c>
      <c r="B1798" t="inlineStr">
        <is>
          <t>DP85.3 .C3</t>
        </is>
      </c>
      <c r="C1798" t="inlineStr">
        <is>
          <t>0                      DP 0085300C  3</t>
        </is>
      </c>
      <c r="D1798" t="inlineStr">
        <is>
          <t>The secret diplomacy of the Habsburgs, 1598-1625 [by] Charles Howard Carter.</t>
        </is>
      </c>
      <c r="F1798" t="inlineStr">
        <is>
          <t>No</t>
        </is>
      </c>
      <c r="G1798" t="inlineStr">
        <is>
          <t>1</t>
        </is>
      </c>
      <c r="H1798" t="inlineStr">
        <is>
          <t>No</t>
        </is>
      </c>
      <c r="I1798" t="inlineStr">
        <is>
          <t>No</t>
        </is>
      </c>
      <c r="J1798" t="inlineStr">
        <is>
          <t>0</t>
        </is>
      </c>
      <c r="K1798" t="inlineStr">
        <is>
          <t>Carter, Charles H. (Charles Howard), 1927-</t>
        </is>
      </c>
      <c r="L1798" t="inlineStr">
        <is>
          <t>New York, Columbia University Press, 1964.</t>
        </is>
      </c>
      <c r="M1798" t="inlineStr">
        <is>
          <t>1964</t>
        </is>
      </c>
      <c r="O1798" t="inlineStr">
        <is>
          <t>eng</t>
        </is>
      </c>
      <c r="P1798" t="inlineStr">
        <is>
          <t>nyu</t>
        </is>
      </c>
      <c r="R1798" t="inlineStr">
        <is>
          <t xml:space="preserve">DP </t>
        </is>
      </c>
      <c r="S1798" t="n">
        <v>2</v>
      </c>
      <c r="T1798" t="n">
        <v>2</v>
      </c>
      <c r="U1798" t="inlineStr">
        <is>
          <t>1997-10-17</t>
        </is>
      </c>
      <c r="V1798" t="inlineStr">
        <is>
          <t>1997-10-17</t>
        </is>
      </c>
      <c r="W1798" t="inlineStr">
        <is>
          <t>1997-02-13</t>
        </is>
      </c>
      <c r="X1798" t="inlineStr">
        <is>
          <t>1997-02-13</t>
        </is>
      </c>
      <c r="Y1798" t="n">
        <v>858</v>
      </c>
      <c r="Z1798" t="n">
        <v>730</v>
      </c>
      <c r="AA1798" t="n">
        <v>735</v>
      </c>
      <c r="AB1798" t="n">
        <v>5</v>
      </c>
      <c r="AC1798" t="n">
        <v>5</v>
      </c>
      <c r="AD1798" t="n">
        <v>33</v>
      </c>
      <c r="AE1798" t="n">
        <v>33</v>
      </c>
      <c r="AF1798" t="n">
        <v>13</v>
      </c>
      <c r="AG1798" t="n">
        <v>13</v>
      </c>
      <c r="AH1798" t="n">
        <v>7</v>
      </c>
      <c r="AI1798" t="n">
        <v>7</v>
      </c>
      <c r="AJ1798" t="n">
        <v>19</v>
      </c>
      <c r="AK1798" t="n">
        <v>19</v>
      </c>
      <c r="AL1798" t="n">
        <v>4</v>
      </c>
      <c r="AM1798" t="n">
        <v>4</v>
      </c>
      <c r="AN1798" t="n">
        <v>0</v>
      </c>
      <c r="AO1798" t="n">
        <v>0</v>
      </c>
      <c r="AP1798" t="inlineStr">
        <is>
          <t>No</t>
        </is>
      </c>
      <c r="AQ1798" t="inlineStr">
        <is>
          <t>Yes</t>
        </is>
      </c>
      <c r="AR1798">
        <f>HYPERLINK("http://catalog.hathitrust.org/Record/001236456","HathiTrust Record")</f>
        <v/>
      </c>
      <c r="AS1798">
        <f>HYPERLINK("https://creighton-primo.hosted.exlibrisgroup.com/primo-explore/search?tab=default_tab&amp;search_scope=EVERYTHING&amp;vid=01CRU&amp;lang=en_US&amp;offset=0&amp;query=any,contains,991001931889702656","Catalog Record")</f>
        <v/>
      </c>
      <c r="AT1798">
        <f>HYPERLINK("http://www.worldcat.org/oclc/249175","WorldCat Record")</f>
        <v/>
      </c>
      <c r="AU1798" t="inlineStr">
        <is>
          <t>1410678:eng</t>
        </is>
      </c>
      <c r="AV1798" t="inlineStr">
        <is>
          <t>249175</t>
        </is>
      </c>
      <c r="AW1798" t="inlineStr">
        <is>
          <t>991001931889702656</t>
        </is>
      </c>
      <c r="AX1798" t="inlineStr">
        <is>
          <t>991001931889702656</t>
        </is>
      </c>
      <c r="AY1798" t="inlineStr">
        <is>
          <t>2256486130002656</t>
        </is>
      </c>
      <c r="AZ1798" t="inlineStr">
        <is>
          <t>BOOK</t>
        </is>
      </c>
      <c r="BC1798" t="inlineStr">
        <is>
          <t>32285002437258</t>
        </is>
      </c>
      <c r="BD1798" t="inlineStr">
        <is>
          <t>893797952</t>
        </is>
      </c>
    </row>
    <row r="1799">
      <c r="A1799" t="inlineStr">
        <is>
          <t>No</t>
        </is>
      </c>
      <c r="B1799" t="inlineStr">
        <is>
          <t>DP85.5 .C6</t>
        </is>
      </c>
      <c r="C1799" t="inlineStr">
        <is>
          <t>0                      DP 0085500C  6</t>
        </is>
      </c>
      <c r="D1799" t="inlineStr">
        <is>
          <t>España y los países musulmanes durante el ministerio de Floridablanca, por Manuel Conrotte.</t>
        </is>
      </c>
      <c r="F1799" t="inlineStr">
        <is>
          <t>No</t>
        </is>
      </c>
      <c r="G1799" t="inlineStr">
        <is>
          <t>1</t>
        </is>
      </c>
      <c r="H1799" t="inlineStr">
        <is>
          <t>No</t>
        </is>
      </c>
      <c r="I1799" t="inlineStr">
        <is>
          <t>No</t>
        </is>
      </c>
      <c r="J1799" t="inlineStr">
        <is>
          <t>0</t>
        </is>
      </c>
      <c r="K1799" t="inlineStr">
        <is>
          <t>Conrotte, Manuel, 1862-</t>
        </is>
      </c>
      <c r="L1799" t="inlineStr">
        <is>
          <t>Madrid, Impr. del Patronato de Huérfanos de Administración Militar, 1909.</t>
        </is>
      </c>
      <c r="M1799" t="inlineStr">
        <is>
          <t>1909</t>
        </is>
      </c>
      <c r="O1799" t="inlineStr">
        <is>
          <t>spa</t>
        </is>
      </c>
      <c r="P1799" t="inlineStr">
        <is>
          <t xml:space="preserve">sp </t>
        </is>
      </c>
      <c r="Q1799" t="inlineStr">
        <is>
          <t>Publicaciones de la Real Sociedad Geográfica</t>
        </is>
      </c>
      <c r="R1799" t="inlineStr">
        <is>
          <t xml:space="preserve">DP </t>
        </is>
      </c>
      <c r="S1799" t="n">
        <v>0</v>
      </c>
      <c r="T1799" t="n">
        <v>0</v>
      </c>
      <c r="U1799" t="inlineStr">
        <is>
          <t>2006-03-13</t>
        </is>
      </c>
      <c r="V1799" t="inlineStr">
        <is>
          <t>2006-03-13</t>
        </is>
      </c>
      <c r="W1799" t="inlineStr">
        <is>
          <t>1997-02-13</t>
        </is>
      </c>
      <c r="X1799" t="inlineStr">
        <is>
          <t>1997-02-13</t>
        </is>
      </c>
      <c r="Y1799" t="n">
        <v>29</v>
      </c>
      <c r="Z1799" t="n">
        <v>25</v>
      </c>
      <c r="AA1799" t="n">
        <v>43</v>
      </c>
      <c r="AB1799" t="n">
        <v>1</v>
      </c>
      <c r="AC1799" t="n">
        <v>1</v>
      </c>
      <c r="AD1799" t="n">
        <v>0</v>
      </c>
      <c r="AE1799" t="n">
        <v>0</v>
      </c>
      <c r="AF1799" t="n">
        <v>0</v>
      </c>
      <c r="AG1799" t="n">
        <v>0</v>
      </c>
      <c r="AH1799" t="n">
        <v>0</v>
      </c>
      <c r="AI1799" t="n">
        <v>0</v>
      </c>
      <c r="AJ1799" t="n">
        <v>0</v>
      </c>
      <c r="AK1799" t="n">
        <v>0</v>
      </c>
      <c r="AL1799" t="n">
        <v>0</v>
      </c>
      <c r="AM1799" t="n">
        <v>0</v>
      </c>
      <c r="AN1799" t="n">
        <v>0</v>
      </c>
      <c r="AO1799" t="n">
        <v>0</v>
      </c>
      <c r="AP1799" t="inlineStr">
        <is>
          <t>Yes</t>
        </is>
      </c>
      <c r="AQ1799" t="inlineStr">
        <is>
          <t>No</t>
        </is>
      </c>
      <c r="AR1799">
        <f>HYPERLINK("http://catalog.hathitrust.org/Record/008981614","HathiTrust Record")</f>
        <v/>
      </c>
      <c r="AS1799">
        <f>HYPERLINK("https://creighton-primo.hosted.exlibrisgroup.com/primo-explore/search?tab=default_tab&amp;search_scope=EVERYTHING&amp;vid=01CRU&amp;lang=en_US&amp;offset=0&amp;query=any,contains,991004921409702656","Catalog Record")</f>
        <v/>
      </c>
      <c r="AT1799">
        <f>HYPERLINK("http://www.worldcat.org/oclc/6044719","WorldCat Record")</f>
        <v/>
      </c>
      <c r="AU1799" t="inlineStr">
        <is>
          <t>39448522:spa</t>
        </is>
      </c>
      <c r="AV1799" t="inlineStr">
        <is>
          <t>6044719</t>
        </is>
      </c>
      <c r="AW1799" t="inlineStr">
        <is>
          <t>991004921409702656</t>
        </is>
      </c>
      <c r="AX1799" t="inlineStr">
        <is>
          <t>991004921409702656</t>
        </is>
      </c>
      <c r="AY1799" t="inlineStr">
        <is>
          <t>2257072670002656</t>
        </is>
      </c>
      <c r="AZ1799" t="inlineStr">
        <is>
          <t>BOOK</t>
        </is>
      </c>
      <c r="BC1799" t="inlineStr">
        <is>
          <t>32285002437266</t>
        </is>
      </c>
      <c r="BD1799" t="inlineStr">
        <is>
          <t>893430615</t>
        </is>
      </c>
    </row>
    <row r="1800">
      <c r="A1800" t="inlineStr">
        <is>
          <t>No</t>
        </is>
      </c>
      <c r="B1800" t="inlineStr">
        <is>
          <t>DP85.8 .H47 1974</t>
        </is>
      </c>
      <c r="C1800" t="inlineStr">
        <is>
          <t>0                      DP 0085800H  47          1974</t>
        </is>
      </c>
      <c r="D1800" t="inlineStr">
        <is>
          <t>An historical essay on modern Spain / Richard Herr.</t>
        </is>
      </c>
      <c r="F1800" t="inlineStr">
        <is>
          <t>No</t>
        </is>
      </c>
      <c r="G1800" t="inlineStr">
        <is>
          <t>1</t>
        </is>
      </c>
      <c r="H1800" t="inlineStr">
        <is>
          <t>No</t>
        </is>
      </c>
      <c r="I1800" t="inlineStr">
        <is>
          <t>No</t>
        </is>
      </c>
      <c r="J1800" t="inlineStr">
        <is>
          <t>0</t>
        </is>
      </c>
      <c r="K1800" t="inlineStr">
        <is>
          <t>Herr, Richard.</t>
        </is>
      </c>
      <c r="L1800" t="inlineStr">
        <is>
          <t>Berkeley : University of California Press, 1974, c1971.</t>
        </is>
      </c>
      <c r="M1800" t="inlineStr">
        <is>
          <t>1974</t>
        </is>
      </c>
      <c r="O1800" t="inlineStr">
        <is>
          <t>eng</t>
        </is>
      </c>
      <c r="P1800" t="inlineStr">
        <is>
          <t>cau</t>
        </is>
      </c>
      <c r="Q1800" t="inlineStr">
        <is>
          <t>Campus ; 118</t>
        </is>
      </c>
      <c r="R1800" t="inlineStr">
        <is>
          <t xml:space="preserve">DP </t>
        </is>
      </c>
      <c r="S1800" t="n">
        <v>1</v>
      </c>
      <c r="T1800" t="n">
        <v>1</v>
      </c>
      <c r="U1800" t="inlineStr">
        <is>
          <t>2006-04-02</t>
        </is>
      </c>
      <c r="V1800" t="inlineStr">
        <is>
          <t>2006-04-02</t>
        </is>
      </c>
      <c r="W1800" t="inlineStr">
        <is>
          <t>1997-02-13</t>
        </is>
      </c>
      <c r="X1800" t="inlineStr">
        <is>
          <t>1997-02-13</t>
        </is>
      </c>
      <c r="Y1800" t="n">
        <v>415</v>
      </c>
      <c r="Z1800" t="n">
        <v>331</v>
      </c>
      <c r="AA1800" t="n">
        <v>333</v>
      </c>
      <c r="AB1800" t="n">
        <v>3</v>
      </c>
      <c r="AC1800" t="n">
        <v>3</v>
      </c>
      <c r="AD1800" t="n">
        <v>21</v>
      </c>
      <c r="AE1800" t="n">
        <v>21</v>
      </c>
      <c r="AF1800" t="n">
        <v>6</v>
      </c>
      <c r="AG1800" t="n">
        <v>6</v>
      </c>
      <c r="AH1800" t="n">
        <v>8</v>
      </c>
      <c r="AI1800" t="n">
        <v>8</v>
      </c>
      <c r="AJ1800" t="n">
        <v>9</v>
      </c>
      <c r="AK1800" t="n">
        <v>9</v>
      </c>
      <c r="AL1800" t="n">
        <v>2</v>
      </c>
      <c r="AM1800" t="n">
        <v>2</v>
      </c>
      <c r="AN1800" t="n">
        <v>0</v>
      </c>
      <c r="AO1800" t="n">
        <v>0</v>
      </c>
      <c r="AP1800" t="inlineStr">
        <is>
          <t>No</t>
        </is>
      </c>
      <c r="AQ1800" t="inlineStr">
        <is>
          <t>No</t>
        </is>
      </c>
      <c r="AS1800">
        <f>HYPERLINK("https://creighton-primo.hosted.exlibrisgroup.com/primo-explore/search?tab=default_tab&amp;search_scope=EVERYTHING&amp;vid=01CRU&amp;lang=en_US&amp;offset=0&amp;query=any,contains,991003576009702656","Catalog Record")</f>
        <v/>
      </c>
      <c r="AT1800">
        <f>HYPERLINK("http://www.worldcat.org/oclc/1154580","WorldCat Record")</f>
        <v/>
      </c>
      <c r="AU1800" t="inlineStr">
        <is>
          <t>139236144:eng</t>
        </is>
      </c>
      <c r="AV1800" t="inlineStr">
        <is>
          <t>1154580</t>
        </is>
      </c>
      <c r="AW1800" t="inlineStr">
        <is>
          <t>991003576009702656</t>
        </is>
      </c>
      <c r="AX1800" t="inlineStr">
        <is>
          <t>991003576009702656</t>
        </is>
      </c>
      <c r="AY1800" t="inlineStr">
        <is>
          <t>2264453840002656</t>
        </is>
      </c>
      <c r="AZ1800" t="inlineStr">
        <is>
          <t>BOOK</t>
        </is>
      </c>
      <c r="BB1800" t="inlineStr">
        <is>
          <t>9780520025349</t>
        </is>
      </c>
      <c r="BC1800" t="inlineStr">
        <is>
          <t>32285002437290</t>
        </is>
      </c>
      <c r="BD1800" t="inlineStr">
        <is>
          <t>893623640</t>
        </is>
      </c>
    </row>
    <row r="1801">
      <c r="A1801" t="inlineStr">
        <is>
          <t>No</t>
        </is>
      </c>
      <c r="B1801" t="inlineStr">
        <is>
          <t>DP92 .H37 1988</t>
        </is>
      </c>
      <c r="C1801" t="inlineStr">
        <is>
          <t>0                      DP 0092000H  37          1988</t>
        </is>
      </c>
      <c r="D1801" t="inlineStr">
        <is>
          <t>Spain at the dawn of history : Iberians, Phoenicians, and Greeks / Richard J. Harrison.</t>
        </is>
      </c>
      <c r="F1801" t="inlineStr">
        <is>
          <t>No</t>
        </is>
      </c>
      <c r="G1801" t="inlineStr">
        <is>
          <t>1</t>
        </is>
      </c>
      <c r="H1801" t="inlineStr">
        <is>
          <t>No</t>
        </is>
      </c>
      <c r="I1801" t="inlineStr">
        <is>
          <t>No</t>
        </is>
      </c>
      <c r="J1801" t="inlineStr">
        <is>
          <t>0</t>
        </is>
      </c>
      <c r="K1801" t="inlineStr">
        <is>
          <t>Harrison, Richard J.</t>
        </is>
      </c>
      <c r="L1801" t="inlineStr">
        <is>
          <t>New York, N.Y. : Thames and Hudson, 1988.</t>
        </is>
      </c>
      <c r="M1801" t="inlineStr">
        <is>
          <t>1988</t>
        </is>
      </c>
      <c r="O1801" t="inlineStr">
        <is>
          <t>eng</t>
        </is>
      </c>
      <c r="P1801" t="inlineStr">
        <is>
          <t>nyu</t>
        </is>
      </c>
      <c r="Q1801" t="inlineStr">
        <is>
          <t>Ancient peoples and places</t>
        </is>
      </c>
      <c r="R1801" t="inlineStr">
        <is>
          <t xml:space="preserve">DP </t>
        </is>
      </c>
      <c r="S1801" t="n">
        <v>2</v>
      </c>
      <c r="T1801" t="n">
        <v>2</v>
      </c>
      <c r="U1801" t="inlineStr">
        <is>
          <t>2008-06-10</t>
        </is>
      </c>
      <c r="V1801" t="inlineStr">
        <is>
          <t>2008-06-10</t>
        </is>
      </c>
      <c r="W1801" t="inlineStr">
        <is>
          <t>2008-05-19</t>
        </is>
      </c>
      <c r="X1801" t="inlineStr">
        <is>
          <t>2008-05-19</t>
        </is>
      </c>
      <c r="Y1801" t="n">
        <v>512</v>
      </c>
      <c r="Z1801" t="n">
        <v>393</v>
      </c>
      <c r="AA1801" t="n">
        <v>396</v>
      </c>
      <c r="AB1801" t="n">
        <v>5</v>
      </c>
      <c r="AC1801" t="n">
        <v>5</v>
      </c>
      <c r="AD1801" t="n">
        <v>15</v>
      </c>
      <c r="AE1801" t="n">
        <v>15</v>
      </c>
      <c r="AF1801" t="n">
        <v>3</v>
      </c>
      <c r="AG1801" t="n">
        <v>3</v>
      </c>
      <c r="AH1801" t="n">
        <v>4</v>
      </c>
      <c r="AI1801" t="n">
        <v>4</v>
      </c>
      <c r="AJ1801" t="n">
        <v>9</v>
      </c>
      <c r="AK1801" t="n">
        <v>9</v>
      </c>
      <c r="AL1801" t="n">
        <v>3</v>
      </c>
      <c r="AM1801" t="n">
        <v>3</v>
      </c>
      <c r="AN1801" t="n">
        <v>0</v>
      </c>
      <c r="AO1801" t="n">
        <v>0</v>
      </c>
      <c r="AP1801" t="inlineStr">
        <is>
          <t>No</t>
        </is>
      </c>
      <c r="AQ1801" t="inlineStr">
        <is>
          <t>No</t>
        </is>
      </c>
      <c r="AS1801">
        <f>HYPERLINK("https://creighton-primo.hosted.exlibrisgroup.com/primo-explore/search?tab=default_tab&amp;search_scope=EVERYTHING&amp;vid=01CRU&amp;lang=en_US&amp;offset=0&amp;query=any,contains,991005223239702656","Catalog Record")</f>
        <v/>
      </c>
      <c r="AT1801">
        <f>HYPERLINK("http://www.worldcat.org/oclc/18810037","WorldCat Record")</f>
        <v/>
      </c>
      <c r="AU1801" t="inlineStr">
        <is>
          <t>143227386:eng</t>
        </is>
      </c>
      <c r="AV1801" t="inlineStr">
        <is>
          <t>18810037</t>
        </is>
      </c>
      <c r="AW1801" t="inlineStr">
        <is>
          <t>991005223239702656</t>
        </is>
      </c>
      <c r="AX1801" t="inlineStr">
        <is>
          <t>991005223239702656</t>
        </is>
      </c>
      <c r="AY1801" t="inlineStr">
        <is>
          <t>2271751300002656</t>
        </is>
      </c>
      <c r="AZ1801" t="inlineStr">
        <is>
          <t>BOOK</t>
        </is>
      </c>
      <c r="BB1801" t="inlineStr">
        <is>
          <t>9780500021118</t>
        </is>
      </c>
      <c r="BC1801" t="inlineStr">
        <is>
          <t>32285005409395</t>
        </is>
      </c>
      <c r="BD1801" t="inlineStr">
        <is>
          <t>893883546</t>
        </is>
      </c>
    </row>
    <row r="1802">
      <c r="A1802" t="inlineStr">
        <is>
          <t>No</t>
        </is>
      </c>
      <c r="B1802" t="inlineStr">
        <is>
          <t>DP96 .C649 1995</t>
        </is>
      </c>
      <c r="C1802" t="inlineStr">
        <is>
          <t>0                      DP 0096000C  649         1995</t>
        </is>
      </c>
      <c r="D1802" t="inlineStr">
        <is>
          <t>Early medieval Spain : unity in diversity, 400-1000 / Roger Collins.</t>
        </is>
      </c>
      <c r="F1802" t="inlineStr">
        <is>
          <t>No</t>
        </is>
      </c>
      <c r="G1802" t="inlineStr">
        <is>
          <t>1</t>
        </is>
      </c>
      <c r="H1802" t="inlineStr">
        <is>
          <t>No</t>
        </is>
      </c>
      <c r="I1802" t="inlineStr">
        <is>
          <t>No</t>
        </is>
      </c>
      <c r="J1802" t="inlineStr">
        <is>
          <t>0</t>
        </is>
      </c>
      <c r="K1802" t="inlineStr">
        <is>
          <t>Collins, Roger, 1949-</t>
        </is>
      </c>
      <c r="L1802" t="inlineStr">
        <is>
          <t>New York : St. Martin's Press, c1995.</t>
        </is>
      </c>
      <c r="M1802" t="inlineStr">
        <is>
          <t>1995</t>
        </is>
      </c>
      <c r="N1802" t="inlineStr">
        <is>
          <t>2nd ed.</t>
        </is>
      </c>
      <c r="O1802" t="inlineStr">
        <is>
          <t>eng</t>
        </is>
      </c>
      <c r="P1802" t="inlineStr">
        <is>
          <t>nyu</t>
        </is>
      </c>
      <c r="Q1802" t="inlineStr">
        <is>
          <t>New studies in medieval history</t>
        </is>
      </c>
      <c r="R1802" t="inlineStr">
        <is>
          <t xml:space="preserve">DP </t>
        </is>
      </c>
      <c r="S1802" t="n">
        <v>6</v>
      </c>
      <c r="T1802" t="n">
        <v>6</v>
      </c>
      <c r="U1802" t="inlineStr">
        <is>
          <t>2010-03-25</t>
        </is>
      </c>
      <c r="V1802" t="inlineStr">
        <is>
          <t>2010-03-25</t>
        </is>
      </c>
      <c r="W1802" t="inlineStr">
        <is>
          <t>1996-04-23</t>
        </is>
      </c>
      <c r="X1802" t="inlineStr">
        <is>
          <t>1996-04-23</t>
        </is>
      </c>
      <c r="Y1802" t="n">
        <v>266</v>
      </c>
      <c r="Z1802" t="n">
        <v>217</v>
      </c>
      <c r="AA1802" t="n">
        <v>601</v>
      </c>
      <c r="AB1802" t="n">
        <v>4</v>
      </c>
      <c r="AC1802" t="n">
        <v>5</v>
      </c>
      <c r="AD1802" t="n">
        <v>12</v>
      </c>
      <c r="AE1802" t="n">
        <v>31</v>
      </c>
      <c r="AF1802" t="n">
        <v>3</v>
      </c>
      <c r="AG1802" t="n">
        <v>13</v>
      </c>
      <c r="AH1802" t="n">
        <v>5</v>
      </c>
      <c r="AI1802" t="n">
        <v>10</v>
      </c>
      <c r="AJ1802" t="n">
        <v>3</v>
      </c>
      <c r="AK1802" t="n">
        <v>14</v>
      </c>
      <c r="AL1802" t="n">
        <v>3</v>
      </c>
      <c r="AM1802" t="n">
        <v>4</v>
      </c>
      <c r="AN1802" t="n">
        <v>0</v>
      </c>
      <c r="AO1802" t="n">
        <v>0</v>
      </c>
      <c r="AP1802" t="inlineStr">
        <is>
          <t>No</t>
        </is>
      </c>
      <c r="AQ1802" t="inlineStr">
        <is>
          <t>No</t>
        </is>
      </c>
      <c r="AS1802">
        <f>HYPERLINK("https://creighton-primo.hosted.exlibrisgroup.com/primo-explore/search?tab=default_tab&amp;search_scope=EVERYTHING&amp;vid=01CRU&amp;lang=en_US&amp;offset=0&amp;query=any,contains,991002454269702656","Catalog Record")</f>
        <v/>
      </c>
      <c r="AT1802">
        <f>HYPERLINK("http://www.worldcat.org/oclc/32012585","WorldCat Record")</f>
        <v/>
      </c>
      <c r="AU1802" t="inlineStr">
        <is>
          <t>3282875:eng</t>
        </is>
      </c>
      <c r="AV1802" t="inlineStr">
        <is>
          <t>32012585</t>
        </is>
      </c>
      <c r="AW1802" t="inlineStr">
        <is>
          <t>991002454269702656</t>
        </is>
      </c>
      <c r="AX1802" t="inlineStr">
        <is>
          <t>991002454269702656</t>
        </is>
      </c>
      <c r="AY1802" t="inlineStr">
        <is>
          <t>2256202820002656</t>
        </is>
      </c>
      <c r="AZ1802" t="inlineStr">
        <is>
          <t>BOOK</t>
        </is>
      </c>
      <c r="BB1802" t="inlineStr">
        <is>
          <t>9780312126629</t>
        </is>
      </c>
      <c r="BC1802" t="inlineStr">
        <is>
          <t>32285002156288</t>
        </is>
      </c>
      <c r="BD1802" t="inlineStr">
        <is>
          <t>893609877</t>
        </is>
      </c>
    </row>
    <row r="1803">
      <c r="A1803" t="inlineStr">
        <is>
          <t>No</t>
        </is>
      </c>
      <c r="B1803" t="inlineStr">
        <is>
          <t>DP96 .F84 1992</t>
        </is>
      </c>
      <c r="C1803" t="inlineStr">
        <is>
          <t>0                      DP 0096000F  84          1992</t>
        </is>
      </c>
      <c r="D1803" t="inlineStr">
        <is>
          <t>The buried mirror : reflections on Spain and the New World / Carlos Fuentes.</t>
        </is>
      </c>
      <c r="F1803" t="inlineStr">
        <is>
          <t>No</t>
        </is>
      </c>
      <c r="G1803" t="inlineStr">
        <is>
          <t>1</t>
        </is>
      </c>
      <c r="H1803" t="inlineStr">
        <is>
          <t>No</t>
        </is>
      </c>
      <c r="I1803" t="inlineStr">
        <is>
          <t>No</t>
        </is>
      </c>
      <c r="J1803" t="inlineStr">
        <is>
          <t>0</t>
        </is>
      </c>
      <c r="K1803" t="inlineStr">
        <is>
          <t>Fuentes, Carlos.</t>
        </is>
      </c>
      <c r="L1803" t="inlineStr">
        <is>
          <t>Boston : Houghton Mifflin, 1992.</t>
        </is>
      </c>
      <c r="M1803" t="inlineStr">
        <is>
          <t>1992</t>
        </is>
      </c>
      <c r="O1803" t="inlineStr">
        <is>
          <t>eng</t>
        </is>
      </c>
      <c r="P1803" t="inlineStr">
        <is>
          <t>mau</t>
        </is>
      </c>
      <c r="R1803" t="inlineStr">
        <is>
          <t xml:space="preserve">DP </t>
        </is>
      </c>
      <c r="S1803" t="n">
        <v>4</v>
      </c>
      <c r="T1803" t="n">
        <v>4</v>
      </c>
      <c r="U1803" t="inlineStr">
        <is>
          <t>2006-01-18</t>
        </is>
      </c>
      <c r="V1803" t="inlineStr">
        <is>
          <t>2006-01-18</t>
        </is>
      </c>
      <c r="W1803" t="inlineStr">
        <is>
          <t>1992-07-22</t>
        </is>
      </c>
      <c r="X1803" t="inlineStr">
        <is>
          <t>1992-07-22</t>
        </is>
      </c>
      <c r="Y1803" t="n">
        <v>1691</v>
      </c>
      <c r="Z1803" t="n">
        <v>1577</v>
      </c>
      <c r="AA1803" t="n">
        <v>1763</v>
      </c>
      <c r="AB1803" t="n">
        <v>11</v>
      </c>
      <c r="AC1803" t="n">
        <v>13</v>
      </c>
      <c r="AD1803" t="n">
        <v>42</v>
      </c>
      <c r="AE1803" t="n">
        <v>47</v>
      </c>
      <c r="AF1803" t="n">
        <v>15</v>
      </c>
      <c r="AG1803" t="n">
        <v>18</v>
      </c>
      <c r="AH1803" t="n">
        <v>9</v>
      </c>
      <c r="AI1803" t="n">
        <v>9</v>
      </c>
      <c r="AJ1803" t="n">
        <v>22</v>
      </c>
      <c r="AK1803" t="n">
        <v>23</v>
      </c>
      <c r="AL1803" t="n">
        <v>6</v>
      </c>
      <c r="AM1803" t="n">
        <v>8</v>
      </c>
      <c r="AN1803" t="n">
        <v>0</v>
      </c>
      <c r="AO1803" t="n">
        <v>0</v>
      </c>
      <c r="AP1803" t="inlineStr">
        <is>
          <t>No</t>
        </is>
      </c>
      <c r="AQ1803" t="inlineStr">
        <is>
          <t>Yes</t>
        </is>
      </c>
      <c r="AR1803">
        <f>HYPERLINK("http://catalog.hathitrust.org/Record/002528774","HathiTrust Record")</f>
        <v/>
      </c>
      <c r="AS1803">
        <f>HYPERLINK("https://creighton-primo.hosted.exlibrisgroup.com/primo-explore/search?tab=default_tab&amp;search_scope=EVERYTHING&amp;vid=01CRU&amp;lang=en_US&amp;offset=0&amp;query=any,contains,991001938999702656","Catalog Record")</f>
        <v/>
      </c>
      <c r="AT1803">
        <f>HYPERLINK("http://www.worldcat.org/oclc/24502216","WorldCat Record")</f>
        <v/>
      </c>
      <c r="AU1803" t="inlineStr">
        <is>
          <t>1151577648:eng</t>
        </is>
      </c>
      <c r="AV1803" t="inlineStr">
        <is>
          <t>24502216</t>
        </is>
      </c>
      <c r="AW1803" t="inlineStr">
        <is>
          <t>991001938999702656</t>
        </is>
      </c>
      <c r="AX1803" t="inlineStr">
        <is>
          <t>991001938999702656</t>
        </is>
      </c>
      <c r="AY1803" t="inlineStr">
        <is>
          <t>2266715700002656</t>
        </is>
      </c>
      <c r="AZ1803" t="inlineStr">
        <is>
          <t>BOOK</t>
        </is>
      </c>
      <c r="BB1803" t="inlineStr">
        <is>
          <t>9780395479780</t>
        </is>
      </c>
      <c r="BC1803" t="inlineStr">
        <is>
          <t>32285001159812</t>
        </is>
      </c>
      <c r="BD1803" t="inlineStr">
        <is>
          <t>893866610</t>
        </is>
      </c>
    </row>
    <row r="1804">
      <c r="A1804" t="inlineStr">
        <is>
          <t>No</t>
        </is>
      </c>
      <c r="B1804" t="inlineStr">
        <is>
          <t>DP99 .C25</t>
        </is>
      </c>
      <c r="C1804" t="inlineStr">
        <is>
          <t>0                      DP 0099000C  25</t>
        </is>
      </c>
      <c r="D1804" t="inlineStr">
        <is>
          <t>Los mozárabes.</t>
        </is>
      </c>
      <c r="E1804" t="inlineStr">
        <is>
          <t>V.1</t>
        </is>
      </c>
      <c r="F1804" t="inlineStr">
        <is>
          <t>Yes</t>
        </is>
      </c>
      <c r="G1804" t="inlineStr">
        <is>
          <t>1</t>
        </is>
      </c>
      <c r="H1804" t="inlineStr">
        <is>
          <t>No</t>
        </is>
      </c>
      <c r="I1804" t="inlineStr">
        <is>
          <t>No</t>
        </is>
      </c>
      <c r="J1804" t="inlineStr">
        <is>
          <t>0</t>
        </is>
      </c>
      <c r="K1804" t="inlineStr">
        <is>
          <t>Cagigas, Isidro de las, 1891-</t>
        </is>
      </c>
      <c r="L1804" t="inlineStr">
        <is>
          <t>Madrid, Consejo Superior de Investigaciones Científicas, Instituto de Estudios Africanos, 1947-48.</t>
        </is>
      </c>
      <c r="M1804" t="inlineStr">
        <is>
          <t>1947</t>
        </is>
      </c>
      <c r="O1804" t="inlineStr">
        <is>
          <t>spa</t>
        </is>
      </c>
      <c r="P1804" t="inlineStr">
        <is>
          <t xml:space="preserve">sp </t>
        </is>
      </c>
      <c r="Q1804" t="inlineStr">
        <is>
          <t>Minorias étnico-religiosas de la edad media española ; 1-2</t>
        </is>
      </c>
      <c r="R1804" t="inlineStr">
        <is>
          <t xml:space="preserve">DP </t>
        </is>
      </c>
      <c r="S1804" t="n">
        <v>1</v>
      </c>
      <c r="T1804" t="n">
        <v>2</v>
      </c>
      <c r="U1804" t="inlineStr">
        <is>
          <t>1998-10-23</t>
        </is>
      </c>
      <c r="V1804" t="inlineStr">
        <is>
          <t>2007-12-06</t>
        </is>
      </c>
      <c r="W1804" t="inlineStr">
        <is>
          <t>1997-02-13</t>
        </is>
      </c>
      <c r="X1804" t="inlineStr">
        <is>
          <t>1997-02-13</t>
        </is>
      </c>
      <c r="Y1804" t="n">
        <v>86</v>
      </c>
      <c r="Z1804" t="n">
        <v>68</v>
      </c>
      <c r="AA1804" t="n">
        <v>74</v>
      </c>
      <c r="AB1804" t="n">
        <v>2</v>
      </c>
      <c r="AC1804" t="n">
        <v>2</v>
      </c>
      <c r="AD1804" t="n">
        <v>4</v>
      </c>
      <c r="AE1804" t="n">
        <v>5</v>
      </c>
      <c r="AF1804" t="n">
        <v>0</v>
      </c>
      <c r="AG1804" t="n">
        <v>0</v>
      </c>
      <c r="AH1804" t="n">
        <v>1</v>
      </c>
      <c r="AI1804" t="n">
        <v>1</v>
      </c>
      <c r="AJ1804" t="n">
        <v>2</v>
      </c>
      <c r="AK1804" t="n">
        <v>3</v>
      </c>
      <c r="AL1804" t="n">
        <v>1</v>
      </c>
      <c r="AM1804" t="n">
        <v>1</v>
      </c>
      <c r="AN1804" t="n">
        <v>0</v>
      </c>
      <c r="AO1804" t="n">
        <v>0</v>
      </c>
      <c r="AP1804" t="inlineStr">
        <is>
          <t>No</t>
        </is>
      </c>
      <c r="AQ1804" t="inlineStr">
        <is>
          <t>Yes</t>
        </is>
      </c>
      <c r="AR1804">
        <f>HYPERLINK("http://catalog.hathitrust.org/Record/001236548","HathiTrust Record")</f>
        <v/>
      </c>
      <c r="AS1804">
        <f>HYPERLINK("https://creighton-primo.hosted.exlibrisgroup.com/primo-explore/search?tab=default_tab&amp;search_scope=EVERYTHING&amp;vid=01CRU&amp;lang=en_US&amp;offset=0&amp;query=any,contains,991003852309702656","Catalog Record")</f>
        <v/>
      </c>
      <c r="AT1804">
        <f>HYPERLINK("http://www.worldcat.org/oclc/1647986","WorldCat Record")</f>
        <v/>
      </c>
      <c r="AU1804" t="inlineStr">
        <is>
          <t>367006413:spa</t>
        </is>
      </c>
      <c r="AV1804" t="inlineStr">
        <is>
          <t>1647986</t>
        </is>
      </c>
      <c r="AW1804" t="inlineStr">
        <is>
          <t>991003852309702656</t>
        </is>
      </c>
      <c r="AX1804" t="inlineStr">
        <is>
          <t>991003852309702656</t>
        </is>
      </c>
      <c r="AY1804" t="inlineStr">
        <is>
          <t>2256856900002656</t>
        </is>
      </c>
      <c r="AZ1804" t="inlineStr">
        <is>
          <t>BOOK</t>
        </is>
      </c>
      <c r="BC1804" t="inlineStr">
        <is>
          <t>32285002437456</t>
        </is>
      </c>
      <c r="BD1804" t="inlineStr">
        <is>
          <t>893518941</t>
        </is>
      </c>
    </row>
    <row r="1805">
      <c r="A1805" t="inlineStr">
        <is>
          <t>No</t>
        </is>
      </c>
      <c r="B1805" t="inlineStr">
        <is>
          <t>DP99 .C25</t>
        </is>
      </c>
      <c r="C1805" t="inlineStr">
        <is>
          <t>0                      DP 0099000C  25</t>
        </is>
      </c>
      <c r="D1805" t="inlineStr">
        <is>
          <t>Los mozárabes.</t>
        </is>
      </c>
      <c r="E1805" t="inlineStr">
        <is>
          <t>V.2</t>
        </is>
      </c>
      <c r="F1805" t="inlineStr">
        <is>
          <t>Yes</t>
        </is>
      </c>
      <c r="G1805" t="inlineStr">
        <is>
          <t>1</t>
        </is>
      </c>
      <c r="H1805" t="inlineStr">
        <is>
          <t>No</t>
        </is>
      </c>
      <c r="I1805" t="inlineStr">
        <is>
          <t>No</t>
        </is>
      </c>
      <c r="J1805" t="inlineStr">
        <is>
          <t>0</t>
        </is>
      </c>
      <c r="K1805" t="inlineStr">
        <is>
          <t>Cagigas, Isidro de las, 1891-</t>
        </is>
      </c>
      <c r="L1805" t="inlineStr">
        <is>
          <t>Madrid, Consejo Superior de Investigaciones Científicas, Instituto de Estudios Africanos, 1947-48.</t>
        </is>
      </c>
      <c r="M1805" t="inlineStr">
        <is>
          <t>1947</t>
        </is>
      </c>
      <c r="O1805" t="inlineStr">
        <is>
          <t>spa</t>
        </is>
      </c>
      <c r="P1805" t="inlineStr">
        <is>
          <t xml:space="preserve">sp </t>
        </is>
      </c>
      <c r="Q1805" t="inlineStr">
        <is>
          <t>Minorias étnico-religiosas de la edad media española ; 1-2</t>
        </is>
      </c>
      <c r="R1805" t="inlineStr">
        <is>
          <t xml:space="preserve">DP </t>
        </is>
      </c>
      <c r="S1805" t="n">
        <v>1</v>
      </c>
      <c r="T1805" t="n">
        <v>2</v>
      </c>
      <c r="U1805" t="inlineStr">
        <is>
          <t>2007-12-06</t>
        </is>
      </c>
      <c r="V1805" t="inlineStr">
        <is>
          <t>2007-12-06</t>
        </is>
      </c>
      <c r="W1805" t="inlineStr">
        <is>
          <t>1997-02-13</t>
        </is>
      </c>
      <c r="X1805" t="inlineStr">
        <is>
          <t>1997-02-13</t>
        </is>
      </c>
      <c r="Y1805" t="n">
        <v>86</v>
      </c>
      <c r="Z1805" t="n">
        <v>68</v>
      </c>
      <c r="AA1805" t="n">
        <v>74</v>
      </c>
      <c r="AB1805" t="n">
        <v>2</v>
      </c>
      <c r="AC1805" t="n">
        <v>2</v>
      </c>
      <c r="AD1805" t="n">
        <v>4</v>
      </c>
      <c r="AE1805" t="n">
        <v>5</v>
      </c>
      <c r="AF1805" t="n">
        <v>0</v>
      </c>
      <c r="AG1805" t="n">
        <v>0</v>
      </c>
      <c r="AH1805" t="n">
        <v>1</v>
      </c>
      <c r="AI1805" t="n">
        <v>1</v>
      </c>
      <c r="AJ1805" t="n">
        <v>2</v>
      </c>
      <c r="AK1805" t="n">
        <v>3</v>
      </c>
      <c r="AL1805" t="n">
        <v>1</v>
      </c>
      <c r="AM1805" t="n">
        <v>1</v>
      </c>
      <c r="AN1805" t="n">
        <v>0</v>
      </c>
      <c r="AO1805" t="n">
        <v>0</v>
      </c>
      <c r="AP1805" t="inlineStr">
        <is>
          <t>No</t>
        </is>
      </c>
      <c r="AQ1805" t="inlineStr">
        <is>
          <t>Yes</t>
        </is>
      </c>
      <c r="AR1805">
        <f>HYPERLINK("http://catalog.hathitrust.org/Record/001236548","HathiTrust Record")</f>
        <v/>
      </c>
      <c r="AS1805">
        <f>HYPERLINK("https://creighton-primo.hosted.exlibrisgroup.com/primo-explore/search?tab=default_tab&amp;search_scope=EVERYTHING&amp;vid=01CRU&amp;lang=en_US&amp;offset=0&amp;query=any,contains,991003852309702656","Catalog Record")</f>
        <v/>
      </c>
      <c r="AT1805">
        <f>HYPERLINK("http://www.worldcat.org/oclc/1647986","WorldCat Record")</f>
        <v/>
      </c>
      <c r="AU1805" t="inlineStr">
        <is>
          <t>367006413:spa</t>
        </is>
      </c>
      <c r="AV1805" t="inlineStr">
        <is>
          <t>1647986</t>
        </is>
      </c>
      <c r="AW1805" t="inlineStr">
        <is>
          <t>991003852309702656</t>
        </is>
      </c>
      <c r="AX1805" t="inlineStr">
        <is>
          <t>991003852309702656</t>
        </is>
      </c>
      <c r="AY1805" t="inlineStr">
        <is>
          <t>2256856900002656</t>
        </is>
      </c>
      <c r="AZ1805" t="inlineStr">
        <is>
          <t>BOOK</t>
        </is>
      </c>
      <c r="BC1805" t="inlineStr">
        <is>
          <t>32285002437464</t>
        </is>
      </c>
      <c r="BD1805" t="inlineStr">
        <is>
          <t>893499790</t>
        </is>
      </c>
    </row>
    <row r="1806">
      <c r="A1806" t="inlineStr">
        <is>
          <t>No</t>
        </is>
      </c>
      <c r="B1806" t="inlineStr">
        <is>
          <t>DP99 .C35 1987</t>
        </is>
      </c>
      <c r="C1806" t="inlineStr">
        <is>
          <t>0                      DP 0099000C  35          1987</t>
        </is>
      </c>
      <c r="D1806" t="inlineStr">
        <is>
          <t>Aspectos del vivir hispánico / Américo Castro.</t>
        </is>
      </c>
      <c r="F1806" t="inlineStr">
        <is>
          <t>No</t>
        </is>
      </c>
      <c r="G1806" t="inlineStr">
        <is>
          <t>1</t>
        </is>
      </c>
      <c r="H1806" t="inlineStr">
        <is>
          <t>No</t>
        </is>
      </c>
      <c r="I1806" t="inlineStr">
        <is>
          <t>No</t>
        </is>
      </c>
      <c r="J1806" t="inlineStr">
        <is>
          <t>0</t>
        </is>
      </c>
      <c r="K1806" t="inlineStr">
        <is>
          <t>Castro, Américo, 1885-1972.</t>
        </is>
      </c>
      <c r="L1806" t="inlineStr">
        <is>
          <t>Madrid : Alianza, 1987.</t>
        </is>
      </c>
      <c r="M1806" t="inlineStr">
        <is>
          <t>1987</t>
        </is>
      </c>
      <c r="O1806" t="inlineStr">
        <is>
          <t>spa</t>
        </is>
      </c>
      <c r="P1806" t="inlineStr">
        <is>
          <t xml:space="preserve">sp </t>
        </is>
      </c>
      <c r="Q1806" t="inlineStr">
        <is>
          <t>Sección Humanidades</t>
        </is>
      </c>
      <c r="R1806" t="inlineStr">
        <is>
          <t xml:space="preserve">DP </t>
        </is>
      </c>
      <c r="S1806" t="n">
        <v>1</v>
      </c>
      <c r="T1806" t="n">
        <v>1</v>
      </c>
      <c r="U1806" t="inlineStr">
        <is>
          <t>2003-09-23</t>
        </is>
      </c>
      <c r="V1806" t="inlineStr">
        <is>
          <t>2003-09-23</t>
        </is>
      </c>
      <c r="W1806" t="inlineStr">
        <is>
          <t>1991-09-17</t>
        </is>
      </c>
      <c r="X1806" t="inlineStr">
        <is>
          <t>1991-09-17</t>
        </is>
      </c>
      <c r="Y1806" t="n">
        <v>16</v>
      </c>
      <c r="Z1806" t="n">
        <v>11</v>
      </c>
      <c r="AA1806" t="n">
        <v>117</v>
      </c>
      <c r="AB1806" t="n">
        <v>1</v>
      </c>
      <c r="AC1806" t="n">
        <v>2</v>
      </c>
      <c r="AD1806" t="n">
        <v>0</v>
      </c>
      <c r="AE1806" t="n">
        <v>3</v>
      </c>
      <c r="AF1806" t="n">
        <v>0</v>
      </c>
      <c r="AG1806" t="n">
        <v>0</v>
      </c>
      <c r="AH1806" t="n">
        <v>0</v>
      </c>
      <c r="AI1806" t="n">
        <v>0</v>
      </c>
      <c r="AJ1806" t="n">
        <v>0</v>
      </c>
      <c r="AK1806" t="n">
        <v>2</v>
      </c>
      <c r="AL1806" t="n">
        <v>0</v>
      </c>
      <c r="AM1806" t="n">
        <v>1</v>
      </c>
      <c r="AN1806" t="n">
        <v>0</v>
      </c>
      <c r="AO1806" t="n">
        <v>0</v>
      </c>
      <c r="AP1806" t="inlineStr">
        <is>
          <t>No</t>
        </is>
      </c>
      <c r="AQ1806" t="inlineStr">
        <is>
          <t>No</t>
        </is>
      </c>
      <c r="AS1806">
        <f>HYPERLINK("https://creighton-primo.hosted.exlibrisgroup.com/primo-explore/search?tab=default_tab&amp;search_scope=EVERYTHING&amp;vid=01CRU&amp;lang=en_US&amp;offset=0&amp;query=any,contains,991001440789702656","Catalog Record")</f>
        <v/>
      </c>
      <c r="AT1806">
        <f>HYPERLINK("http://www.worldcat.org/oclc/19242687","WorldCat Record")</f>
        <v/>
      </c>
      <c r="AU1806" t="inlineStr">
        <is>
          <t>10792611178:spa</t>
        </is>
      </c>
      <c r="AV1806" t="inlineStr">
        <is>
          <t>19242687</t>
        </is>
      </c>
      <c r="AW1806" t="inlineStr">
        <is>
          <t>991001440789702656</t>
        </is>
      </c>
      <c r="AX1806" t="inlineStr">
        <is>
          <t>991001440789702656</t>
        </is>
      </c>
      <c r="AY1806" t="inlineStr">
        <is>
          <t>2266307270002656</t>
        </is>
      </c>
      <c r="AZ1806" t="inlineStr">
        <is>
          <t>BOOK</t>
        </is>
      </c>
      <c r="BB1806" t="inlineStr">
        <is>
          <t>9788420612522</t>
        </is>
      </c>
      <c r="BC1806" t="inlineStr">
        <is>
          <t>32285000652049</t>
        </is>
      </c>
      <c r="BD1806" t="inlineStr">
        <is>
          <t>893590367</t>
        </is>
      </c>
    </row>
    <row r="1807">
      <c r="A1807" t="inlineStr">
        <is>
          <t>No</t>
        </is>
      </c>
      <c r="B1807" t="inlineStr">
        <is>
          <t>DP99 .G46 1995</t>
        </is>
      </c>
      <c r="C1807" t="inlineStr">
        <is>
          <t>0                      DP 0099000G  46          1995</t>
        </is>
      </c>
      <c r="D1807" t="inlineStr">
        <is>
          <t>From Muslim fortress to Christian castle : social and cultural change in medieval Spain / Thomas F. Glick.</t>
        </is>
      </c>
      <c r="F1807" t="inlineStr">
        <is>
          <t>No</t>
        </is>
      </c>
      <c r="G1807" t="inlineStr">
        <is>
          <t>1</t>
        </is>
      </c>
      <c r="H1807" t="inlineStr">
        <is>
          <t>No</t>
        </is>
      </c>
      <c r="I1807" t="inlineStr">
        <is>
          <t>No</t>
        </is>
      </c>
      <c r="J1807" t="inlineStr">
        <is>
          <t>0</t>
        </is>
      </c>
      <c r="K1807" t="inlineStr">
        <is>
          <t>Glick, Thomas F.</t>
        </is>
      </c>
      <c r="L1807" t="inlineStr">
        <is>
          <t>Manchester [England] ; New York : Manchester University Press : Distributed exclusively in the USA and Canada by St. Martin's Press, c1995.</t>
        </is>
      </c>
      <c r="M1807" t="inlineStr">
        <is>
          <t>1995</t>
        </is>
      </c>
      <c r="O1807" t="inlineStr">
        <is>
          <t>eng</t>
        </is>
      </c>
      <c r="P1807" t="inlineStr">
        <is>
          <t>enk</t>
        </is>
      </c>
      <c r="R1807" t="inlineStr">
        <is>
          <t xml:space="preserve">DP </t>
        </is>
      </c>
      <c r="S1807" t="n">
        <v>3</v>
      </c>
      <c r="T1807" t="n">
        <v>3</v>
      </c>
      <c r="U1807" t="inlineStr">
        <is>
          <t>2007-12-06</t>
        </is>
      </c>
      <c r="V1807" t="inlineStr">
        <is>
          <t>2007-12-06</t>
        </is>
      </c>
      <c r="W1807" t="inlineStr">
        <is>
          <t>2005-03-02</t>
        </is>
      </c>
      <c r="X1807" t="inlineStr">
        <is>
          <t>2005-03-02</t>
        </is>
      </c>
      <c r="Y1807" t="n">
        <v>395</v>
      </c>
      <c r="Z1807" t="n">
        <v>268</v>
      </c>
      <c r="AA1807" t="n">
        <v>270</v>
      </c>
      <c r="AB1807" t="n">
        <v>3</v>
      </c>
      <c r="AC1807" t="n">
        <v>3</v>
      </c>
      <c r="AD1807" t="n">
        <v>17</v>
      </c>
      <c r="AE1807" t="n">
        <v>17</v>
      </c>
      <c r="AF1807" t="n">
        <v>3</v>
      </c>
      <c r="AG1807" t="n">
        <v>3</v>
      </c>
      <c r="AH1807" t="n">
        <v>6</v>
      </c>
      <c r="AI1807" t="n">
        <v>6</v>
      </c>
      <c r="AJ1807" t="n">
        <v>10</v>
      </c>
      <c r="AK1807" t="n">
        <v>10</v>
      </c>
      <c r="AL1807" t="n">
        <v>2</v>
      </c>
      <c r="AM1807" t="n">
        <v>2</v>
      </c>
      <c r="AN1807" t="n">
        <v>0</v>
      </c>
      <c r="AO1807" t="n">
        <v>0</v>
      </c>
      <c r="AP1807" t="inlineStr">
        <is>
          <t>No</t>
        </is>
      </c>
      <c r="AQ1807" t="inlineStr">
        <is>
          <t>Yes</t>
        </is>
      </c>
      <c r="AR1807">
        <f>HYPERLINK("http://catalog.hathitrust.org/Record/003054709","HathiTrust Record")</f>
        <v/>
      </c>
      <c r="AS1807">
        <f>HYPERLINK("https://creighton-primo.hosted.exlibrisgroup.com/primo-explore/search?tab=default_tab&amp;search_scope=EVERYTHING&amp;vid=01CRU&amp;lang=en_US&amp;offset=0&amp;query=any,contains,991004489759702656","Catalog Record")</f>
        <v/>
      </c>
      <c r="AT1807">
        <f>HYPERLINK("http://www.worldcat.org/oclc/32013890","WorldCat Record")</f>
        <v/>
      </c>
      <c r="AU1807" t="inlineStr">
        <is>
          <t>33899057:eng</t>
        </is>
      </c>
      <c r="AV1807" t="inlineStr">
        <is>
          <t>32013890</t>
        </is>
      </c>
      <c r="AW1807" t="inlineStr">
        <is>
          <t>991004489759702656</t>
        </is>
      </c>
      <c r="AX1807" t="inlineStr">
        <is>
          <t>991004489759702656</t>
        </is>
      </c>
      <c r="AY1807" t="inlineStr">
        <is>
          <t>2255514530002656</t>
        </is>
      </c>
      <c r="AZ1807" t="inlineStr">
        <is>
          <t>BOOK</t>
        </is>
      </c>
      <c r="BB1807" t="inlineStr">
        <is>
          <t>9780719033483</t>
        </is>
      </c>
      <c r="BC1807" t="inlineStr">
        <is>
          <t>32285005028716</t>
        </is>
      </c>
      <c r="BD1807" t="inlineStr">
        <is>
          <t>893606094</t>
        </is>
      </c>
    </row>
    <row r="1808">
      <c r="A1808" t="inlineStr">
        <is>
          <t>No</t>
        </is>
      </c>
      <c r="B1808" t="inlineStr">
        <is>
          <t>DP99 .G47</t>
        </is>
      </c>
      <c r="C1808" t="inlineStr">
        <is>
          <t>0                      DP 0099000G  47</t>
        </is>
      </c>
      <c r="D1808" t="inlineStr">
        <is>
          <t>Islamic and Christian Spain in the early Middle Ages / by Thomas F. Glick.</t>
        </is>
      </c>
      <c r="F1808" t="inlineStr">
        <is>
          <t>No</t>
        </is>
      </c>
      <c r="G1808" t="inlineStr">
        <is>
          <t>1</t>
        </is>
      </c>
      <c r="H1808" t="inlineStr">
        <is>
          <t>No</t>
        </is>
      </c>
      <c r="I1808" t="inlineStr">
        <is>
          <t>No</t>
        </is>
      </c>
      <c r="J1808" t="inlineStr">
        <is>
          <t>0</t>
        </is>
      </c>
      <c r="K1808" t="inlineStr">
        <is>
          <t>Glick, Thomas F.</t>
        </is>
      </c>
      <c r="L1808" t="inlineStr">
        <is>
          <t>Princeton, N.J. : Princeton University Press, c1979.</t>
        </is>
      </c>
      <c r="M1808" t="inlineStr">
        <is>
          <t>1979</t>
        </is>
      </c>
      <c r="O1808" t="inlineStr">
        <is>
          <t>eng</t>
        </is>
      </c>
      <c r="P1808" t="inlineStr">
        <is>
          <t>nju</t>
        </is>
      </c>
      <c r="R1808" t="inlineStr">
        <is>
          <t xml:space="preserve">DP </t>
        </is>
      </c>
      <c r="S1808" t="n">
        <v>16</v>
      </c>
      <c r="T1808" t="n">
        <v>16</v>
      </c>
      <c r="U1808" t="inlineStr">
        <is>
          <t>2008-02-08</t>
        </is>
      </c>
      <c r="V1808" t="inlineStr">
        <is>
          <t>2008-02-08</t>
        </is>
      </c>
      <c r="W1808" t="inlineStr">
        <is>
          <t>1991-09-17</t>
        </is>
      </c>
      <c r="X1808" t="inlineStr">
        <is>
          <t>1991-09-17</t>
        </is>
      </c>
      <c r="Y1808" t="n">
        <v>747</v>
      </c>
      <c r="Z1808" t="n">
        <v>586</v>
      </c>
      <c r="AA1808" t="n">
        <v>618</v>
      </c>
      <c r="AB1808" t="n">
        <v>3</v>
      </c>
      <c r="AC1808" t="n">
        <v>3</v>
      </c>
      <c r="AD1808" t="n">
        <v>31</v>
      </c>
      <c r="AE1808" t="n">
        <v>34</v>
      </c>
      <c r="AF1808" t="n">
        <v>13</v>
      </c>
      <c r="AG1808" t="n">
        <v>15</v>
      </c>
      <c r="AH1808" t="n">
        <v>7</v>
      </c>
      <c r="AI1808" t="n">
        <v>9</v>
      </c>
      <c r="AJ1808" t="n">
        <v>17</v>
      </c>
      <c r="AK1808" t="n">
        <v>19</v>
      </c>
      <c r="AL1808" t="n">
        <v>2</v>
      </c>
      <c r="AM1808" t="n">
        <v>2</v>
      </c>
      <c r="AN1808" t="n">
        <v>0</v>
      </c>
      <c r="AO1808" t="n">
        <v>0</v>
      </c>
      <c r="AP1808" t="inlineStr">
        <is>
          <t>No</t>
        </is>
      </c>
      <c r="AQ1808" t="inlineStr">
        <is>
          <t>No</t>
        </is>
      </c>
      <c r="AS1808">
        <f>HYPERLINK("https://creighton-primo.hosted.exlibrisgroup.com/primo-explore/search?tab=default_tab&amp;search_scope=EVERYTHING&amp;vid=01CRU&amp;lang=en_US&amp;offset=0&amp;query=any,contains,991004677199702656","Catalog Record")</f>
        <v/>
      </c>
      <c r="AT1808">
        <f>HYPERLINK("http://www.worldcat.org/oclc/4549322","WorldCat Record")</f>
        <v/>
      </c>
      <c r="AU1808" t="inlineStr">
        <is>
          <t>441431:eng</t>
        </is>
      </c>
      <c r="AV1808" t="inlineStr">
        <is>
          <t>4549322</t>
        </is>
      </c>
      <c r="AW1808" t="inlineStr">
        <is>
          <t>991004677199702656</t>
        </is>
      </c>
      <c r="AX1808" t="inlineStr">
        <is>
          <t>991004677199702656</t>
        </is>
      </c>
      <c r="AY1808" t="inlineStr">
        <is>
          <t>2272718030002656</t>
        </is>
      </c>
      <c r="AZ1808" t="inlineStr">
        <is>
          <t>BOOK</t>
        </is>
      </c>
      <c r="BB1808" t="inlineStr">
        <is>
          <t>9780691052748</t>
        </is>
      </c>
      <c r="BC1808" t="inlineStr">
        <is>
          <t>32285000652056</t>
        </is>
      </c>
      <c r="BD1808" t="inlineStr">
        <is>
          <t>893600106</t>
        </is>
      </c>
    </row>
    <row r="1809">
      <c r="A1809" t="inlineStr">
        <is>
          <t>No</t>
        </is>
      </c>
      <c r="B1809" t="inlineStr">
        <is>
          <t>DP99 .H5</t>
        </is>
      </c>
      <c r="C1809" t="inlineStr">
        <is>
          <t>0                      DP 0099000H  5</t>
        </is>
      </c>
      <c r="D1809" t="inlineStr">
        <is>
          <t>The Spanish kingdoms, 1250-1516 / by J. N. Hillgarth.</t>
        </is>
      </c>
      <c r="E1809" t="inlineStr">
        <is>
          <t>V.1</t>
        </is>
      </c>
      <c r="F1809" t="inlineStr">
        <is>
          <t>Yes</t>
        </is>
      </c>
      <c r="G1809" t="inlineStr">
        <is>
          <t>1</t>
        </is>
      </c>
      <c r="H1809" t="inlineStr">
        <is>
          <t>No</t>
        </is>
      </c>
      <c r="I1809" t="inlineStr">
        <is>
          <t>No</t>
        </is>
      </c>
      <c r="J1809" t="inlineStr">
        <is>
          <t>0</t>
        </is>
      </c>
      <c r="K1809" t="inlineStr">
        <is>
          <t>Hillgarth, J. N.</t>
        </is>
      </c>
      <c r="L1809" t="inlineStr">
        <is>
          <t>Oxford : Clarendon Press, 1976-1978.</t>
        </is>
      </c>
      <c r="M1809" t="inlineStr">
        <is>
          <t>1976</t>
        </is>
      </c>
      <c r="O1809" t="inlineStr">
        <is>
          <t>eng</t>
        </is>
      </c>
      <c r="P1809" t="inlineStr">
        <is>
          <t>enk</t>
        </is>
      </c>
      <c r="R1809" t="inlineStr">
        <is>
          <t xml:space="preserve">DP </t>
        </is>
      </c>
      <c r="S1809" t="n">
        <v>3</v>
      </c>
      <c r="T1809" t="n">
        <v>4</v>
      </c>
      <c r="U1809" t="inlineStr">
        <is>
          <t>2005-04-27</t>
        </is>
      </c>
      <c r="V1809" t="inlineStr">
        <is>
          <t>2005-04-27</t>
        </is>
      </c>
      <c r="W1809" t="inlineStr">
        <is>
          <t>1991-09-17</t>
        </is>
      </c>
      <c r="X1809" t="inlineStr">
        <is>
          <t>1991-09-17</t>
        </is>
      </c>
      <c r="Y1809" t="n">
        <v>730</v>
      </c>
      <c r="Z1809" t="n">
        <v>607</v>
      </c>
      <c r="AA1809" t="n">
        <v>746</v>
      </c>
      <c r="AB1809" t="n">
        <v>3</v>
      </c>
      <c r="AC1809" t="n">
        <v>4</v>
      </c>
      <c r="AD1809" t="n">
        <v>27</v>
      </c>
      <c r="AE1809" t="n">
        <v>36</v>
      </c>
      <c r="AF1809" t="n">
        <v>9</v>
      </c>
      <c r="AG1809" t="n">
        <v>13</v>
      </c>
      <c r="AH1809" t="n">
        <v>6</v>
      </c>
      <c r="AI1809" t="n">
        <v>8</v>
      </c>
      <c r="AJ1809" t="n">
        <v>19</v>
      </c>
      <c r="AK1809" t="n">
        <v>22</v>
      </c>
      <c r="AL1809" t="n">
        <v>2</v>
      </c>
      <c r="AM1809" t="n">
        <v>3</v>
      </c>
      <c r="AN1809" t="n">
        <v>0</v>
      </c>
      <c r="AO1809" t="n">
        <v>0</v>
      </c>
      <c r="AP1809" t="inlineStr">
        <is>
          <t>No</t>
        </is>
      </c>
      <c r="AQ1809" t="inlineStr">
        <is>
          <t>Yes</t>
        </is>
      </c>
      <c r="AR1809">
        <f>HYPERLINK("http://catalog.hathitrust.org/Record/000228516","HathiTrust Record")</f>
        <v/>
      </c>
      <c r="AS1809">
        <f>HYPERLINK("https://creighton-primo.hosted.exlibrisgroup.com/primo-explore/search?tab=default_tab&amp;search_scope=EVERYTHING&amp;vid=01CRU&amp;lang=en_US&amp;offset=0&amp;query=any,contains,991004071349702656","Catalog Record")</f>
        <v/>
      </c>
      <c r="AT1809">
        <f>HYPERLINK("http://www.worldcat.org/oclc/2302193","WorldCat Record")</f>
        <v/>
      </c>
      <c r="AU1809" t="inlineStr">
        <is>
          <t>4926902512:eng</t>
        </is>
      </c>
      <c r="AV1809" t="inlineStr">
        <is>
          <t>2302193</t>
        </is>
      </c>
      <c r="AW1809" t="inlineStr">
        <is>
          <t>991004071349702656</t>
        </is>
      </c>
      <c r="AX1809" t="inlineStr">
        <is>
          <t>991004071349702656</t>
        </is>
      </c>
      <c r="AY1809" t="inlineStr">
        <is>
          <t>2261393120002656</t>
        </is>
      </c>
      <c r="AZ1809" t="inlineStr">
        <is>
          <t>BOOK</t>
        </is>
      </c>
      <c r="BB1809" t="inlineStr">
        <is>
          <t>9780198225300</t>
        </is>
      </c>
      <c r="BC1809" t="inlineStr">
        <is>
          <t>32285000652064</t>
        </is>
      </c>
      <c r="BD1809" t="inlineStr">
        <is>
          <t>893806606</t>
        </is>
      </c>
    </row>
    <row r="1810">
      <c r="A1810" t="inlineStr">
        <is>
          <t>No</t>
        </is>
      </c>
      <c r="B1810" t="inlineStr">
        <is>
          <t>DP99 .H5</t>
        </is>
      </c>
      <c r="C1810" t="inlineStr">
        <is>
          <t>0                      DP 0099000H  5</t>
        </is>
      </c>
      <c r="D1810" t="inlineStr">
        <is>
          <t>The Spanish kingdoms, 1250-1516 / by J. N. Hillgarth.</t>
        </is>
      </c>
      <c r="E1810" t="inlineStr">
        <is>
          <t>V.2</t>
        </is>
      </c>
      <c r="F1810" t="inlineStr">
        <is>
          <t>Yes</t>
        </is>
      </c>
      <c r="G1810" t="inlineStr">
        <is>
          <t>1</t>
        </is>
      </c>
      <c r="H1810" t="inlineStr">
        <is>
          <t>No</t>
        </is>
      </c>
      <c r="I1810" t="inlineStr">
        <is>
          <t>No</t>
        </is>
      </c>
      <c r="J1810" t="inlineStr">
        <is>
          <t>0</t>
        </is>
      </c>
      <c r="K1810" t="inlineStr">
        <is>
          <t>Hillgarth, J. N.</t>
        </is>
      </c>
      <c r="L1810" t="inlineStr">
        <is>
          <t>Oxford : Clarendon Press, 1976-1978.</t>
        </is>
      </c>
      <c r="M1810" t="inlineStr">
        <is>
          <t>1976</t>
        </is>
      </c>
      <c r="O1810" t="inlineStr">
        <is>
          <t>eng</t>
        </is>
      </c>
      <c r="P1810" t="inlineStr">
        <is>
          <t>enk</t>
        </is>
      </c>
      <c r="R1810" t="inlineStr">
        <is>
          <t xml:space="preserve">DP </t>
        </is>
      </c>
      <c r="S1810" t="n">
        <v>1</v>
      </c>
      <c r="T1810" t="n">
        <v>4</v>
      </c>
      <c r="U1810" t="inlineStr">
        <is>
          <t>2005-04-27</t>
        </is>
      </c>
      <c r="V1810" t="inlineStr">
        <is>
          <t>2005-04-27</t>
        </is>
      </c>
      <c r="W1810" t="inlineStr">
        <is>
          <t>1991-09-17</t>
        </is>
      </c>
      <c r="X1810" t="inlineStr">
        <is>
          <t>1991-09-17</t>
        </is>
      </c>
      <c r="Y1810" t="n">
        <v>730</v>
      </c>
      <c r="Z1810" t="n">
        <v>607</v>
      </c>
      <c r="AA1810" t="n">
        <v>746</v>
      </c>
      <c r="AB1810" t="n">
        <v>3</v>
      </c>
      <c r="AC1810" t="n">
        <v>4</v>
      </c>
      <c r="AD1810" t="n">
        <v>27</v>
      </c>
      <c r="AE1810" t="n">
        <v>36</v>
      </c>
      <c r="AF1810" t="n">
        <v>9</v>
      </c>
      <c r="AG1810" t="n">
        <v>13</v>
      </c>
      <c r="AH1810" t="n">
        <v>6</v>
      </c>
      <c r="AI1810" t="n">
        <v>8</v>
      </c>
      <c r="AJ1810" t="n">
        <v>19</v>
      </c>
      <c r="AK1810" t="n">
        <v>22</v>
      </c>
      <c r="AL1810" t="n">
        <v>2</v>
      </c>
      <c r="AM1810" t="n">
        <v>3</v>
      </c>
      <c r="AN1810" t="n">
        <v>0</v>
      </c>
      <c r="AO1810" t="n">
        <v>0</v>
      </c>
      <c r="AP1810" t="inlineStr">
        <is>
          <t>No</t>
        </is>
      </c>
      <c r="AQ1810" t="inlineStr">
        <is>
          <t>Yes</t>
        </is>
      </c>
      <c r="AR1810">
        <f>HYPERLINK("http://catalog.hathitrust.org/Record/000228516","HathiTrust Record")</f>
        <v/>
      </c>
      <c r="AS1810">
        <f>HYPERLINK("https://creighton-primo.hosted.exlibrisgroup.com/primo-explore/search?tab=default_tab&amp;search_scope=EVERYTHING&amp;vid=01CRU&amp;lang=en_US&amp;offset=0&amp;query=any,contains,991004071349702656","Catalog Record")</f>
        <v/>
      </c>
      <c r="AT1810">
        <f>HYPERLINK("http://www.worldcat.org/oclc/2302193","WorldCat Record")</f>
        <v/>
      </c>
      <c r="AU1810" t="inlineStr">
        <is>
          <t>4926902512:eng</t>
        </is>
      </c>
      <c r="AV1810" t="inlineStr">
        <is>
          <t>2302193</t>
        </is>
      </c>
      <c r="AW1810" t="inlineStr">
        <is>
          <t>991004071349702656</t>
        </is>
      </c>
      <c r="AX1810" t="inlineStr">
        <is>
          <t>991004071349702656</t>
        </is>
      </c>
      <c r="AY1810" t="inlineStr">
        <is>
          <t>2261393120002656</t>
        </is>
      </c>
      <c r="AZ1810" t="inlineStr">
        <is>
          <t>BOOK</t>
        </is>
      </c>
      <c r="BB1810" t="inlineStr">
        <is>
          <t>9780198225300</t>
        </is>
      </c>
      <c r="BC1810" t="inlineStr">
        <is>
          <t>32285000652072</t>
        </is>
      </c>
      <c r="BD1810" t="inlineStr">
        <is>
          <t>893788236</t>
        </is>
      </c>
    </row>
    <row r="1811">
      <c r="A1811" t="inlineStr">
        <is>
          <t>No</t>
        </is>
      </c>
      <c r="B1811" t="inlineStr">
        <is>
          <t>DP99 .J32 1972b</t>
        </is>
      </c>
      <c r="C1811" t="inlineStr">
        <is>
          <t>0                      DP 0099000J  32          1972b</t>
        </is>
      </c>
      <c r="D1811" t="inlineStr">
        <is>
          <t>The making of Medieval Spain.</t>
        </is>
      </c>
      <c r="F1811" t="inlineStr">
        <is>
          <t>No</t>
        </is>
      </c>
      <c r="G1811" t="inlineStr">
        <is>
          <t>1</t>
        </is>
      </c>
      <c r="H1811" t="inlineStr">
        <is>
          <t>No</t>
        </is>
      </c>
      <c r="I1811" t="inlineStr">
        <is>
          <t>No</t>
        </is>
      </c>
      <c r="J1811" t="inlineStr">
        <is>
          <t>0</t>
        </is>
      </c>
      <c r="K1811" t="inlineStr">
        <is>
          <t>Jackson, Gabriel.</t>
        </is>
      </c>
      <c r="L1811" t="inlineStr">
        <is>
          <t>New York] Harcourt Brace Jovanovich [1972]</t>
        </is>
      </c>
      <c r="M1811" t="inlineStr">
        <is>
          <t>1972</t>
        </is>
      </c>
      <c r="N1811" t="inlineStr">
        <is>
          <t>[1st American ed.</t>
        </is>
      </c>
      <c r="O1811" t="inlineStr">
        <is>
          <t>eng</t>
        </is>
      </c>
      <c r="P1811" t="inlineStr">
        <is>
          <t>nyu</t>
        </is>
      </c>
      <c r="Q1811" t="inlineStr">
        <is>
          <t>History of European civilization library</t>
        </is>
      </c>
      <c r="R1811" t="inlineStr">
        <is>
          <t xml:space="preserve">DP </t>
        </is>
      </c>
      <c r="S1811" t="n">
        <v>1</v>
      </c>
      <c r="T1811" t="n">
        <v>1</v>
      </c>
      <c r="U1811" t="inlineStr">
        <is>
          <t>2007-12-06</t>
        </is>
      </c>
      <c r="V1811" t="inlineStr">
        <is>
          <t>2007-12-06</t>
        </is>
      </c>
      <c r="W1811" t="inlineStr">
        <is>
          <t>1997-02-13</t>
        </is>
      </c>
      <c r="X1811" t="inlineStr">
        <is>
          <t>1997-02-13</t>
        </is>
      </c>
      <c r="Y1811" t="n">
        <v>771</v>
      </c>
      <c r="Z1811" t="n">
        <v>739</v>
      </c>
      <c r="AA1811" t="n">
        <v>818</v>
      </c>
      <c r="AB1811" t="n">
        <v>5</v>
      </c>
      <c r="AC1811" t="n">
        <v>5</v>
      </c>
      <c r="AD1811" t="n">
        <v>28</v>
      </c>
      <c r="AE1811" t="n">
        <v>33</v>
      </c>
      <c r="AF1811" t="n">
        <v>14</v>
      </c>
      <c r="AG1811" t="n">
        <v>16</v>
      </c>
      <c r="AH1811" t="n">
        <v>4</v>
      </c>
      <c r="AI1811" t="n">
        <v>7</v>
      </c>
      <c r="AJ1811" t="n">
        <v>12</v>
      </c>
      <c r="AK1811" t="n">
        <v>15</v>
      </c>
      <c r="AL1811" t="n">
        <v>4</v>
      </c>
      <c r="AM1811" t="n">
        <v>4</v>
      </c>
      <c r="AN1811" t="n">
        <v>0</v>
      </c>
      <c r="AO1811" t="n">
        <v>0</v>
      </c>
      <c r="AP1811" t="inlineStr">
        <is>
          <t>No</t>
        </is>
      </c>
      <c r="AQ1811" t="inlineStr">
        <is>
          <t>Yes</t>
        </is>
      </c>
      <c r="AR1811">
        <f>HYPERLINK("http://catalog.hathitrust.org/Record/004409201","HathiTrust Record")</f>
        <v/>
      </c>
      <c r="AS1811">
        <f>HYPERLINK("https://creighton-primo.hosted.exlibrisgroup.com/primo-explore/search?tab=default_tab&amp;search_scope=EVERYTHING&amp;vid=01CRU&amp;lang=en_US&amp;offset=0&amp;query=any,contains,991002179799702656","Catalog Record")</f>
        <v/>
      </c>
      <c r="AT1811">
        <f>HYPERLINK("http://www.worldcat.org/oclc/278791","WorldCat Record")</f>
        <v/>
      </c>
      <c r="AU1811" t="inlineStr">
        <is>
          <t>1421279:eng</t>
        </is>
      </c>
      <c r="AV1811" t="inlineStr">
        <is>
          <t>278791</t>
        </is>
      </c>
      <c r="AW1811" t="inlineStr">
        <is>
          <t>991002179799702656</t>
        </is>
      </c>
      <c r="AX1811" t="inlineStr">
        <is>
          <t>991002179799702656</t>
        </is>
      </c>
      <c r="AY1811" t="inlineStr">
        <is>
          <t>2258257260002656</t>
        </is>
      </c>
      <c r="AZ1811" t="inlineStr">
        <is>
          <t>BOOK</t>
        </is>
      </c>
      <c r="BB1811" t="inlineStr">
        <is>
          <t>9780151559756</t>
        </is>
      </c>
      <c r="BC1811" t="inlineStr">
        <is>
          <t>32285002437498</t>
        </is>
      </c>
      <c r="BD1811" t="inlineStr">
        <is>
          <t>893866898</t>
        </is>
      </c>
    </row>
    <row r="1812">
      <c r="A1812" t="inlineStr">
        <is>
          <t>No</t>
        </is>
      </c>
      <c r="B1812" t="inlineStr">
        <is>
          <t>DP99 .M23 1977</t>
        </is>
      </c>
      <c r="C1812" t="inlineStr">
        <is>
          <t>0                      DP 0099000M  23          1977</t>
        </is>
      </c>
      <c r="D1812" t="inlineStr">
        <is>
          <t>Spain in the Middle Ages : from frontier to empire, 1000-1500 / Angus MacKay.</t>
        </is>
      </c>
      <c r="F1812" t="inlineStr">
        <is>
          <t>No</t>
        </is>
      </c>
      <c r="G1812" t="inlineStr">
        <is>
          <t>1</t>
        </is>
      </c>
      <c r="H1812" t="inlineStr">
        <is>
          <t>No</t>
        </is>
      </c>
      <c r="I1812" t="inlineStr">
        <is>
          <t>No</t>
        </is>
      </c>
      <c r="J1812" t="inlineStr">
        <is>
          <t>0</t>
        </is>
      </c>
      <c r="K1812" t="inlineStr">
        <is>
          <t>MacKay, Angus, 1939-</t>
        </is>
      </c>
      <c r="L1812" t="inlineStr">
        <is>
          <t>New York : St. Martin's Press, 1977.</t>
        </is>
      </c>
      <c r="M1812" t="inlineStr">
        <is>
          <t>1977</t>
        </is>
      </c>
      <c r="O1812" t="inlineStr">
        <is>
          <t>eng</t>
        </is>
      </c>
      <c r="P1812" t="inlineStr">
        <is>
          <t>nyu</t>
        </is>
      </c>
      <c r="Q1812" t="inlineStr">
        <is>
          <t>New studies in medieval history</t>
        </is>
      </c>
      <c r="R1812" t="inlineStr">
        <is>
          <t xml:space="preserve">DP </t>
        </is>
      </c>
      <c r="S1812" t="n">
        <v>2</v>
      </c>
      <c r="T1812" t="n">
        <v>2</v>
      </c>
      <c r="U1812" t="inlineStr">
        <is>
          <t>2009-02-20</t>
        </is>
      </c>
      <c r="V1812" t="inlineStr">
        <is>
          <t>2009-02-20</t>
        </is>
      </c>
      <c r="W1812" t="inlineStr">
        <is>
          <t>1997-02-13</t>
        </is>
      </c>
      <c r="X1812" t="inlineStr">
        <is>
          <t>1997-02-13</t>
        </is>
      </c>
      <c r="Y1812" t="n">
        <v>457</v>
      </c>
      <c r="Z1812" t="n">
        <v>423</v>
      </c>
      <c r="AA1812" t="n">
        <v>576</v>
      </c>
      <c r="AB1812" t="n">
        <v>4</v>
      </c>
      <c r="AC1812" t="n">
        <v>5</v>
      </c>
      <c r="AD1812" t="n">
        <v>20</v>
      </c>
      <c r="AE1812" t="n">
        <v>26</v>
      </c>
      <c r="AF1812" t="n">
        <v>7</v>
      </c>
      <c r="AG1812" t="n">
        <v>9</v>
      </c>
      <c r="AH1812" t="n">
        <v>8</v>
      </c>
      <c r="AI1812" t="n">
        <v>8</v>
      </c>
      <c r="AJ1812" t="n">
        <v>8</v>
      </c>
      <c r="AK1812" t="n">
        <v>11</v>
      </c>
      <c r="AL1812" t="n">
        <v>3</v>
      </c>
      <c r="AM1812" t="n">
        <v>4</v>
      </c>
      <c r="AN1812" t="n">
        <v>0</v>
      </c>
      <c r="AO1812" t="n">
        <v>0</v>
      </c>
      <c r="AP1812" t="inlineStr">
        <is>
          <t>No</t>
        </is>
      </c>
      <c r="AQ1812" t="inlineStr">
        <is>
          <t>No</t>
        </is>
      </c>
      <c r="AS1812">
        <f>HYPERLINK("https://creighton-primo.hosted.exlibrisgroup.com/primo-explore/search?tab=default_tab&amp;search_scope=EVERYTHING&amp;vid=01CRU&amp;lang=en_US&amp;offset=0&amp;query=any,contains,991004435129702656","Catalog Record")</f>
        <v/>
      </c>
      <c r="AT1812">
        <f>HYPERLINK("http://www.worldcat.org/oclc/3439184","WorldCat Record")</f>
        <v/>
      </c>
      <c r="AU1812" t="inlineStr">
        <is>
          <t>10626886:eng</t>
        </is>
      </c>
      <c r="AV1812" t="inlineStr">
        <is>
          <t>3439184</t>
        </is>
      </c>
      <c r="AW1812" t="inlineStr">
        <is>
          <t>991004435129702656</t>
        </is>
      </c>
      <c r="AX1812" t="inlineStr">
        <is>
          <t>991004435129702656</t>
        </is>
      </c>
      <c r="AY1812" t="inlineStr">
        <is>
          <t>2266336640002656</t>
        </is>
      </c>
      <c r="AZ1812" t="inlineStr">
        <is>
          <t>BOOK</t>
        </is>
      </c>
      <c r="BB1812" t="inlineStr">
        <is>
          <t>9780312749781</t>
        </is>
      </c>
      <c r="BC1812" t="inlineStr">
        <is>
          <t>32285002437506</t>
        </is>
      </c>
      <c r="BD1812" t="inlineStr">
        <is>
          <t>893430058</t>
        </is>
      </c>
    </row>
    <row r="1813">
      <c r="A1813" t="inlineStr">
        <is>
          <t>No</t>
        </is>
      </c>
      <c r="B1813" t="inlineStr">
        <is>
          <t>DP99 .M5</t>
        </is>
      </c>
      <c r="C1813" t="inlineStr">
        <is>
          <t>0                      DP 0099000M  5</t>
        </is>
      </c>
      <c r="D1813" t="inlineStr">
        <is>
          <t>La España medieval : sociedades, estados, culturas / Emilio Mitre.</t>
        </is>
      </c>
      <c r="F1813" t="inlineStr">
        <is>
          <t>No</t>
        </is>
      </c>
      <c r="G1813" t="inlineStr">
        <is>
          <t>1</t>
        </is>
      </c>
      <c r="H1813" t="inlineStr">
        <is>
          <t>No</t>
        </is>
      </c>
      <c r="I1813" t="inlineStr">
        <is>
          <t>No</t>
        </is>
      </c>
      <c r="J1813" t="inlineStr">
        <is>
          <t>0</t>
        </is>
      </c>
      <c r="K1813" t="inlineStr">
        <is>
          <t>Mitre Fernández, Emilio.</t>
        </is>
      </c>
      <c r="L1813" t="inlineStr">
        <is>
          <t>Madrid : Ediciones ISTMO, c1979.</t>
        </is>
      </c>
      <c r="M1813" t="inlineStr">
        <is>
          <t>1979</t>
        </is>
      </c>
      <c r="O1813" t="inlineStr">
        <is>
          <t>spa</t>
        </is>
      </c>
      <c r="P1813" t="inlineStr">
        <is>
          <t xml:space="preserve">sp </t>
        </is>
      </c>
      <c r="Q1813" t="inlineStr">
        <is>
          <t>Ciclos y temas de la historia de España</t>
        </is>
      </c>
      <c r="R1813" t="inlineStr">
        <is>
          <t xml:space="preserve">DP </t>
        </is>
      </c>
      <c r="S1813" t="n">
        <v>9</v>
      </c>
      <c r="T1813" t="n">
        <v>9</v>
      </c>
      <c r="U1813" t="inlineStr">
        <is>
          <t>2004-03-24</t>
        </is>
      </c>
      <c r="V1813" t="inlineStr">
        <is>
          <t>2004-03-24</t>
        </is>
      </c>
      <c r="W1813" t="inlineStr">
        <is>
          <t>1991-09-17</t>
        </is>
      </c>
      <c r="X1813" t="inlineStr">
        <is>
          <t>1991-09-17</t>
        </is>
      </c>
      <c r="Y1813" t="n">
        <v>147</v>
      </c>
      <c r="Z1813" t="n">
        <v>105</v>
      </c>
      <c r="AA1813" t="n">
        <v>112</v>
      </c>
      <c r="AB1813" t="n">
        <v>1</v>
      </c>
      <c r="AC1813" t="n">
        <v>1</v>
      </c>
      <c r="AD1813" t="n">
        <v>5</v>
      </c>
      <c r="AE1813" t="n">
        <v>5</v>
      </c>
      <c r="AF1813" t="n">
        <v>1</v>
      </c>
      <c r="AG1813" t="n">
        <v>1</v>
      </c>
      <c r="AH1813" t="n">
        <v>2</v>
      </c>
      <c r="AI1813" t="n">
        <v>2</v>
      </c>
      <c r="AJ1813" t="n">
        <v>5</v>
      </c>
      <c r="AK1813" t="n">
        <v>5</v>
      </c>
      <c r="AL1813" t="n">
        <v>0</v>
      </c>
      <c r="AM1813" t="n">
        <v>0</v>
      </c>
      <c r="AN1813" t="n">
        <v>0</v>
      </c>
      <c r="AO1813" t="n">
        <v>0</v>
      </c>
      <c r="AP1813" t="inlineStr">
        <is>
          <t>No</t>
        </is>
      </c>
      <c r="AQ1813" t="inlineStr">
        <is>
          <t>Yes</t>
        </is>
      </c>
      <c r="AR1813">
        <f>HYPERLINK("http://catalog.hathitrust.org/Record/002187993","HathiTrust Record")</f>
        <v/>
      </c>
      <c r="AS1813">
        <f>HYPERLINK("https://creighton-primo.hosted.exlibrisgroup.com/primo-explore/search?tab=default_tab&amp;search_scope=EVERYTHING&amp;vid=01CRU&amp;lang=en_US&amp;offset=0&amp;query=any,contains,991005001579702656","Catalog Record")</f>
        <v/>
      </c>
      <c r="AT1813">
        <f>HYPERLINK("http://www.worldcat.org/oclc/9687499","WorldCat Record")</f>
        <v/>
      </c>
      <c r="AU1813" t="inlineStr">
        <is>
          <t>349255140:spa</t>
        </is>
      </c>
      <c r="AV1813" t="inlineStr">
        <is>
          <t>9687499</t>
        </is>
      </c>
      <c r="AW1813" t="inlineStr">
        <is>
          <t>991005001579702656</t>
        </is>
      </c>
      <c r="AX1813" t="inlineStr">
        <is>
          <t>991005001579702656</t>
        </is>
      </c>
      <c r="AY1813" t="inlineStr">
        <is>
          <t>2272059870002656</t>
        </is>
      </c>
      <c r="AZ1813" t="inlineStr">
        <is>
          <t>BOOK</t>
        </is>
      </c>
      <c r="BB1813" t="inlineStr">
        <is>
          <t>9788470900945</t>
        </is>
      </c>
      <c r="BC1813" t="inlineStr">
        <is>
          <t>32285000652080</t>
        </is>
      </c>
      <c r="BD1813" t="inlineStr">
        <is>
          <t>893254314</t>
        </is>
      </c>
    </row>
    <row r="1814">
      <c r="A1814" t="inlineStr">
        <is>
          <t>No</t>
        </is>
      </c>
      <c r="B1814" t="inlineStr">
        <is>
          <t>DP99 .M55 1989</t>
        </is>
      </c>
      <c r="C1814" t="inlineStr">
        <is>
          <t>0                      DP 0099000M  55          1989</t>
        </is>
      </c>
      <c r="D1814" t="inlineStr">
        <is>
          <t>La Reconquista / José María Mínguez.</t>
        </is>
      </c>
      <c r="F1814" t="inlineStr">
        <is>
          <t>No</t>
        </is>
      </c>
      <c r="G1814" t="inlineStr">
        <is>
          <t>1</t>
        </is>
      </c>
      <c r="H1814" t="inlineStr">
        <is>
          <t>No</t>
        </is>
      </c>
      <c r="I1814" t="inlineStr">
        <is>
          <t>No</t>
        </is>
      </c>
      <c r="J1814" t="inlineStr">
        <is>
          <t>0</t>
        </is>
      </c>
      <c r="K1814" t="inlineStr">
        <is>
          <t>Mínguez Fernández, José María.</t>
        </is>
      </c>
      <c r="L1814" t="inlineStr">
        <is>
          <t>Madrid : Historia 16, [1989?]</t>
        </is>
      </c>
      <c r="M1814" t="inlineStr">
        <is>
          <t>1989</t>
        </is>
      </c>
      <c r="O1814" t="inlineStr">
        <is>
          <t>spa</t>
        </is>
      </c>
      <c r="P1814" t="inlineStr">
        <is>
          <t xml:space="preserve">sp </t>
        </is>
      </c>
      <c r="Q1814" t="inlineStr">
        <is>
          <t>Biblioteca Historia 16 ; 18</t>
        </is>
      </c>
      <c r="R1814" t="inlineStr">
        <is>
          <t xml:space="preserve">DP </t>
        </is>
      </c>
      <c r="S1814" t="n">
        <v>1</v>
      </c>
      <c r="T1814" t="n">
        <v>1</v>
      </c>
      <c r="U1814" t="inlineStr">
        <is>
          <t>2005-03-22</t>
        </is>
      </c>
      <c r="V1814" t="inlineStr">
        <is>
          <t>2005-03-22</t>
        </is>
      </c>
      <c r="W1814" t="inlineStr">
        <is>
          <t>2005-03-22</t>
        </is>
      </c>
      <c r="X1814" t="inlineStr">
        <is>
          <t>2005-03-22</t>
        </is>
      </c>
      <c r="Y1814" t="n">
        <v>23</v>
      </c>
      <c r="Z1814" t="n">
        <v>11</v>
      </c>
      <c r="AA1814" t="n">
        <v>11</v>
      </c>
      <c r="AB1814" t="n">
        <v>1</v>
      </c>
      <c r="AC1814" t="n">
        <v>1</v>
      </c>
      <c r="AD1814" t="n">
        <v>1</v>
      </c>
      <c r="AE1814" t="n">
        <v>1</v>
      </c>
      <c r="AF1814" t="n">
        <v>0</v>
      </c>
      <c r="AG1814" t="n">
        <v>0</v>
      </c>
      <c r="AH1814" t="n">
        <v>0</v>
      </c>
      <c r="AI1814" t="n">
        <v>0</v>
      </c>
      <c r="AJ1814" t="n">
        <v>1</v>
      </c>
      <c r="AK1814" t="n">
        <v>1</v>
      </c>
      <c r="AL1814" t="n">
        <v>0</v>
      </c>
      <c r="AM1814" t="n">
        <v>0</v>
      </c>
      <c r="AN1814" t="n">
        <v>0</v>
      </c>
      <c r="AO1814" t="n">
        <v>0</v>
      </c>
      <c r="AP1814" t="inlineStr">
        <is>
          <t>No</t>
        </is>
      </c>
      <c r="AQ1814" t="inlineStr">
        <is>
          <t>No</t>
        </is>
      </c>
      <c r="AS1814">
        <f>HYPERLINK("https://creighton-primo.hosted.exlibrisgroup.com/primo-explore/search?tab=default_tab&amp;search_scope=EVERYTHING&amp;vid=01CRU&amp;lang=en_US&amp;offset=0&amp;query=any,contains,991004508599702656","Catalog Record")</f>
        <v/>
      </c>
      <c r="AT1814">
        <f>HYPERLINK("http://www.worldcat.org/oclc/22863171","WorldCat Record")</f>
        <v/>
      </c>
      <c r="AU1814" t="inlineStr">
        <is>
          <t>3943584263:spa</t>
        </is>
      </c>
      <c r="AV1814" t="inlineStr">
        <is>
          <t>22863171</t>
        </is>
      </c>
      <c r="AW1814" t="inlineStr">
        <is>
          <t>991004508599702656</t>
        </is>
      </c>
      <c r="AX1814" t="inlineStr">
        <is>
          <t>991004508599702656</t>
        </is>
      </c>
      <c r="AY1814" t="inlineStr">
        <is>
          <t>2271451670002656</t>
        </is>
      </c>
      <c r="AZ1814" t="inlineStr">
        <is>
          <t>BOOK</t>
        </is>
      </c>
      <c r="BB1814" t="inlineStr">
        <is>
          <t>9788476791523</t>
        </is>
      </c>
      <c r="BC1814" t="inlineStr">
        <is>
          <t>32285005029425</t>
        </is>
      </c>
      <c r="BD1814" t="inlineStr">
        <is>
          <t>893882546</t>
        </is>
      </c>
    </row>
    <row r="1815">
      <c r="A1815" t="inlineStr">
        <is>
          <t>No</t>
        </is>
      </c>
      <c r="B1815" t="inlineStr">
        <is>
          <t>DP99 .R3</t>
        </is>
      </c>
      <c r="C1815" t="inlineStr">
        <is>
          <t>0                      DP 0099000R  3</t>
        </is>
      </c>
      <c r="D1815" t="inlineStr">
        <is>
          <t>Spain: the rise of the first world power.</t>
        </is>
      </c>
      <c r="F1815" t="inlineStr">
        <is>
          <t>No</t>
        </is>
      </c>
      <c r="G1815" t="inlineStr">
        <is>
          <t>1</t>
        </is>
      </c>
      <c r="H1815" t="inlineStr">
        <is>
          <t>No</t>
        </is>
      </c>
      <c r="I1815" t="inlineStr">
        <is>
          <t>No</t>
        </is>
      </c>
      <c r="J1815" t="inlineStr">
        <is>
          <t>0</t>
        </is>
      </c>
      <c r="K1815" t="inlineStr">
        <is>
          <t>Ramsey, John Fraser, 1907-</t>
        </is>
      </c>
      <c r="L1815" t="inlineStr">
        <is>
          <t>University, Published for the Office for International Studies and Programs by the University of Alabama Press [c1973]</t>
        </is>
      </c>
      <c r="M1815" t="inlineStr">
        <is>
          <t>1973</t>
        </is>
      </c>
      <c r="O1815" t="inlineStr">
        <is>
          <t>eng</t>
        </is>
      </c>
      <c r="P1815" t="inlineStr">
        <is>
          <t>alu</t>
        </is>
      </c>
      <c r="Q1815" t="inlineStr">
        <is>
          <t>Mediterranean Europe series ; 1</t>
        </is>
      </c>
      <c r="R1815" t="inlineStr">
        <is>
          <t xml:space="preserve">DP </t>
        </is>
      </c>
      <c r="S1815" t="n">
        <v>2</v>
      </c>
      <c r="T1815" t="n">
        <v>2</v>
      </c>
      <c r="U1815" t="inlineStr">
        <is>
          <t>1997-12-10</t>
        </is>
      </c>
      <c r="V1815" t="inlineStr">
        <is>
          <t>1997-12-10</t>
        </is>
      </c>
      <c r="W1815" t="inlineStr">
        <is>
          <t>1997-02-13</t>
        </is>
      </c>
      <c r="X1815" t="inlineStr">
        <is>
          <t>1997-02-13</t>
        </is>
      </c>
      <c r="Y1815" t="n">
        <v>668</v>
      </c>
      <c r="Z1815" t="n">
        <v>583</v>
      </c>
      <c r="AA1815" t="n">
        <v>590</v>
      </c>
      <c r="AB1815" t="n">
        <v>4</v>
      </c>
      <c r="AC1815" t="n">
        <v>4</v>
      </c>
      <c r="AD1815" t="n">
        <v>29</v>
      </c>
      <c r="AE1815" t="n">
        <v>29</v>
      </c>
      <c r="AF1815" t="n">
        <v>13</v>
      </c>
      <c r="AG1815" t="n">
        <v>13</v>
      </c>
      <c r="AH1815" t="n">
        <v>6</v>
      </c>
      <c r="AI1815" t="n">
        <v>6</v>
      </c>
      <c r="AJ1815" t="n">
        <v>13</v>
      </c>
      <c r="AK1815" t="n">
        <v>13</v>
      </c>
      <c r="AL1815" t="n">
        <v>2</v>
      </c>
      <c r="AM1815" t="n">
        <v>2</v>
      </c>
      <c r="AN1815" t="n">
        <v>0</v>
      </c>
      <c r="AO1815" t="n">
        <v>0</v>
      </c>
      <c r="AP1815" t="inlineStr">
        <is>
          <t>No</t>
        </is>
      </c>
      <c r="AQ1815" t="inlineStr">
        <is>
          <t>Yes</t>
        </is>
      </c>
      <c r="AR1815">
        <f>HYPERLINK("http://catalog.hathitrust.org/Record/000014695","HathiTrust Record")</f>
        <v/>
      </c>
      <c r="AS1815">
        <f>HYPERLINK("https://creighton-primo.hosted.exlibrisgroup.com/primo-explore/search?tab=default_tab&amp;search_scope=EVERYTHING&amp;vid=01CRU&amp;lang=en_US&amp;offset=0&amp;query=any,contains,991003382549702656","Catalog Record")</f>
        <v/>
      </c>
      <c r="AT1815">
        <f>HYPERLINK("http://www.worldcat.org/oclc/919462","WorldCat Record")</f>
        <v/>
      </c>
      <c r="AU1815" t="inlineStr">
        <is>
          <t>1863265:eng</t>
        </is>
      </c>
      <c r="AV1815" t="inlineStr">
        <is>
          <t>919462</t>
        </is>
      </c>
      <c r="AW1815" t="inlineStr">
        <is>
          <t>991003382549702656</t>
        </is>
      </c>
      <c r="AX1815" t="inlineStr">
        <is>
          <t>991003382549702656</t>
        </is>
      </c>
      <c r="AY1815" t="inlineStr">
        <is>
          <t>2261111040002656</t>
        </is>
      </c>
      <c r="AZ1815" t="inlineStr">
        <is>
          <t>BOOK</t>
        </is>
      </c>
      <c r="BB1815" t="inlineStr">
        <is>
          <t>9780817357047</t>
        </is>
      </c>
      <c r="BC1815" t="inlineStr">
        <is>
          <t>32285002437530</t>
        </is>
      </c>
      <c r="BD1815" t="inlineStr">
        <is>
          <t>893445639</t>
        </is>
      </c>
    </row>
    <row r="1816">
      <c r="A1816" t="inlineStr">
        <is>
          <t>No</t>
        </is>
      </c>
      <c r="B1816" t="inlineStr">
        <is>
          <t>DP99 .S9</t>
        </is>
      </c>
      <c r="C1816" t="inlineStr">
        <is>
          <t>0                      DP 0099000S  9</t>
        </is>
      </c>
      <c r="D1816" t="inlineStr">
        <is>
          <t>Historia de España, Edad Media.</t>
        </is>
      </c>
      <c r="F1816" t="inlineStr">
        <is>
          <t>No</t>
        </is>
      </c>
      <c r="G1816" t="inlineStr">
        <is>
          <t>1</t>
        </is>
      </c>
      <c r="H1816" t="inlineStr">
        <is>
          <t>No</t>
        </is>
      </c>
      <c r="I1816" t="inlineStr">
        <is>
          <t>No</t>
        </is>
      </c>
      <c r="J1816" t="inlineStr">
        <is>
          <t>0</t>
        </is>
      </c>
      <c r="K1816" t="inlineStr">
        <is>
          <t>Suárez Fernández, Luis.</t>
        </is>
      </c>
      <c r="L1816" t="inlineStr">
        <is>
          <t>Madrid, Editorial Gredos [1970]</t>
        </is>
      </c>
      <c r="M1816" t="inlineStr">
        <is>
          <t>1970</t>
        </is>
      </c>
      <c r="O1816" t="inlineStr">
        <is>
          <t>spa</t>
        </is>
      </c>
      <c r="P1816" t="inlineStr">
        <is>
          <t xml:space="preserve">xx </t>
        </is>
      </c>
      <c r="R1816" t="inlineStr">
        <is>
          <t xml:space="preserve">DP </t>
        </is>
      </c>
      <c r="S1816" t="n">
        <v>1</v>
      </c>
      <c r="T1816" t="n">
        <v>1</v>
      </c>
      <c r="U1816" t="inlineStr">
        <is>
          <t>2003-09-25</t>
        </is>
      </c>
      <c r="V1816" t="inlineStr">
        <is>
          <t>2003-09-25</t>
        </is>
      </c>
      <c r="W1816" t="inlineStr">
        <is>
          <t>1997-02-13</t>
        </is>
      </c>
      <c r="X1816" t="inlineStr">
        <is>
          <t>1997-02-13</t>
        </is>
      </c>
      <c r="Y1816" t="n">
        <v>157</v>
      </c>
      <c r="Z1816" t="n">
        <v>110</v>
      </c>
      <c r="AA1816" t="n">
        <v>130</v>
      </c>
      <c r="AB1816" t="n">
        <v>1</v>
      </c>
      <c r="AC1816" t="n">
        <v>1</v>
      </c>
      <c r="AD1816" t="n">
        <v>3</v>
      </c>
      <c r="AE1816" t="n">
        <v>4</v>
      </c>
      <c r="AF1816" t="n">
        <v>1</v>
      </c>
      <c r="AG1816" t="n">
        <v>1</v>
      </c>
      <c r="AH1816" t="n">
        <v>2</v>
      </c>
      <c r="AI1816" t="n">
        <v>3</v>
      </c>
      <c r="AJ1816" t="n">
        <v>1</v>
      </c>
      <c r="AK1816" t="n">
        <v>1</v>
      </c>
      <c r="AL1816" t="n">
        <v>0</v>
      </c>
      <c r="AM1816" t="n">
        <v>0</v>
      </c>
      <c r="AN1816" t="n">
        <v>0</v>
      </c>
      <c r="AO1816" t="n">
        <v>0</v>
      </c>
      <c r="AP1816" t="inlineStr">
        <is>
          <t>No</t>
        </is>
      </c>
      <c r="AQ1816" t="inlineStr">
        <is>
          <t>Yes</t>
        </is>
      </c>
      <c r="AR1816">
        <f>HYPERLINK("http://catalog.hathitrust.org/Record/007128555","HathiTrust Record")</f>
        <v/>
      </c>
      <c r="AS1816">
        <f>HYPERLINK("https://creighton-primo.hosted.exlibrisgroup.com/primo-explore/search?tab=default_tab&amp;search_scope=EVERYTHING&amp;vid=01CRU&amp;lang=en_US&amp;offset=0&amp;query=any,contains,991002132089702656","Catalog Record")</f>
        <v/>
      </c>
      <c r="AT1816">
        <f>HYPERLINK("http://www.worldcat.org/oclc/270090","WorldCat Record")</f>
        <v/>
      </c>
      <c r="AU1816" t="inlineStr">
        <is>
          <t>2841411442:spa</t>
        </is>
      </c>
      <c r="AV1816" t="inlineStr">
        <is>
          <t>270090</t>
        </is>
      </c>
      <c r="AW1816" t="inlineStr">
        <is>
          <t>991002132089702656</t>
        </is>
      </c>
      <c r="AX1816" t="inlineStr">
        <is>
          <t>991002132089702656</t>
        </is>
      </c>
      <c r="AY1816" t="inlineStr">
        <is>
          <t>2263864920002656</t>
        </is>
      </c>
      <c r="AZ1816" t="inlineStr">
        <is>
          <t>BOOK</t>
        </is>
      </c>
      <c r="BC1816" t="inlineStr">
        <is>
          <t>32285002437548</t>
        </is>
      </c>
      <c r="BD1816" t="inlineStr">
        <is>
          <t>893590952</t>
        </is>
      </c>
    </row>
    <row r="1817">
      <c r="A1817" t="inlineStr">
        <is>
          <t>No</t>
        </is>
      </c>
      <c r="B1817" t="inlineStr">
        <is>
          <t>DQ16 .O41</t>
        </is>
      </c>
      <c r="C1817" t="inlineStr">
        <is>
          <t>0                      DQ 0016000O  41</t>
        </is>
      </c>
      <c r="D1817" t="inlineStr">
        <is>
          <t>Switzerland / edited by Doré Orgizek and J.G. Rufenacht; texts by Piero Bianconi [et al.]; coordinated by Alice Steinegger; adapted and tr. by Mary Bancroft; illus. by Alois Carigiet [et al.]</t>
        </is>
      </c>
      <c r="F1817" t="inlineStr">
        <is>
          <t>No</t>
        </is>
      </c>
      <c r="G1817" t="inlineStr">
        <is>
          <t>1</t>
        </is>
      </c>
      <c r="H1817" t="inlineStr">
        <is>
          <t>No</t>
        </is>
      </c>
      <c r="I1817" t="inlineStr">
        <is>
          <t>No</t>
        </is>
      </c>
      <c r="J1817" t="inlineStr">
        <is>
          <t>0</t>
        </is>
      </c>
      <c r="K1817" t="inlineStr">
        <is>
          <t>Ogrizek, Doré, 1899- editor.</t>
        </is>
      </c>
      <c r="L1817" t="inlineStr">
        <is>
          <t>New York : McGraw, 1949.</t>
        </is>
      </c>
      <c r="M1817" t="inlineStr">
        <is>
          <t>1949</t>
        </is>
      </c>
      <c r="O1817" t="inlineStr">
        <is>
          <t>eng</t>
        </is>
      </c>
      <c r="P1817" t="inlineStr">
        <is>
          <t>nyu</t>
        </is>
      </c>
      <c r="R1817" t="inlineStr">
        <is>
          <t xml:space="preserve">DQ </t>
        </is>
      </c>
      <c r="S1817" t="n">
        <v>3</v>
      </c>
      <c r="T1817" t="n">
        <v>3</v>
      </c>
      <c r="U1817" t="inlineStr">
        <is>
          <t>1995-04-04</t>
        </is>
      </c>
      <c r="V1817" t="inlineStr">
        <is>
          <t>1995-04-04</t>
        </is>
      </c>
      <c r="W1817" t="inlineStr">
        <is>
          <t>1994-03-16</t>
        </is>
      </c>
      <c r="X1817" t="inlineStr">
        <is>
          <t>1994-03-16</t>
        </is>
      </c>
      <c r="Y1817" t="n">
        <v>22</v>
      </c>
      <c r="Z1817" t="n">
        <v>19</v>
      </c>
      <c r="AA1817" t="n">
        <v>412</v>
      </c>
      <c r="AB1817" t="n">
        <v>1</v>
      </c>
      <c r="AC1817" t="n">
        <v>5</v>
      </c>
      <c r="AD1817" t="n">
        <v>0</v>
      </c>
      <c r="AE1817" t="n">
        <v>18</v>
      </c>
      <c r="AF1817" t="n">
        <v>0</v>
      </c>
      <c r="AG1817" t="n">
        <v>9</v>
      </c>
      <c r="AH1817" t="n">
        <v>0</v>
      </c>
      <c r="AI1817" t="n">
        <v>4</v>
      </c>
      <c r="AJ1817" t="n">
        <v>0</v>
      </c>
      <c r="AK1817" t="n">
        <v>4</v>
      </c>
      <c r="AL1817" t="n">
        <v>0</v>
      </c>
      <c r="AM1817" t="n">
        <v>4</v>
      </c>
      <c r="AN1817" t="n">
        <v>0</v>
      </c>
      <c r="AO1817" t="n">
        <v>0</v>
      </c>
      <c r="AP1817" t="inlineStr">
        <is>
          <t>No</t>
        </is>
      </c>
      <c r="AQ1817" t="inlineStr">
        <is>
          <t>No</t>
        </is>
      </c>
      <c r="AS1817">
        <f>HYPERLINK("https://creighton-primo.hosted.exlibrisgroup.com/primo-explore/search?tab=default_tab&amp;search_scope=EVERYTHING&amp;vid=01CRU&amp;lang=en_US&amp;offset=0&amp;query=any,contains,991000835559702656","Catalog Record")</f>
        <v/>
      </c>
      <c r="AT1817">
        <f>HYPERLINK("http://www.worldcat.org/oclc/13489218","WorldCat Record")</f>
        <v/>
      </c>
      <c r="AU1817" t="inlineStr">
        <is>
          <t>4417284192:eng</t>
        </is>
      </c>
      <c r="AV1817" t="inlineStr">
        <is>
          <t>13489218</t>
        </is>
      </c>
      <c r="AW1817" t="inlineStr">
        <is>
          <t>991000835559702656</t>
        </is>
      </c>
      <c r="AX1817" t="inlineStr">
        <is>
          <t>991000835559702656</t>
        </is>
      </c>
      <c r="AY1817" t="inlineStr">
        <is>
          <t>2260366610002656</t>
        </is>
      </c>
      <c r="AZ1817" t="inlineStr">
        <is>
          <t>BOOK</t>
        </is>
      </c>
      <c r="BC1817" t="inlineStr">
        <is>
          <t>32285001853893</t>
        </is>
      </c>
      <c r="BD1817" t="inlineStr">
        <is>
          <t>893333827</t>
        </is>
      </c>
    </row>
    <row r="1818">
      <c r="A1818" t="inlineStr">
        <is>
          <t>No</t>
        </is>
      </c>
      <c r="B1818" t="inlineStr">
        <is>
          <t>DQ17 .K8</t>
        </is>
      </c>
      <c r="C1818" t="inlineStr">
        <is>
          <t>0                      DQ 0017000K  8</t>
        </is>
      </c>
      <c r="D1818" t="inlineStr">
        <is>
          <t>Switzerland / by Herbert Kubly and the editors of Life.</t>
        </is>
      </c>
      <c r="F1818" t="inlineStr">
        <is>
          <t>No</t>
        </is>
      </c>
      <c r="G1818" t="inlineStr">
        <is>
          <t>1</t>
        </is>
      </c>
      <c r="H1818" t="inlineStr">
        <is>
          <t>No</t>
        </is>
      </c>
      <c r="I1818" t="inlineStr">
        <is>
          <t>No</t>
        </is>
      </c>
      <c r="J1818" t="inlineStr">
        <is>
          <t>0</t>
        </is>
      </c>
      <c r="K1818" t="inlineStr">
        <is>
          <t>Kubly, Herbert.</t>
        </is>
      </c>
      <c r="L1818" t="inlineStr">
        <is>
          <t>New York : Time inc., [1964]</t>
        </is>
      </c>
      <c r="M1818" t="inlineStr">
        <is>
          <t>1964</t>
        </is>
      </c>
      <c r="O1818" t="inlineStr">
        <is>
          <t>eng</t>
        </is>
      </c>
      <c r="P1818" t="inlineStr">
        <is>
          <t>nyu</t>
        </is>
      </c>
      <c r="Q1818" t="inlineStr">
        <is>
          <t>Life world library</t>
        </is>
      </c>
      <c r="R1818" t="inlineStr">
        <is>
          <t xml:space="preserve">DQ </t>
        </is>
      </c>
      <c r="S1818" t="n">
        <v>10</v>
      </c>
      <c r="T1818" t="n">
        <v>10</v>
      </c>
      <c r="U1818" t="inlineStr">
        <is>
          <t>2003-02-14</t>
        </is>
      </c>
      <c r="V1818" t="inlineStr">
        <is>
          <t>2003-02-14</t>
        </is>
      </c>
      <c r="W1818" t="inlineStr">
        <is>
          <t>1992-02-07</t>
        </is>
      </c>
      <c r="X1818" t="inlineStr">
        <is>
          <t>1992-02-07</t>
        </is>
      </c>
      <c r="Y1818" t="n">
        <v>1098</v>
      </c>
      <c r="Z1818" t="n">
        <v>1042</v>
      </c>
      <c r="AA1818" t="n">
        <v>1130</v>
      </c>
      <c r="AB1818" t="n">
        <v>12</v>
      </c>
      <c r="AC1818" t="n">
        <v>12</v>
      </c>
      <c r="AD1818" t="n">
        <v>18</v>
      </c>
      <c r="AE1818" t="n">
        <v>20</v>
      </c>
      <c r="AF1818" t="n">
        <v>9</v>
      </c>
      <c r="AG1818" t="n">
        <v>10</v>
      </c>
      <c r="AH1818" t="n">
        <v>1</v>
      </c>
      <c r="AI1818" t="n">
        <v>2</v>
      </c>
      <c r="AJ1818" t="n">
        <v>7</v>
      </c>
      <c r="AK1818" t="n">
        <v>7</v>
      </c>
      <c r="AL1818" t="n">
        <v>4</v>
      </c>
      <c r="AM1818" t="n">
        <v>4</v>
      </c>
      <c r="AN1818" t="n">
        <v>0</v>
      </c>
      <c r="AO1818" t="n">
        <v>0</v>
      </c>
      <c r="AP1818" t="inlineStr">
        <is>
          <t>No</t>
        </is>
      </c>
      <c r="AQ1818" t="inlineStr">
        <is>
          <t>No</t>
        </is>
      </c>
      <c r="AS1818">
        <f>HYPERLINK("https://creighton-primo.hosted.exlibrisgroup.com/primo-explore/search?tab=default_tab&amp;search_scope=EVERYTHING&amp;vid=01CRU&amp;lang=en_US&amp;offset=0&amp;query=any,contains,991003178209702656","Catalog Record")</f>
        <v/>
      </c>
      <c r="AT1818">
        <f>HYPERLINK("http://www.worldcat.org/oclc/711193","WorldCat Record")</f>
        <v/>
      </c>
      <c r="AU1818" t="inlineStr">
        <is>
          <t>422778105:eng</t>
        </is>
      </c>
      <c r="AV1818" t="inlineStr">
        <is>
          <t>711193</t>
        </is>
      </c>
      <c r="AW1818" t="inlineStr">
        <is>
          <t>991003178209702656</t>
        </is>
      </c>
      <c r="AX1818" t="inlineStr">
        <is>
          <t>991003178209702656</t>
        </is>
      </c>
      <c r="AY1818" t="inlineStr">
        <is>
          <t>2263980830002656</t>
        </is>
      </c>
      <c r="AZ1818" t="inlineStr">
        <is>
          <t>BOOK</t>
        </is>
      </c>
      <c r="BC1818" t="inlineStr">
        <is>
          <t>32285000951029</t>
        </is>
      </c>
      <c r="BD1818" t="inlineStr">
        <is>
          <t>893617071</t>
        </is>
      </c>
    </row>
    <row r="1819">
      <c r="A1819" t="inlineStr">
        <is>
          <t>No</t>
        </is>
      </c>
      <c r="B1819" t="inlineStr">
        <is>
          <t>DQ25 .M6</t>
        </is>
      </c>
      <c r="C1819" t="inlineStr">
        <is>
          <t>0                      DQ 0025000M  6</t>
        </is>
      </c>
      <c r="D1819" t="inlineStr">
        <is>
          <t>Modern Switzerland / edited by J. Murray Luck, [and others] --</t>
        </is>
      </c>
      <c r="F1819" t="inlineStr">
        <is>
          <t>No</t>
        </is>
      </c>
      <c r="G1819" t="inlineStr">
        <is>
          <t>1</t>
        </is>
      </c>
      <c r="H1819" t="inlineStr">
        <is>
          <t>No</t>
        </is>
      </c>
      <c r="I1819" t="inlineStr">
        <is>
          <t>No</t>
        </is>
      </c>
      <c r="J1819" t="inlineStr">
        <is>
          <t>0</t>
        </is>
      </c>
      <c r="L1819" t="inlineStr">
        <is>
          <t>Palo Alto, Ca. : Society for the Promotion of Science and Scholarship, 1978.</t>
        </is>
      </c>
      <c r="M1819" t="inlineStr">
        <is>
          <t>1978</t>
        </is>
      </c>
      <c r="O1819" t="inlineStr">
        <is>
          <t>eng</t>
        </is>
      </c>
      <c r="P1819" t="inlineStr">
        <is>
          <t>cau</t>
        </is>
      </c>
      <c r="R1819" t="inlineStr">
        <is>
          <t xml:space="preserve">DQ </t>
        </is>
      </c>
      <c r="S1819" t="n">
        <v>10</v>
      </c>
      <c r="T1819" t="n">
        <v>10</v>
      </c>
      <c r="U1819" t="inlineStr">
        <is>
          <t>1998-03-31</t>
        </is>
      </c>
      <c r="V1819" t="inlineStr">
        <is>
          <t>1998-03-31</t>
        </is>
      </c>
      <c r="W1819" t="inlineStr">
        <is>
          <t>1991-10-23</t>
        </is>
      </c>
      <c r="X1819" t="inlineStr">
        <is>
          <t>1991-10-23</t>
        </is>
      </c>
      <c r="Y1819" t="n">
        <v>515</v>
      </c>
      <c r="Z1819" t="n">
        <v>430</v>
      </c>
      <c r="AA1819" t="n">
        <v>436</v>
      </c>
      <c r="AB1819" t="n">
        <v>2</v>
      </c>
      <c r="AC1819" t="n">
        <v>2</v>
      </c>
      <c r="AD1819" t="n">
        <v>19</v>
      </c>
      <c r="AE1819" t="n">
        <v>19</v>
      </c>
      <c r="AF1819" t="n">
        <v>10</v>
      </c>
      <c r="AG1819" t="n">
        <v>10</v>
      </c>
      <c r="AH1819" t="n">
        <v>4</v>
      </c>
      <c r="AI1819" t="n">
        <v>4</v>
      </c>
      <c r="AJ1819" t="n">
        <v>11</v>
      </c>
      <c r="AK1819" t="n">
        <v>11</v>
      </c>
      <c r="AL1819" t="n">
        <v>1</v>
      </c>
      <c r="AM1819" t="n">
        <v>1</v>
      </c>
      <c r="AN1819" t="n">
        <v>0</v>
      </c>
      <c r="AO1819" t="n">
        <v>0</v>
      </c>
      <c r="AP1819" t="inlineStr">
        <is>
          <t>No</t>
        </is>
      </c>
      <c r="AQ1819" t="inlineStr">
        <is>
          <t>Yes</t>
        </is>
      </c>
      <c r="AR1819">
        <f>HYPERLINK("http://catalog.hathitrust.org/Record/000134721","HathiTrust Record")</f>
        <v/>
      </c>
      <c r="AS1819">
        <f>HYPERLINK("https://creighton-primo.hosted.exlibrisgroup.com/primo-explore/search?tab=default_tab&amp;search_scope=EVERYTHING&amp;vid=01CRU&amp;lang=en_US&amp;offset=0&amp;query=any,contains,991004522559702656","Catalog Record")</f>
        <v/>
      </c>
      <c r="AT1819">
        <f>HYPERLINK("http://www.worldcat.org/oclc/3829178","WorldCat Record")</f>
        <v/>
      </c>
      <c r="AU1819" t="inlineStr">
        <is>
          <t>509748161:eng</t>
        </is>
      </c>
      <c r="AV1819" t="inlineStr">
        <is>
          <t>3829178</t>
        </is>
      </c>
      <c r="AW1819" t="inlineStr">
        <is>
          <t>991004522559702656</t>
        </is>
      </c>
      <c r="AX1819" t="inlineStr">
        <is>
          <t>991004522559702656</t>
        </is>
      </c>
      <c r="AY1819" t="inlineStr">
        <is>
          <t>2260452030002656</t>
        </is>
      </c>
      <c r="AZ1819" t="inlineStr">
        <is>
          <t>BOOK</t>
        </is>
      </c>
      <c r="BB1819" t="inlineStr">
        <is>
          <t>9780930664015</t>
        </is>
      </c>
      <c r="BC1819" t="inlineStr">
        <is>
          <t>32285000653831</t>
        </is>
      </c>
      <c r="BD1819" t="inlineStr">
        <is>
          <t>893536032</t>
        </is>
      </c>
    </row>
    <row r="1820">
      <c r="A1820" t="inlineStr">
        <is>
          <t>No</t>
        </is>
      </c>
      <c r="B1820" t="inlineStr">
        <is>
          <t>DQ54 .B65 1974</t>
        </is>
      </c>
      <c r="C1820" t="inlineStr">
        <is>
          <t>0                      DQ 0054000B  65          1974</t>
        </is>
      </c>
      <c r="D1820" t="inlineStr">
        <is>
          <t>A short history of Switzerland / by E. Bonjour, H. S. Offler, and G. R. Potter.</t>
        </is>
      </c>
      <c r="F1820" t="inlineStr">
        <is>
          <t>No</t>
        </is>
      </c>
      <c r="G1820" t="inlineStr">
        <is>
          <t>1</t>
        </is>
      </c>
      <c r="H1820" t="inlineStr">
        <is>
          <t>No</t>
        </is>
      </c>
      <c r="I1820" t="inlineStr">
        <is>
          <t>No</t>
        </is>
      </c>
      <c r="J1820" t="inlineStr">
        <is>
          <t>0</t>
        </is>
      </c>
      <c r="K1820" t="inlineStr">
        <is>
          <t>Bonjour, Edgar, 1898-1991.</t>
        </is>
      </c>
      <c r="L1820" t="inlineStr">
        <is>
          <t>Oxford : Clarendon Press, 1974, c1952.</t>
        </is>
      </c>
      <c r="M1820" t="inlineStr">
        <is>
          <t>1974</t>
        </is>
      </c>
      <c r="O1820" t="inlineStr">
        <is>
          <t>eng</t>
        </is>
      </c>
      <c r="P1820" t="inlineStr">
        <is>
          <t>enk</t>
        </is>
      </c>
      <c r="R1820" t="inlineStr">
        <is>
          <t xml:space="preserve">DQ </t>
        </is>
      </c>
      <c r="S1820" t="n">
        <v>7</v>
      </c>
      <c r="T1820" t="n">
        <v>7</v>
      </c>
      <c r="U1820" t="inlineStr">
        <is>
          <t>2007-03-25</t>
        </is>
      </c>
      <c r="V1820" t="inlineStr">
        <is>
          <t>2007-03-25</t>
        </is>
      </c>
      <c r="W1820" t="inlineStr">
        <is>
          <t>1992-02-25</t>
        </is>
      </c>
      <c r="X1820" t="inlineStr">
        <is>
          <t>1992-02-25</t>
        </is>
      </c>
      <c r="Y1820" t="n">
        <v>86</v>
      </c>
      <c r="Z1820" t="n">
        <v>79</v>
      </c>
      <c r="AA1820" t="n">
        <v>856</v>
      </c>
      <c r="AB1820" t="n">
        <v>1</v>
      </c>
      <c r="AC1820" t="n">
        <v>5</v>
      </c>
      <c r="AD1820" t="n">
        <v>3</v>
      </c>
      <c r="AE1820" t="n">
        <v>33</v>
      </c>
      <c r="AF1820" t="n">
        <v>3</v>
      </c>
      <c r="AG1820" t="n">
        <v>14</v>
      </c>
      <c r="AH1820" t="n">
        <v>0</v>
      </c>
      <c r="AI1820" t="n">
        <v>8</v>
      </c>
      <c r="AJ1820" t="n">
        <v>0</v>
      </c>
      <c r="AK1820" t="n">
        <v>15</v>
      </c>
      <c r="AL1820" t="n">
        <v>0</v>
      </c>
      <c r="AM1820" t="n">
        <v>4</v>
      </c>
      <c r="AN1820" t="n">
        <v>0</v>
      </c>
      <c r="AO1820" t="n">
        <v>0</v>
      </c>
      <c r="AP1820" t="inlineStr">
        <is>
          <t>No</t>
        </is>
      </c>
      <c r="AQ1820" t="inlineStr">
        <is>
          <t>Yes</t>
        </is>
      </c>
      <c r="AR1820">
        <f>HYPERLINK("http://catalog.hathitrust.org/Record/007153478","HathiTrust Record")</f>
        <v/>
      </c>
      <c r="AS1820">
        <f>HYPERLINK("https://creighton-primo.hosted.exlibrisgroup.com/primo-explore/search?tab=default_tab&amp;search_scope=EVERYTHING&amp;vid=01CRU&amp;lang=en_US&amp;offset=0&amp;query=any,contains,991004348239702656","Catalog Record")</f>
        <v/>
      </c>
      <c r="AT1820">
        <f>HYPERLINK("http://www.worldcat.org/oclc/3107205","WorldCat Record")</f>
        <v/>
      </c>
      <c r="AU1820" t="inlineStr">
        <is>
          <t>1539262:eng</t>
        </is>
      </c>
      <c r="AV1820" t="inlineStr">
        <is>
          <t>3107205</t>
        </is>
      </c>
      <c r="AW1820" t="inlineStr">
        <is>
          <t>991004348239702656</t>
        </is>
      </c>
      <c r="AX1820" t="inlineStr">
        <is>
          <t>991004348239702656</t>
        </is>
      </c>
      <c r="AY1820" t="inlineStr">
        <is>
          <t>2272216790002656</t>
        </is>
      </c>
      <c r="AZ1820" t="inlineStr">
        <is>
          <t>BOOK</t>
        </is>
      </c>
      <c r="BC1820" t="inlineStr">
        <is>
          <t>32285000976752</t>
        </is>
      </c>
      <c r="BD1820" t="inlineStr">
        <is>
          <t>893894886</t>
        </is>
      </c>
    </row>
    <row r="1821">
      <c r="A1821" t="inlineStr">
        <is>
          <t>No</t>
        </is>
      </c>
      <c r="B1821" t="inlineStr">
        <is>
          <t>DR27.G4 S33</t>
        </is>
      </c>
      <c r="C1821" t="inlineStr">
        <is>
          <t>0                      DR 0027000G  4                  S  33</t>
        </is>
      </c>
      <c r="D1821" t="inlineStr">
        <is>
          <t>Donauschwäbische Bibliographie 1935-1955- [i. e. neunzehnhundertfünfunddreissig bis neunzehnhundertfünfundfünfzig] : das Schrifttum über die Donauschwaben in Ungarn, Rumänien, Jugoslawien und Bulgarien sowie, nach 1945, in Deutschland, Österreich, Frankreich, USA, Canada, Argentinien, Brasilien / Anton Scherer. --</t>
        </is>
      </c>
      <c r="F1821" t="inlineStr">
        <is>
          <t>No</t>
        </is>
      </c>
      <c r="G1821" t="inlineStr">
        <is>
          <t>1</t>
        </is>
      </c>
      <c r="H1821" t="inlineStr">
        <is>
          <t>Yes</t>
        </is>
      </c>
      <c r="I1821" t="inlineStr">
        <is>
          <t>No</t>
        </is>
      </c>
      <c r="J1821" t="inlineStr">
        <is>
          <t>0</t>
        </is>
      </c>
      <c r="K1821" t="inlineStr">
        <is>
          <t>Scherer, Anton.</t>
        </is>
      </c>
      <c r="L1821" t="inlineStr">
        <is>
          <t>München : Verlag des Südostdeutschen Kulturwerks, 1966-</t>
        </is>
      </c>
      <c r="M1821" t="inlineStr">
        <is>
          <t>1966</t>
        </is>
      </c>
      <c r="O1821" t="inlineStr">
        <is>
          <t>ger</t>
        </is>
      </c>
      <c r="P1821" t="inlineStr">
        <is>
          <t xml:space="preserve">gw </t>
        </is>
      </c>
      <c r="Q1821" t="inlineStr">
        <is>
          <t>Veröffentlichungen des Südostdeutschen Kulturwerkes : Reihe B, Wissenschaftliche Arbeiten ; Bd. 18, 30</t>
        </is>
      </c>
      <c r="R1821" t="inlineStr">
        <is>
          <t xml:space="preserve">DR </t>
        </is>
      </c>
      <c r="S1821" t="n">
        <v>2</v>
      </c>
      <c r="T1821" t="n">
        <v>4</v>
      </c>
      <c r="U1821" t="inlineStr">
        <is>
          <t>1999-07-15</t>
        </is>
      </c>
      <c r="V1821" t="inlineStr">
        <is>
          <t>1999-07-15</t>
        </is>
      </c>
      <c r="W1821" t="inlineStr">
        <is>
          <t>1990-09-12</t>
        </is>
      </c>
      <c r="X1821" t="inlineStr">
        <is>
          <t>1990-09-12</t>
        </is>
      </c>
      <c r="Y1821" t="n">
        <v>7</v>
      </c>
      <c r="Z1821" t="n">
        <v>7</v>
      </c>
      <c r="AA1821" t="n">
        <v>22</v>
      </c>
      <c r="AB1821" t="n">
        <v>1</v>
      </c>
      <c r="AC1821" t="n">
        <v>2</v>
      </c>
      <c r="AD1821" t="n">
        <v>0</v>
      </c>
      <c r="AE1821" t="n">
        <v>0</v>
      </c>
      <c r="AF1821" t="n">
        <v>0</v>
      </c>
      <c r="AG1821" t="n">
        <v>0</v>
      </c>
      <c r="AH1821" t="n">
        <v>0</v>
      </c>
      <c r="AI1821" t="n">
        <v>0</v>
      </c>
      <c r="AJ1821" t="n">
        <v>0</v>
      </c>
      <c r="AK1821" t="n">
        <v>0</v>
      </c>
      <c r="AL1821" t="n">
        <v>0</v>
      </c>
      <c r="AM1821" t="n">
        <v>0</v>
      </c>
      <c r="AN1821" t="n">
        <v>0</v>
      </c>
      <c r="AO1821" t="n">
        <v>0</v>
      </c>
      <c r="AP1821" t="inlineStr">
        <is>
          <t>No</t>
        </is>
      </c>
      <c r="AQ1821" t="inlineStr">
        <is>
          <t>No</t>
        </is>
      </c>
      <c r="AS1821">
        <f>HYPERLINK("https://creighton-primo.hosted.exlibrisgroup.com/primo-explore/search?tab=default_tab&amp;search_scope=EVERYTHING&amp;vid=01CRU&amp;lang=en_US&amp;offset=0&amp;query=any,contains,991003948209702656","Catalog Record")</f>
        <v/>
      </c>
      <c r="AT1821">
        <f>HYPERLINK("http://www.worldcat.org/oclc/1949985","WorldCat Record")</f>
        <v/>
      </c>
      <c r="AU1821" t="inlineStr">
        <is>
          <t>221909643:ger</t>
        </is>
      </c>
      <c r="AV1821" t="inlineStr">
        <is>
          <t>1949985</t>
        </is>
      </c>
      <c r="AW1821" t="inlineStr">
        <is>
          <t>991003948209702656</t>
        </is>
      </c>
      <c r="AX1821" t="inlineStr">
        <is>
          <t>991003948209702656</t>
        </is>
      </c>
      <c r="AY1821" t="inlineStr">
        <is>
          <t>2260855750002656</t>
        </is>
      </c>
      <c r="AZ1821" t="inlineStr">
        <is>
          <t>BOOK</t>
        </is>
      </c>
      <c r="BC1821" t="inlineStr">
        <is>
          <t>32285000290675</t>
        </is>
      </c>
      <c r="BD1821" t="inlineStr">
        <is>
          <t>893331021</t>
        </is>
      </c>
    </row>
    <row r="1822">
      <c r="A1822" t="inlineStr">
        <is>
          <t>No</t>
        </is>
      </c>
      <c r="B1822" t="inlineStr">
        <is>
          <t>DR27.G4 S33 1955-1965</t>
        </is>
      </c>
      <c r="C1822" t="inlineStr">
        <is>
          <t>0                      DR 0027000G  4                  S  33          1955                  -1965</t>
        </is>
      </c>
      <c r="D1822" t="inlineStr">
        <is>
          <t>Donauschwäbische Bibliographie 1935-1955- [i. e. neunzehnhundertfünfunddreissig bis neunzehnhundertfünfundfünfzig] : das Schrifttum über die Donauschwaben in Ungarn, Rumänien, Jugoslawien und Bulgarien sowie, nach 1945, in Deutschland, Österreich, Frankreich, USA, Canada, Argentinien, Brasilien / Anton Scherer. --</t>
        </is>
      </c>
      <c r="F1822" t="inlineStr">
        <is>
          <t>No</t>
        </is>
      </c>
      <c r="G1822" t="inlineStr">
        <is>
          <t>1</t>
        </is>
      </c>
      <c r="H1822" t="inlineStr">
        <is>
          <t>Yes</t>
        </is>
      </c>
      <c r="I1822" t="inlineStr">
        <is>
          <t>No</t>
        </is>
      </c>
      <c r="J1822" t="inlineStr">
        <is>
          <t>0</t>
        </is>
      </c>
      <c r="K1822" t="inlineStr">
        <is>
          <t>Scherer, Anton.</t>
        </is>
      </c>
      <c r="L1822" t="inlineStr">
        <is>
          <t>München : Verlag des Südostdeutschen Kulturwerks, 1966-</t>
        </is>
      </c>
      <c r="M1822" t="inlineStr">
        <is>
          <t>1966</t>
        </is>
      </c>
      <c r="O1822" t="inlineStr">
        <is>
          <t>ger</t>
        </is>
      </c>
      <c r="P1822" t="inlineStr">
        <is>
          <t xml:space="preserve">gw </t>
        </is>
      </c>
      <c r="Q1822" t="inlineStr">
        <is>
          <t>Veröffentlichungen des Südostdeutschen Kulturwerkes : Reihe B, Wissenschaftliche Arbeiten ; Bd. 18, 30</t>
        </is>
      </c>
      <c r="R1822" t="inlineStr">
        <is>
          <t xml:space="preserve">DR </t>
        </is>
      </c>
      <c r="S1822" t="n">
        <v>2</v>
      </c>
      <c r="T1822" t="n">
        <v>4</v>
      </c>
      <c r="U1822" t="inlineStr">
        <is>
          <t>1999-07-15</t>
        </is>
      </c>
      <c r="V1822" t="inlineStr">
        <is>
          <t>1999-07-15</t>
        </is>
      </c>
      <c r="W1822" t="inlineStr">
        <is>
          <t>1990-09-12</t>
        </is>
      </c>
      <c r="X1822" t="inlineStr">
        <is>
          <t>1990-09-12</t>
        </is>
      </c>
      <c r="Y1822" t="n">
        <v>7</v>
      </c>
      <c r="Z1822" t="n">
        <v>7</v>
      </c>
      <c r="AA1822" t="n">
        <v>22</v>
      </c>
      <c r="AB1822" t="n">
        <v>1</v>
      </c>
      <c r="AC1822" t="n">
        <v>2</v>
      </c>
      <c r="AD1822" t="n">
        <v>0</v>
      </c>
      <c r="AE1822" t="n">
        <v>0</v>
      </c>
      <c r="AF1822" t="n">
        <v>0</v>
      </c>
      <c r="AG1822" t="n">
        <v>0</v>
      </c>
      <c r="AH1822" t="n">
        <v>0</v>
      </c>
      <c r="AI1822" t="n">
        <v>0</v>
      </c>
      <c r="AJ1822" t="n">
        <v>0</v>
      </c>
      <c r="AK1822" t="n">
        <v>0</v>
      </c>
      <c r="AL1822" t="n">
        <v>0</v>
      </c>
      <c r="AM1822" t="n">
        <v>0</v>
      </c>
      <c r="AN1822" t="n">
        <v>0</v>
      </c>
      <c r="AO1822" t="n">
        <v>0</v>
      </c>
      <c r="AP1822" t="inlineStr">
        <is>
          <t>No</t>
        </is>
      </c>
      <c r="AQ1822" t="inlineStr">
        <is>
          <t>No</t>
        </is>
      </c>
      <c r="AS1822">
        <f>HYPERLINK("https://creighton-primo.hosted.exlibrisgroup.com/primo-explore/search?tab=default_tab&amp;search_scope=EVERYTHING&amp;vid=01CRU&amp;lang=en_US&amp;offset=0&amp;query=any,contains,991003948209702656","Catalog Record")</f>
        <v/>
      </c>
      <c r="AT1822">
        <f>HYPERLINK("http://www.worldcat.org/oclc/1949985","WorldCat Record")</f>
        <v/>
      </c>
      <c r="AU1822" t="inlineStr">
        <is>
          <t>221909643:ger</t>
        </is>
      </c>
      <c r="AV1822" t="inlineStr">
        <is>
          <t>1949985</t>
        </is>
      </c>
      <c r="AW1822" t="inlineStr">
        <is>
          <t>991003948209702656</t>
        </is>
      </c>
      <c r="AX1822" t="inlineStr">
        <is>
          <t>991003948209702656</t>
        </is>
      </c>
      <c r="AY1822" t="inlineStr">
        <is>
          <t>2260855750002656</t>
        </is>
      </c>
      <c r="AZ1822" t="inlineStr">
        <is>
          <t>BOOK</t>
        </is>
      </c>
      <c r="BC1822" t="inlineStr">
        <is>
          <t>32285000290683</t>
        </is>
      </c>
      <c r="BD1822" t="inlineStr">
        <is>
          <t>893331020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